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embeddings/oleObject2.bin" ContentType="application/vnd.openxmlformats-officedocument.oleObject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to\OneDrive\Escritorio\ANA PAOLA - SANTA ROSA\AMPL.PRES.7. FINAL\VII. HOJA DE METRADOS\PARTIDAS NUEVAS\"/>
    </mc:Choice>
  </mc:AlternateContent>
  <xr:revisionPtr revIDLastSave="0" documentId="13_ncr:1_{41B9D2E7-B09C-4442-8ADA-29934AF4BB43}" xr6:coauthVersionLast="47" xr6:coauthVersionMax="47" xr10:uidLastSave="{00000000-0000-0000-0000-000000000000}"/>
  <bookViews>
    <workbookView xWindow="-108" yWindow="-108" windowWidth="23256" windowHeight="12456" tabRatio="964" firstSheet="2" activeTab="3" xr2:uid="{00000000-000D-0000-FFFF-FFFF00000000}"/>
  </bookViews>
  <sheets>
    <sheet name="Hoja2" sheetId="70" state="hidden" r:id="rId1"/>
    <sheet name="CRONGRAMA JULIO" sheetId="61" state="hidden" r:id="rId2"/>
    <sheet name="MPN FIERO" sheetId="113" r:id="rId3"/>
    <sheet name="SUSTENTO DE PARTIDAS NUEVAS" sheetId="110" r:id="rId4"/>
    <sheet name="RESUMEN" sheetId="114" r:id="rId5"/>
    <sheet name="Hoja5" sheetId="77" state="hidden" r:id="rId6"/>
    <sheet name="Hoja6" sheetId="78" state="hidden" r:id="rId7"/>
    <sheet name="Hoja7" sheetId="79" state="hidden" r:id="rId8"/>
    <sheet name="METRADOS PN" sheetId="63" state="hidden" r:id="rId9"/>
    <sheet name="MET AGOSTO" sheetId="64" state="hidden" r:id="rId10"/>
    <sheet name="Hoja4" sheetId="76" state="hidden" r:id="rId11"/>
    <sheet name="Hoja11" sheetId="83" state="hidden" r:id="rId12"/>
    <sheet name="Hoja10" sheetId="82" state="hidden" r:id="rId13"/>
    <sheet name="Hoja9" sheetId="81" state="hidden" r:id="rId14"/>
    <sheet name="Hoja3" sheetId="71" state="hidden" r:id="rId15"/>
    <sheet name="Hoja12" sheetId="84" state="hidden" r:id="rId16"/>
    <sheet name="Hoja8" sheetId="80" state="hidden" r:id="rId17"/>
    <sheet name="Hoja1" sheetId="58" state="hidden" r:id="rId18"/>
    <sheet name="P.NUEVAS PROYECTADAS" sheetId="62" state="hidden" r:id="rId19"/>
    <sheet name="MET.MM" sheetId="88" state="hidden" r:id="rId20"/>
    <sheet name="MET.PN" sheetId="87" state="hidden" r:id="rId21"/>
    <sheet name="ABRIL " sheetId="85" state="hidden" r:id="rId22"/>
    <sheet name="Hoja14" sheetId="86" state="hidden" r:id="rId23"/>
    <sheet name="MET.ADIC" sheetId="45" state="hidden" r:id="rId24"/>
    <sheet name="MET.EXP" sheetId="46" state="hidden" r:id="rId25"/>
    <sheet name="CRON" sheetId="50" state="hidden" r:id="rId26"/>
    <sheet name="gantt (2)" sheetId="48" state="hidden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107_0ELSURE">'[1]#¡REF'!#REF!</definedName>
    <definedName name="_108_0ELSURE">'[1]#¡REF'!#REF!</definedName>
    <definedName name="_11_0EL">'[1]#¡REF'!#REF!</definedName>
    <definedName name="_119_0HIDRAND">'[1]#¡REF'!#REF!</definedName>
    <definedName name="_12_0EL">'[1]#¡REF'!#REF!</definedName>
    <definedName name="_120_0HIDRAND">'[1]#¡REF'!#REF!</definedName>
    <definedName name="_131_0S">'[1]#¡REF'!#REF!</definedName>
    <definedName name="_132_0S">'[1]#¡REF'!#REF!</definedName>
    <definedName name="_23_0ELCEN">'[1]#¡REF'!#REF!</definedName>
    <definedName name="_24_0ELCEN">'[1]#¡REF'!#REF!</definedName>
    <definedName name="_35_0ELECSURE">'[1]#¡REF'!#REF!</definedName>
    <definedName name="_36_0ELECSURE">'[1]#¡REF'!#REF!</definedName>
    <definedName name="_4">'[2]#¡REF'!#REF!</definedName>
    <definedName name="_47_0ELECSURME">'[1]#¡REF'!#REF!</definedName>
    <definedName name="_48_0ELECSURME">'[1]#¡REF'!#REF!</definedName>
    <definedName name="_59_0ELECT">'[1]#¡REF'!#REF!</definedName>
    <definedName name="_60_0ELECT">'[1]#¡REF'!#REF!</definedName>
    <definedName name="_71_0ELECTROL">'[1]#¡REF'!#REF!</definedName>
    <definedName name="_72_0ELECTROL">'[1]#¡REF'!#REF!</definedName>
    <definedName name="_83_0ELEORIE">'[1]#¡REF'!#REF!</definedName>
    <definedName name="_84_0ELEORIE">'[1]#¡REF'!#REF!</definedName>
    <definedName name="_95_0ELNO">'[1]#¡REF'!#REF!</definedName>
    <definedName name="_96_0ELNO">'[1]#¡REF'!#REF!</definedName>
    <definedName name="_98">'[1]#¡REF'!#REF!</definedName>
    <definedName name="_A">'[1]#¡REF'!#REF!</definedName>
    <definedName name="_xlnm._FilterDatabase" localSheetId="25" hidden="1">CRON!$A$1:$N$168</definedName>
    <definedName name="_xlnm._FilterDatabase" localSheetId="23" hidden="1">MET.ADIC!$A$13:$K$66</definedName>
    <definedName name="_j">'[1]#¡REF'!#REF!</definedName>
    <definedName name="A">'[1]#¡REF'!#REF!</definedName>
    <definedName name="AB">#REF!</definedName>
    <definedName name="ABC">'[3]#¡REF'!#REF!</definedName>
    <definedName name="ADV">'[2]#¡REF'!#REF!</definedName>
    <definedName name="afdxbv">[4]NTM!$C$28</definedName>
    <definedName name="AGO">#REF!</definedName>
    <definedName name="_xlnm.Extract">#REF!</definedName>
    <definedName name="_xlnm.Print_Area" localSheetId="25">CRON!$B$6:$K$161</definedName>
    <definedName name="_xlnm.Print_Area" localSheetId="26">'gantt (2)'!$A$1:$I$248</definedName>
    <definedName name="_xlnm.Print_Area" localSheetId="12">Hoja10!$A$1:$D$329</definedName>
    <definedName name="_xlnm.Print_Area" localSheetId="11">Hoja11!$A$1:$AI$148</definedName>
    <definedName name="_xlnm.Print_Area" localSheetId="15">Hoja12!$A$1:$AI$160</definedName>
    <definedName name="_xlnm.Print_Area" localSheetId="0">Hoja2!$A$1:$P$112</definedName>
    <definedName name="_xlnm.Print_Area" localSheetId="14">Hoja3!$A$1:$AI$873</definedName>
    <definedName name="_xlnm.Print_Area" localSheetId="5">Hoja5!$A$1:$AI$167</definedName>
    <definedName name="_xlnm.Print_Area" localSheetId="6">Hoja6!$A$1:$AI$146</definedName>
    <definedName name="_xlnm.Print_Area" localSheetId="7">Hoja7!$A$1:$AI$78</definedName>
    <definedName name="_xlnm.Print_Area" localSheetId="13">Hoja9!$A$1:$AI$30</definedName>
    <definedName name="_xlnm.Print_Area" localSheetId="23">MET.ADIC!$A$1:$K$67</definedName>
    <definedName name="_xlnm.Print_Area" localSheetId="24">MET.EXP!$A$1:$K$171</definedName>
    <definedName name="_xlnm.Print_Area" localSheetId="19">MET.MM!$A$1:$AI$679</definedName>
    <definedName name="_xlnm.Print_Area" localSheetId="20">MET.PN!$A$1:$AI$144</definedName>
    <definedName name="_xlnm.Print_Area" localSheetId="18">'P.NUEVAS PROYECTADAS'!$A$1:$AI$66</definedName>
    <definedName name="_xlnm.Print_Area" localSheetId="4">RESUMEN!$A$1:$D$23</definedName>
    <definedName name="_xlnm.Print_Area" localSheetId="3">'SUSTENTO DE PARTIDAS NUEVAS'!$K$1:$S$68</definedName>
    <definedName name="b">'[1]#¡REF'!#REF!</definedName>
    <definedName name="_xlnm.Database" localSheetId="26">#REF!</definedName>
    <definedName name="_xlnm.Database" localSheetId="23">#REF!</definedName>
    <definedName name="_xlnm.Database" localSheetId="24">#REF!</definedName>
    <definedName name="_xlnm.Database">#REF!</definedName>
    <definedName name="BLOQUE01">#REF!</definedName>
    <definedName name="CAB">[5]NTM!#REF!</definedName>
    <definedName name="CONCLP">[6]NTM!$C$85:$C$90</definedName>
    <definedName name="CORT">[7]NTM!$C$70:$C$74</definedName>
    <definedName name="_xlnm.Criteria">#REF!</definedName>
    <definedName name="DESCRIPCION">#REF!</definedName>
    <definedName name="DIAMD">[5]DATOS!$B$2:$B$10</definedName>
    <definedName name="DIAMD2">[5]DATOS!$F$5:$F$9</definedName>
    <definedName name="DIC">#REF!</definedName>
    <definedName name="dist">[6]NTM!$C$28</definedName>
    <definedName name="dist2">[6]NTM!$E$52:$E$61</definedName>
    <definedName name="ENE">#REF!</definedName>
    <definedName name="facr">[6]NTM!$D$122</definedName>
    <definedName name="fconc">[6]NTM!$C$120:$C$123</definedName>
    <definedName name="FEB">#REF!</definedName>
    <definedName name="FEB0_7">#REF!</definedName>
    <definedName name="FHS6HJ6J">'[1]#¡REF'!#REF!</definedName>
    <definedName name="hhh">'[1]#¡REF'!#REF!</definedName>
    <definedName name="hhhhhhhhhhhhhh">'[1]#¡REF'!#REF!</definedName>
    <definedName name="INDICE">#REF!</definedName>
    <definedName name="ITEMS">[6]NTM!$A$2:$A$203</definedName>
    <definedName name="IU">#REF!</definedName>
    <definedName name="JUL">#REF!</definedName>
    <definedName name="JUN">#REF!</definedName>
    <definedName name="k">'[1]#¡REF'!#REF!</definedName>
    <definedName name="LAC">[5]NTM!#REF!</definedName>
    <definedName name="MAR">#REF!</definedName>
    <definedName name="MAY">#REF!</definedName>
    <definedName name="meses">#REF!</definedName>
    <definedName name="MNP">'[2]#¡REF'!#REF!</definedName>
    <definedName name="NOB">#REF!</definedName>
    <definedName name="OCT">#REF!</definedName>
    <definedName name="ope">[8]Hoja4!#REF!</definedName>
    <definedName name="PARTIDA">#REF!</definedName>
    <definedName name="qsdxs">'[1]#¡REF'!#REF!</definedName>
    <definedName name="qsqns">'[1]#¡REF'!#REF!</definedName>
    <definedName name="QWE">#REF!</definedName>
    <definedName name="REVISAR">#REF!</definedName>
    <definedName name="REVISAR1">#REF!</definedName>
    <definedName name="SET">#REF!</definedName>
    <definedName name="TABLA">#REF!</definedName>
    <definedName name="tabtabtab">[9]LINEAS!$A$3:$BR$18</definedName>
    <definedName name="_xlnm.Print_Titles" localSheetId="25">CRON!$6:$19</definedName>
    <definedName name="_xlnm.Print_Titles" localSheetId="23">MET.ADIC!$1:$10</definedName>
    <definedName name="_xlnm.Print_Titles" localSheetId="24">MET.EXP!$1:$7</definedName>
    <definedName name="_xlnm.Print_Titles" localSheetId="3">'SUSTENTO DE PARTIDAS NUEVAS'!$1:$10</definedName>
    <definedName name="UND.">#REF!</definedName>
    <definedName name="UNID">[6]DATOS!$P$2:$P$14</definedName>
    <definedName name="w">'[1]#¡REF'!#REF!</definedName>
    <definedName name="Z_56770540_A97A_11D1_870B_00002143DF72_.wvu.Rows" hidden="1">[10]PRESUPUESTO!#REF!,[10]PRESUPUESTO!#REF!,[10]PRESUPUESTO!#REF!,[10]PRESUPUESTO!#REF!,[10]PRESUPUESTO!#REF!,[10]PRESUPUESTO!#REF!,[10]PRESUPUESTO!#REF!,[10]PRESUPUESTO!#REF!,[10]PRESUPUESTO!#REF!,[10]PRESUPUESTO!#REF!,[10]PRESUPUESTO!#REF!,[10]PRESUPUESTO!$A$287:$IV$287,[10]PRESUPUESTO!$A$292:$IV$294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114" l="1"/>
  <c r="S16" i="110"/>
  <c r="R16" i="110"/>
  <c r="R63" i="110"/>
  <c r="B26" i="114" l="1"/>
  <c r="C26" i="114"/>
  <c r="A26" i="114"/>
  <c r="B25" i="114"/>
  <c r="C25" i="114"/>
  <c r="A25" i="114"/>
  <c r="C24" i="114"/>
  <c r="A24" i="114"/>
  <c r="B24" i="114"/>
  <c r="B20" i="114"/>
  <c r="C20" i="114"/>
  <c r="A20" i="114"/>
  <c r="B19" i="114"/>
  <c r="C19" i="114"/>
  <c r="A19" i="114"/>
  <c r="C18" i="114"/>
  <c r="B18" i="114"/>
  <c r="A18" i="114"/>
  <c r="A17" i="114"/>
  <c r="C17" i="114"/>
  <c r="B17" i="114"/>
  <c r="C16" i="114"/>
  <c r="B16" i="114"/>
  <c r="A16" i="114"/>
  <c r="B14" i="114"/>
  <c r="A14" i="114"/>
  <c r="C13" i="114"/>
  <c r="B12" i="114"/>
  <c r="B13" i="114"/>
  <c r="B11" i="114"/>
  <c r="A12" i="114"/>
  <c r="A13" i="114"/>
  <c r="A11" i="114"/>
  <c r="S13" i="110"/>
  <c r="D13" i="114" s="1"/>
  <c r="D26" i="114"/>
  <c r="D25" i="114"/>
  <c r="D24" i="114"/>
  <c r="S66" i="110" l="1"/>
  <c r="D22" i="114" s="1"/>
  <c r="N11" i="113"/>
  <c r="H22" i="113"/>
  <c r="H20" i="113"/>
  <c r="H14" i="113"/>
  <c r="H16" i="113"/>
  <c r="N16" i="113" s="1"/>
  <c r="N22" i="113"/>
  <c r="L21" i="113"/>
  <c r="N21" i="113" s="1"/>
  <c r="I20" i="113"/>
  <c r="N20" i="113" s="1"/>
  <c r="L19" i="113"/>
  <c r="N19" i="113" s="1"/>
  <c r="L15" i="113"/>
  <c r="N15" i="113" s="1"/>
  <c r="N14" i="113"/>
  <c r="L13" i="113"/>
  <c r="N13" i="113" s="1"/>
  <c r="R56" i="110" l="1"/>
  <c r="R57" i="110"/>
  <c r="R58" i="110"/>
  <c r="R59" i="110"/>
  <c r="R60" i="110"/>
  <c r="R61" i="110"/>
  <c r="R62" i="110"/>
  <c r="R64" i="110"/>
  <c r="R55" i="110"/>
  <c r="R54" i="110"/>
  <c r="R50" i="110"/>
  <c r="R51" i="110"/>
  <c r="R49" i="110"/>
  <c r="R37" i="110"/>
  <c r="S33" i="110" s="1"/>
  <c r="D18" i="114" s="1"/>
  <c r="S27" i="110"/>
  <c r="D17" i="114" s="1"/>
  <c r="Q25" i="110"/>
  <c r="R25" i="110" s="1"/>
  <c r="Q23" i="110"/>
  <c r="R23" i="110" s="1"/>
  <c r="Q22" i="110"/>
  <c r="R22" i="110" s="1"/>
  <c r="R21" i="110"/>
  <c r="Q20" i="110"/>
  <c r="R20" i="110" s="1"/>
  <c r="S53" i="110" l="1"/>
  <c r="D20" i="114" s="1"/>
  <c r="S46" i="110"/>
  <c r="D19" i="114" s="1"/>
  <c r="S17" i="110"/>
  <c r="D16" i="114" s="1"/>
  <c r="V84" i="110" l="1"/>
  <c r="V83" i="110"/>
  <c r="T52" i="110"/>
  <c r="U46" i="110"/>
  <c r="U53" i="110" l="1"/>
  <c r="V85" i="110"/>
  <c r="V88" i="110" l="1"/>
  <c r="AI73" i="87" l="1"/>
  <c r="AI74" i="87"/>
  <c r="S509" i="88"/>
  <c r="R509" i="88"/>
  <c r="V509" i="88"/>
  <c r="U509" i="88"/>
  <c r="S499" i="88"/>
  <c r="R499" i="88"/>
  <c r="U499" i="88"/>
  <c r="V499" i="88"/>
  <c r="G128" i="87"/>
  <c r="AI128" i="87" s="1"/>
  <c r="AI134" i="87"/>
  <c r="AI135" i="87"/>
  <c r="AI136" i="87"/>
  <c r="AI137" i="87"/>
  <c r="AI138" i="87"/>
  <c r="AI139" i="87"/>
  <c r="AI140" i="87"/>
  <c r="AI141" i="87"/>
  <c r="AI142" i="87"/>
  <c r="AL133" i="87"/>
  <c r="P133" i="87"/>
  <c r="AI133" i="87" s="1"/>
  <c r="G132" i="87"/>
  <c r="AI132" i="87" s="1"/>
  <c r="U131" i="87"/>
  <c r="R131" i="87"/>
  <c r="U130" i="87"/>
  <c r="J130" i="87"/>
  <c r="H129" i="87"/>
  <c r="G129" i="87"/>
  <c r="AI127" i="87"/>
  <c r="AI126" i="87"/>
  <c r="AI125" i="87"/>
  <c r="AI124" i="87"/>
  <c r="AI123" i="87"/>
  <c r="AI122" i="87"/>
  <c r="AI121" i="87"/>
  <c r="AI120" i="87"/>
  <c r="AI119" i="87"/>
  <c r="AI118" i="87"/>
  <c r="AI117" i="87"/>
  <c r="AI116" i="87"/>
  <c r="AI115" i="87"/>
  <c r="AI114" i="87"/>
  <c r="AI113" i="87"/>
  <c r="R112" i="87"/>
  <c r="Q112" i="87"/>
  <c r="P112" i="87"/>
  <c r="O112" i="87"/>
  <c r="N112" i="87"/>
  <c r="AI111" i="87"/>
  <c r="AI110" i="87"/>
  <c r="AI109" i="87"/>
  <c r="AI108" i="87"/>
  <c r="AI107" i="87"/>
  <c r="AI106" i="87"/>
  <c r="AI105" i="87"/>
  <c r="AI104" i="87"/>
  <c r="AI103" i="87"/>
  <c r="AI102" i="87"/>
  <c r="AI101" i="87"/>
  <c r="AI100" i="87"/>
  <c r="AI99" i="87"/>
  <c r="AI98" i="87"/>
  <c r="AI97" i="87"/>
  <c r="AI96" i="87"/>
  <c r="AI95" i="87"/>
  <c r="AI94" i="87"/>
  <c r="AI93" i="87"/>
  <c r="AI92" i="87"/>
  <c r="AI91" i="87"/>
  <c r="AI90" i="87"/>
  <c r="AI89" i="87"/>
  <c r="AI88" i="87"/>
  <c r="AI87" i="87"/>
  <c r="AI86" i="87"/>
  <c r="AI85" i="87"/>
  <c r="AI84" i="87"/>
  <c r="AI83" i="87"/>
  <c r="AI82" i="87"/>
  <c r="AI81" i="87"/>
  <c r="AI80" i="87"/>
  <c r="AI79" i="87"/>
  <c r="AI78" i="87"/>
  <c r="AI77" i="87"/>
  <c r="AI76" i="87"/>
  <c r="AI75" i="87"/>
  <c r="AI72" i="87"/>
  <c r="AI71" i="87"/>
  <c r="AI70" i="87"/>
  <c r="AI69" i="87"/>
  <c r="AI68" i="87"/>
  <c r="W67" i="87"/>
  <c r="AI67" i="87" s="1"/>
  <c r="AI66" i="87"/>
  <c r="AC65" i="87"/>
  <c r="AI65" i="87" s="1"/>
  <c r="AI64" i="87"/>
  <c r="AI63" i="87"/>
  <c r="AI62" i="87"/>
  <c r="AI61" i="87"/>
  <c r="AI60" i="87"/>
  <c r="AI59" i="87"/>
  <c r="AI58" i="87"/>
  <c r="AI57" i="87"/>
  <c r="AI56" i="87"/>
  <c r="AI55" i="87"/>
  <c r="AI54" i="87"/>
  <c r="AI53" i="87"/>
  <c r="AI52" i="87"/>
  <c r="AI51" i="87"/>
  <c r="AI50" i="87"/>
  <c r="AI49" i="87"/>
  <c r="AI48" i="87"/>
  <c r="AI47" i="87"/>
  <c r="AI46" i="87"/>
  <c r="AI45" i="87"/>
  <c r="AI44" i="87"/>
  <c r="AI43" i="87"/>
  <c r="AI42" i="87"/>
  <c r="AI41" i="87"/>
  <c r="AI40" i="87"/>
  <c r="AI39" i="87"/>
  <c r="AI38" i="87"/>
  <c r="AI37" i="87"/>
  <c r="AI36" i="87"/>
  <c r="AI35" i="87"/>
  <c r="AI34" i="87"/>
  <c r="AI33" i="87"/>
  <c r="AI32" i="87"/>
  <c r="D31" i="87"/>
  <c r="AI31" i="87" s="1"/>
  <c r="AI30" i="87"/>
  <c r="AI29" i="87"/>
  <c r="AI28" i="87"/>
  <c r="AI27" i="87"/>
  <c r="AI26" i="87"/>
  <c r="AI25" i="87"/>
  <c r="AI24" i="87"/>
  <c r="AI23" i="87"/>
  <c r="AI22" i="87"/>
  <c r="AI21" i="87"/>
  <c r="AI20" i="87"/>
  <c r="AI19" i="87"/>
  <c r="AI18" i="87"/>
  <c r="AK18" i="87" s="1"/>
  <c r="AM18" i="87" s="1"/>
  <c r="AO18" i="87" s="1"/>
  <c r="AQ18" i="87" s="1"/>
  <c r="AI17" i="87"/>
  <c r="AK17" i="87" s="1"/>
  <c r="AM17" i="87" s="1"/>
  <c r="AO17" i="87" s="1"/>
  <c r="AQ17" i="87" s="1"/>
  <c r="AI16" i="87"/>
  <c r="AK16" i="87" s="1"/>
  <c r="AM16" i="87" s="1"/>
  <c r="AO16" i="87" s="1"/>
  <c r="AQ16" i="87" s="1"/>
  <c r="AI15" i="87"/>
  <c r="AK15" i="87" s="1"/>
  <c r="AM15" i="87" s="1"/>
  <c r="AO15" i="87" s="1"/>
  <c r="AQ15" i="87" s="1"/>
  <c r="Y14" i="87"/>
  <c r="AI14" i="87" s="1"/>
  <c r="AK14" i="87" s="1"/>
  <c r="AM14" i="87" s="1"/>
  <c r="AO14" i="87" s="1"/>
  <c r="AQ14" i="87" s="1"/>
  <c r="AP13" i="87"/>
  <c r="AL13" i="87"/>
  <c r="AI13" i="87"/>
  <c r="AK13" i="87" s="1"/>
  <c r="AO12" i="87"/>
  <c r="AI12" i="87"/>
  <c r="AK12" i="87" s="1"/>
  <c r="AO11" i="87"/>
  <c r="AI11" i="87"/>
  <c r="AK11" i="87" s="1"/>
  <c r="E9" i="87"/>
  <c r="F9" i="87" s="1"/>
  <c r="G9" i="87" s="1"/>
  <c r="H9" i="87" s="1"/>
  <c r="I9" i="87" s="1"/>
  <c r="J9" i="87" s="1"/>
  <c r="K9" i="87" s="1"/>
  <c r="L9" i="87" s="1"/>
  <c r="M9" i="87" s="1"/>
  <c r="N9" i="87" s="1"/>
  <c r="O9" i="87" s="1"/>
  <c r="P9" i="87" s="1"/>
  <c r="Q9" i="87" s="1"/>
  <c r="R9" i="87" s="1"/>
  <c r="S9" i="87" s="1"/>
  <c r="T9" i="87" s="1"/>
  <c r="U9" i="87" s="1"/>
  <c r="V9" i="87" s="1"/>
  <c r="W9" i="87" s="1"/>
  <c r="X9" i="87" s="1"/>
  <c r="Y9" i="87" s="1"/>
  <c r="Z9" i="87" s="1"/>
  <c r="AA9" i="87" s="1"/>
  <c r="AB9" i="87" s="1"/>
  <c r="AC9" i="87" s="1"/>
  <c r="AD9" i="87" s="1"/>
  <c r="AE9" i="87" s="1"/>
  <c r="AF9" i="87" s="1"/>
  <c r="AG9" i="87" s="1"/>
  <c r="AH9" i="87" s="1"/>
  <c r="B5" i="87"/>
  <c r="AL679" i="88"/>
  <c r="AM679" i="88" s="1"/>
  <c r="AI678" i="88"/>
  <c r="AK678" i="88" s="1"/>
  <c r="AM678" i="88" s="1"/>
  <c r="AI677" i="88"/>
  <c r="AK677" i="88" s="1"/>
  <c r="AM677" i="88" s="1"/>
  <c r="AI676" i="88"/>
  <c r="AK676" i="88" s="1"/>
  <c r="AM676" i="88" s="1"/>
  <c r="AI675" i="88"/>
  <c r="AK675" i="88" s="1"/>
  <c r="AM675" i="88" s="1"/>
  <c r="AI674" i="88"/>
  <c r="AK674" i="88" s="1"/>
  <c r="AM674" i="88" s="1"/>
  <c r="AI673" i="88"/>
  <c r="AK673" i="88" s="1"/>
  <c r="AM673" i="88" s="1"/>
  <c r="AI672" i="88"/>
  <c r="AK672" i="88" s="1"/>
  <c r="AM672" i="88" s="1"/>
  <c r="AI671" i="88"/>
  <c r="AK671" i="88" s="1"/>
  <c r="AM671" i="88" s="1"/>
  <c r="AI670" i="88"/>
  <c r="AK670" i="88" s="1"/>
  <c r="AM670" i="88" s="1"/>
  <c r="AI669" i="88"/>
  <c r="AK669" i="88" s="1"/>
  <c r="AM669" i="88" s="1"/>
  <c r="AI668" i="88"/>
  <c r="AK668" i="88" s="1"/>
  <c r="AM668" i="88" s="1"/>
  <c r="AI667" i="88"/>
  <c r="AK667" i="88" s="1"/>
  <c r="AM667" i="88" s="1"/>
  <c r="AI666" i="88"/>
  <c r="AK666" i="88" s="1"/>
  <c r="AM666" i="88" s="1"/>
  <c r="AI665" i="88"/>
  <c r="AK665" i="88" s="1"/>
  <c r="AM665" i="88" s="1"/>
  <c r="AI664" i="88"/>
  <c r="AK664" i="88" s="1"/>
  <c r="AM664" i="88" s="1"/>
  <c r="AI663" i="88"/>
  <c r="AK663" i="88" s="1"/>
  <c r="AM663" i="88" s="1"/>
  <c r="AI662" i="88"/>
  <c r="AK662" i="88" s="1"/>
  <c r="AM662" i="88" s="1"/>
  <c r="AI661" i="88"/>
  <c r="AK661" i="88" s="1"/>
  <c r="AM661" i="88" s="1"/>
  <c r="AI660" i="88"/>
  <c r="AK660" i="88" s="1"/>
  <c r="AM660" i="88" s="1"/>
  <c r="AI659" i="88"/>
  <c r="AK659" i="88" s="1"/>
  <c r="AM659" i="88" s="1"/>
  <c r="AI658" i="88"/>
  <c r="AK658" i="88" s="1"/>
  <c r="AM658" i="88" s="1"/>
  <c r="AI657" i="88"/>
  <c r="AK657" i="88" s="1"/>
  <c r="AM657" i="88" s="1"/>
  <c r="AI656" i="88"/>
  <c r="AK656" i="88" s="1"/>
  <c r="AM656" i="88" s="1"/>
  <c r="AI655" i="88"/>
  <c r="AK655" i="88" s="1"/>
  <c r="AM655" i="88" s="1"/>
  <c r="AI654" i="88"/>
  <c r="AK654" i="88" s="1"/>
  <c r="AM654" i="88" s="1"/>
  <c r="AI653" i="88"/>
  <c r="AK653" i="88" s="1"/>
  <c r="AM653" i="88" s="1"/>
  <c r="AI652" i="88"/>
  <c r="AK652" i="88" s="1"/>
  <c r="AM652" i="88" s="1"/>
  <c r="AI651" i="88"/>
  <c r="AK651" i="88" s="1"/>
  <c r="AM651" i="88" s="1"/>
  <c r="AI650" i="88"/>
  <c r="AK650" i="88" s="1"/>
  <c r="AM650" i="88" s="1"/>
  <c r="AI649" i="88"/>
  <c r="AK649" i="88" s="1"/>
  <c r="AM649" i="88" s="1"/>
  <c r="AI648" i="88"/>
  <c r="AK648" i="88" s="1"/>
  <c r="AM648" i="88" s="1"/>
  <c r="AI647" i="88"/>
  <c r="AK647" i="88" s="1"/>
  <c r="AM647" i="88" s="1"/>
  <c r="AI646" i="88"/>
  <c r="AK646" i="88" s="1"/>
  <c r="AM646" i="88" s="1"/>
  <c r="AI645" i="88"/>
  <c r="AK645" i="88" s="1"/>
  <c r="AM645" i="88" s="1"/>
  <c r="AI644" i="88"/>
  <c r="AK644" i="88" s="1"/>
  <c r="AM644" i="88" s="1"/>
  <c r="AI643" i="88"/>
  <c r="AK643" i="88" s="1"/>
  <c r="AM643" i="88" s="1"/>
  <c r="AI642" i="88"/>
  <c r="AK642" i="88" s="1"/>
  <c r="AM642" i="88" s="1"/>
  <c r="AI641" i="88"/>
  <c r="AK641" i="88" s="1"/>
  <c r="AM641" i="88" s="1"/>
  <c r="AI640" i="88"/>
  <c r="AK640" i="88" s="1"/>
  <c r="AM640" i="88" s="1"/>
  <c r="AI639" i="88"/>
  <c r="AK639" i="88" s="1"/>
  <c r="AM639" i="88" s="1"/>
  <c r="AI638" i="88"/>
  <c r="AK638" i="88" s="1"/>
  <c r="AM638" i="88" s="1"/>
  <c r="AI637" i="88"/>
  <c r="AK637" i="88" s="1"/>
  <c r="AM637" i="88" s="1"/>
  <c r="AI636" i="88"/>
  <c r="AK636" i="88" s="1"/>
  <c r="AM636" i="88" s="1"/>
  <c r="AI635" i="88"/>
  <c r="AK635" i="88" s="1"/>
  <c r="AM635" i="88" s="1"/>
  <c r="AI634" i="88"/>
  <c r="AK634" i="88" s="1"/>
  <c r="AM634" i="88" s="1"/>
  <c r="AI633" i="88"/>
  <c r="AK633" i="88" s="1"/>
  <c r="AM633" i="88" s="1"/>
  <c r="AI632" i="88"/>
  <c r="AK632" i="88" s="1"/>
  <c r="AM632" i="88" s="1"/>
  <c r="AI631" i="88"/>
  <c r="AK631" i="88" s="1"/>
  <c r="AM631" i="88" s="1"/>
  <c r="AI630" i="88"/>
  <c r="AK630" i="88" s="1"/>
  <c r="AM630" i="88" s="1"/>
  <c r="AI629" i="88"/>
  <c r="AK629" i="88" s="1"/>
  <c r="AM629" i="88" s="1"/>
  <c r="AI628" i="88"/>
  <c r="AK628" i="88" s="1"/>
  <c r="AM628" i="88" s="1"/>
  <c r="AI627" i="88"/>
  <c r="AK627" i="88" s="1"/>
  <c r="AM627" i="88" s="1"/>
  <c r="AI626" i="88"/>
  <c r="AK626" i="88" s="1"/>
  <c r="AM626" i="88" s="1"/>
  <c r="AI625" i="88"/>
  <c r="AK625" i="88" s="1"/>
  <c r="AM625" i="88" s="1"/>
  <c r="AI624" i="88"/>
  <c r="AK624" i="88" s="1"/>
  <c r="AM624" i="88" s="1"/>
  <c r="AI623" i="88"/>
  <c r="AK623" i="88" s="1"/>
  <c r="AM623" i="88" s="1"/>
  <c r="AI622" i="88"/>
  <c r="AK622" i="88" s="1"/>
  <c r="AM622" i="88" s="1"/>
  <c r="AI621" i="88"/>
  <c r="AK621" i="88" s="1"/>
  <c r="AM621" i="88" s="1"/>
  <c r="AI620" i="88"/>
  <c r="AK620" i="88" s="1"/>
  <c r="AM620" i="88" s="1"/>
  <c r="AI619" i="88"/>
  <c r="AK619" i="88" s="1"/>
  <c r="AM619" i="88" s="1"/>
  <c r="AI618" i="88"/>
  <c r="AK618" i="88" s="1"/>
  <c r="AM618" i="88" s="1"/>
  <c r="AI617" i="88"/>
  <c r="AK617" i="88" s="1"/>
  <c r="AM617" i="88" s="1"/>
  <c r="AI616" i="88"/>
  <c r="AK616" i="88" s="1"/>
  <c r="AM616" i="88" s="1"/>
  <c r="AI615" i="88"/>
  <c r="AK615" i="88" s="1"/>
  <c r="AM615" i="88" s="1"/>
  <c r="AI614" i="88"/>
  <c r="AK614" i="88" s="1"/>
  <c r="AM614" i="88" s="1"/>
  <c r="AI613" i="88"/>
  <c r="AK613" i="88" s="1"/>
  <c r="AM613" i="88" s="1"/>
  <c r="AI612" i="88"/>
  <c r="AK612" i="88" s="1"/>
  <c r="AM612" i="88" s="1"/>
  <c r="AI611" i="88"/>
  <c r="AK611" i="88" s="1"/>
  <c r="AM611" i="88" s="1"/>
  <c r="AI610" i="88"/>
  <c r="AK610" i="88" s="1"/>
  <c r="AM610" i="88" s="1"/>
  <c r="AI609" i="88"/>
  <c r="AK609" i="88" s="1"/>
  <c r="AM609" i="88" s="1"/>
  <c r="AI608" i="88"/>
  <c r="AK608" i="88" s="1"/>
  <c r="AM608" i="88" s="1"/>
  <c r="AI607" i="88"/>
  <c r="AK607" i="88" s="1"/>
  <c r="AM607" i="88" s="1"/>
  <c r="AI606" i="88"/>
  <c r="AK606" i="88" s="1"/>
  <c r="AM606" i="88" s="1"/>
  <c r="AI605" i="88"/>
  <c r="AK605" i="88" s="1"/>
  <c r="AM605" i="88" s="1"/>
  <c r="AI604" i="88"/>
  <c r="AK604" i="88" s="1"/>
  <c r="AM604" i="88" s="1"/>
  <c r="AI603" i="88"/>
  <c r="AK603" i="88" s="1"/>
  <c r="AM603" i="88" s="1"/>
  <c r="AI602" i="88"/>
  <c r="AK602" i="88" s="1"/>
  <c r="AM602" i="88" s="1"/>
  <c r="AI601" i="88"/>
  <c r="AK601" i="88" s="1"/>
  <c r="AM601" i="88" s="1"/>
  <c r="AI600" i="88"/>
  <c r="AK600" i="88" s="1"/>
  <c r="AM600" i="88" s="1"/>
  <c r="AI599" i="88"/>
  <c r="AK599" i="88" s="1"/>
  <c r="AM599" i="88" s="1"/>
  <c r="AI598" i="88"/>
  <c r="AK598" i="88" s="1"/>
  <c r="AM598" i="88" s="1"/>
  <c r="AI597" i="88"/>
  <c r="AK597" i="88" s="1"/>
  <c r="AM597" i="88" s="1"/>
  <c r="AI596" i="88"/>
  <c r="AK596" i="88" s="1"/>
  <c r="AM596" i="88" s="1"/>
  <c r="AI595" i="88"/>
  <c r="AK595" i="88" s="1"/>
  <c r="AM595" i="88" s="1"/>
  <c r="AI594" i="88"/>
  <c r="AK594" i="88" s="1"/>
  <c r="AM594" i="88" s="1"/>
  <c r="AI593" i="88"/>
  <c r="AK593" i="88" s="1"/>
  <c r="AM593" i="88" s="1"/>
  <c r="AI592" i="88"/>
  <c r="AK592" i="88" s="1"/>
  <c r="AM592" i="88" s="1"/>
  <c r="AI591" i="88"/>
  <c r="AK591" i="88" s="1"/>
  <c r="AM591" i="88" s="1"/>
  <c r="AI590" i="88"/>
  <c r="AK590" i="88" s="1"/>
  <c r="AM590" i="88" s="1"/>
  <c r="AI589" i="88"/>
  <c r="AK589" i="88" s="1"/>
  <c r="AM589" i="88" s="1"/>
  <c r="AI588" i="88"/>
  <c r="AK588" i="88" s="1"/>
  <c r="AM588" i="88" s="1"/>
  <c r="AI587" i="88"/>
  <c r="AK587" i="88" s="1"/>
  <c r="AM587" i="88" s="1"/>
  <c r="AI586" i="88"/>
  <c r="AK586" i="88" s="1"/>
  <c r="AM586" i="88" s="1"/>
  <c r="AI585" i="88"/>
  <c r="AK585" i="88" s="1"/>
  <c r="AM585" i="88" s="1"/>
  <c r="AI584" i="88"/>
  <c r="AK584" i="88" s="1"/>
  <c r="AM584" i="88" s="1"/>
  <c r="AI583" i="88"/>
  <c r="AK583" i="88" s="1"/>
  <c r="AM583" i="88" s="1"/>
  <c r="AI582" i="88"/>
  <c r="AK582" i="88" s="1"/>
  <c r="AM582" i="88" s="1"/>
  <c r="AI581" i="88"/>
  <c r="AK581" i="88" s="1"/>
  <c r="AM581" i="88" s="1"/>
  <c r="AI580" i="88"/>
  <c r="AK580" i="88" s="1"/>
  <c r="AM580" i="88" s="1"/>
  <c r="AI579" i="88"/>
  <c r="AK579" i="88" s="1"/>
  <c r="AM579" i="88" s="1"/>
  <c r="AI578" i="88"/>
  <c r="AK578" i="88" s="1"/>
  <c r="AM578" i="88" s="1"/>
  <c r="AI577" i="88"/>
  <c r="AK577" i="88" s="1"/>
  <c r="AM577" i="88" s="1"/>
  <c r="AI576" i="88"/>
  <c r="AK576" i="88" s="1"/>
  <c r="AM576" i="88" s="1"/>
  <c r="AI575" i="88"/>
  <c r="AK575" i="88" s="1"/>
  <c r="AM575" i="88" s="1"/>
  <c r="AI574" i="88"/>
  <c r="AK574" i="88" s="1"/>
  <c r="AM574" i="88" s="1"/>
  <c r="AI573" i="88"/>
  <c r="AK573" i="88" s="1"/>
  <c r="AM573" i="88" s="1"/>
  <c r="AI572" i="88"/>
  <c r="AK572" i="88" s="1"/>
  <c r="AM572" i="88" s="1"/>
  <c r="AI571" i="88"/>
  <c r="AK571" i="88" s="1"/>
  <c r="AM571" i="88" s="1"/>
  <c r="AI570" i="88"/>
  <c r="AK570" i="88" s="1"/>
  <c r="AM570" i="88" s="1"/>
  <c r="AI569" i="88"/>
  <c r="AK569" i="88" s="1"/>
  <c r="AM569" i="88" s="1"/>
  <c r="AI568" i="88"/>
  <c r="AK568" i="88" s="1"/>
  <c r="AM568" i="88" s="1"/>
  <c r="AI567" i="88"/>
  <c r="AK567" i="88" s="1"/>
  <c r="AM567" i="88" s="1"/>
  <c r="AI566" i="88"/>
  <c r="AK566" i="88" s="1"/>
  <c r="AM566" i="88" s="1"/>
  <c r="AI565" i="88"/>
  <c r="AK565" i="88" s="1"/>
  <c r="AM565" i="88" s="1"/>
  <c r="AI564" i="88"/>
  <c r="AK564" i="88" s="1"/>
  <c r="AM564" i="88" s="1"/>
  <c r="AI563" i="88"/>
  <c r="AK563" i="88" s="1"/>
  <c r="AM563" i="88" s="1"/>
  <c r="AI562" i="88"/>
  <c r="AK562" i="88" s="1"/>
  <c r="AM562" i="88" s="1"/>
  <c r="AI561" i="88"/>
  <c r="AK561" i="88" s="1"/>
  <c r="AM561" i="88" s="1"/>
  <c r="AI560" i="88"/>
  <c r="AK560" i="88" s="1"/>
  <c r="AM560" i="88" s="1"/>
  <c r="AI559" i="88"/>
  <c r="AK559" i="88" s="1"/>
  <c r="AM559" i="88" s="1"/>
  <c r="AI558" i="88"/>
  <c r="AK558" i="88" s="1"/>
  <c r="AM558" i="88" s="1"/>
  <c r="AI557" i="88"/>
  <c r="AK557" i="88" s="1"/>
  <c r="AM557" i="88" s="1"/>
  <c r="AI556" i="88"/>
  <c r="AK556" i="88" s="1"/>
  <c r="AM556" i="88" s="1"/>
  <c r="AI555" i="88"/>
  <c r="AK555" i="88" s="1"/>
  <c r="AM555" i="88" s="1"/>
  <c r="AI554" i="88"/>
  <c r="AK554" i="88" s="1"/>
  <c r="AM554" i="88" s="1"/>
  <c r="AI553" i="88"/>
  <c r="AK553" i="88" s="1"/>
  <c r="AM553" i="88" s="1"/>
  <c r="AI552" i="88"/>
  <c r="AK552" i="88" s="1"/>
  <c r="AM552" i="88" s="1"/>
  <c r="AI551" i="88"/>
  <c r="AK551" i="88" s="1"/>
  <c r="AM551" i="88" s="1"/>
  <c r="AI550" i="88"/>
  <c r="AK550" i="88" s="1"/>
  <c r="AM550" i="88" s="1"/>
  <c r="AI549" i="88"/>
  <c r="AK549" i="88" s="1"/>
  <c r="AM549" i="88" s="1"/>
  <c r="AI548" i="88"/>
  <c r="AK548" i="88" s="1"/>
  <c r="AM548" i="88" s="1"/>
  <c r="AI547" i="88"/>
  <c r="AK547" i="88" s="1"/>
  <c r="AM547" i="88" s="1"/>
  <c r="AI546" i="88"/>
  <c r="AK546" i="88" s="1"/>
  <c r="AM546" i="88" s="1"/>
  <c r="AI545" i="88"/>
  <c r="AK545" i="88" s="1"/>
  <c r="AM545" i="88" s="1"/>
  <c r="AI544" i="88"/>
  <c r="AK544" i="88" s="1"/>
  <c r="AM544" i="88" s="1"/>
  <c r="AI543" i="88"/>
  <c r="AK543" i="88" s="1"/>
  <c r="AM543" i="88" s="1"/>
  <c r="AI542" i="88"/>
  <c r="AK542" i="88" s="1"/>
  <c r="AM542" i="88" s="1"/>
  <c r="AI541" i="88"/>
  <c r="AK541" i="88" s="1"/>
  <c r="AM541" i="88" s="1"/>
  <c r="AI540" i="88"/>
  <c r="AK540" i="88" s="1"/>
  <c r="AM540" i="88" s="1"/>
  <c r="AI539" i="88"/>
  <c r="AK539" i="88" s="1"/>
  <c r="AM539" i="88" s="1"/>
  <c r="AI538" i="88"/>
  <c r="AK538" i="88" s="1"/>
  <c r="AM538" i="88" s="1"/>
  <c r="AI537" i="88"/>
  <c r="AK537" i="88" s="1"/>
  <c r="AM537" i="88" s="1"/>
  <c r="AI536" i="88"/>
  <c r="AK536" i="88" s="1"/>
  <c r="AM536" i="88" s="1"/>
  <c r="AI535" i="88"/>
  <c r="AK535" i="88" s="1"/>
  <c r="AM535" i="88" s="1"/>
  <c r="AI534" i="88"/>
  <c r="AK534" i="88" s="1"/>
  <c r="AM534" i="88" s="1"/>
  <c r="AI533" i="88"/>
  <c r="AK533" i="88" s="1"/>
  <c r="AM533" i="88" s="1"/>
  <c r="AI532" i="88"/>
  <c r="AK532" i="88" s="1"/>
  <c r="AM532" i="88" s="1"/>
  <c r="AI531" i="88"/>
  <c r="AK531" i="88" s="1"/>
  <c r="AM531" i="88" s="1"/>
  <c r="AI530" i="88"/>
  <c r="AK530" i="88" s="1"/>
  <c r="AM530" i="88" s="1"/>
  <c r="AI529" i="88"/>
  <c r="AK529" i="88" s="1"/>
  <c r="AM529" i="88" s="1"/>
  <c r="AI528" i="88"/>
  <c r="AK528" i="88" s="1"/>
  <c r="AM528" i="88" s="1"/>
  <c r="AI527" i="88"/>
  <c r="AK527" i="88" s="1"/>
  <c r="AM527" i="88" s="1"/>
  <c r="AI526" i="88"/>
  <c r="AK526" i="88" s="1"/>
  <c r="AM526" i="88" s="1"/>
  <c r="AI525" i="88"/>
  <c r="AK525" i="88" s="1"/>
  <c r="AM525" i="88" s="1"/>
  <c r="AI524" i="88"/>
  <c r="AK524" i="88" s="1"/>
  <c r="AM524" i="88" s="1"/>
  <c r="AI523" i="88"/>
  <c r="AK523" i="88" s="1"/>
  <c r="AM523" i="88" s="1"/>
  <c r="AI522" i="88"/>
  <c r="AK522" i="88" s="1"/>
  <c r="AM522" i="88" s="1"/>
  <c r="AI521" i="88"/>
  <c r="AK521" i="88" s="1"/>
  <c r="AM521" i="88" s="1"/>
  <c r="AI520" i="88"/>
  <c r="AK520" i="88" s="1"/>
  <c r="AM520" i="88" s="1"/>
  <c r="AI519" i="88"/>
  <c r="AK519" i="88" s="1"/>
  <c r="AM519" i="88" s="1"/>
  <c r="AI518" i="88"/>
  <c r="AK518" i="88" s="1"/>
  <c r="AM518" i="88" s="1"/>
  <c r="AI517" i="88"/>
  <c r="AK517" i="88" s="1"/>
  <c r="AM517" i="88" s="1"/>
  <c r="AI516" i="88"/>
  <c r="AK516" i="88" s="1"/>
  <c r="AM516" i="88" s="1"/>
  <c r="AI515" i="88"/>
  <c r="AK515" i="88" s="1"/>
  <c r="AM515" i="88" s="1"/>
  <c r="AI514" i="88"/>
  <c r="AK514" i="88" s="1"/>
  <c r="AM514" i="88" s="1"/>
  <c r="AI513" i="88"/>
  <c r="AK513" i="88" s="1"/>
  <c r="AM513" i="88" s="1"/>
  <c r="AI512" i="88"/>
  <c r="AK512" i="88" s="1"/>
  <c r="AM512" i="88" s="1"/>
  <c r="AI511" i="88"/>
  <c r="AK511" i="88" s="1"/>
  <c r="AM511" i="88" s="1"/>
  <c r="AI510" i="88"/>
  <c r="AK510" i="88" s="1"/>
  <c r="AM510" i="88" s="1"/>
  <c r="AC509" i="88"/>
  <c r="Z509" i="88"/>
  <c r="AI508" i="88"/>
  <c r="AK508" i="88" s="1"/>
  <c r="AM508" i="88" s="1"/>
  <c r="AI507" i="88"/>
  <c r="AK507" i="88" s="1"/>
  <c r="AM507" i="88" s="1"/>
  <c r="AI506" i="88"/>
  <c r="AK506" i="88" s="1"/>
  <c r="AM506" i="88" s="1"/>
  <c r="AI505" i="88"/>
  <c r="AK505" i="88" s="1"/>
  <c r="AM505" i="88" s="1"/>
  <c r="AI504" i="88"/>
  <c r="AK504" i="88" s="1"/>
  <c r="AM504" i="88" s="1"/>
  <c r="AI503" i="88"/>
  <c r="AK503" i="88" s="1"/>
  <c r="AM503" i="88" s="1"/>
  <c r="AI502" i="88"/>
  <c r="AK502" i="88" s="1"/>
  <c r="AM502" i="88" s="1"/>
  <c r="Y501" i="88"/>
  <c r="V501" i="88"/>
  <c r="S501" i="88"/>
  <c r="R501" i="88"/>
  <c r="P501" i="88"/>
  <c r="AI500" i="88"/>
  <c r="AK500" i="88" s="1"/>
  <c r="AM500" i="88" s="1"/>
  <c r="AC499" i="88"/>
  <c r="Z499" i="88"/>
  <c r="Q499" i="88"/>
  <c r="AI498" i="88"/>
  <c r="AK498" i="88" s="1"/>
  <c r="AM498" i="88" s="1"/>
  <c r="AI497" i="88"/>
  <c r="AK497" i="88" s="1"/>
  <c r="AM497" i="88" s="1"/>
  <c r="AI496" i="88"/>
  <c r="AK496" i="88" s="1"/>
  <c r="AM496" i="88" s="1"/>
  <c r="AI495" i="88"/>
  <c r="AK495" i="88" s="1"/>
  <c r="AM495" i="88" s="1"/>
  <c r="AI494" i="88"/>
  <c r="AK494" i="88" s="1"/>
  <c r="AM494" i="88" s="1"/>
  <c r="AI493" i="88"/>
  <c r="AK493" i="88" s="1"/>
  <c r="AM493" i="88" s="1"/>
  <c r="AI492" i="88"/>
  <c r="AK492" i="88" s="1"/>
  <c r="AM492" i="88" s="1"/>
  <c r="AI491" i="88"/>
  <c r="AK491" i="88" s="1"/>
  <c r="AM491" i="88" s="1"/>
  <c r="AI490" i="88"/>
  <c r="AK490" i="88" s="1"/>
  <c r="AM490" i="88" s="1"/>
  <c r="AI489" i="88"/>
  <c r="AK489" i="88" s="1"/>
  <c r="AM489" i="88" s="1"/>
  <c r="AI488" i="88"/>
  <c r="AK488" i="88" s="1"/>
  <c r="AM488" i="88" s="1"/>
  <c r="AI487" i="88"/>
  <c r="AK487" i="88" s="1"/>
  <c r="AM487" i="88" s="1"/>
  <c r="AI486" i="88"/>
  <c r="AK486" i="88" s="1"/>
  <c r="AM486" i="88" s="1"/>
  <c r="AI485" i="88"/>
  <c r="AK485" i="88" s="1"/>
  <c r="AM485" i="88" s="1"/>
  <c r="AI484" i="88"/>
  <c r="AK484" i="88" s="1"/>
  <c r="AM484" i="88" s="1"/>
  <c r="AI483" i="88"/>
  <c r="AK483" i="88" s="1"/>
  <c r="AM483" i="88" s="1"/>
  <c r="AI482" i="88"/>
  <c r="AK482" i="88" s="1"/>
  <c r="AM482" i="88" s="1"/>
  <c r="AI481" i="88"/>
  <c r="AK481" i="88" s="1"/>
  <c r="AM481" i="88" s="1"/>
  <c r="AI480" i="88"/>
  <c r="AK480" i="88" s="1"/>
  <c r="AM480" i="88" s="1"/>
  <c r="AI479" i="88"/>
  <c r="AK479" i="88" s="1"/>
  <c r="AM479" i="88" s="1"/>
  <c r="AI478" i="88"/>
  <c r="AK478" i="88" s="1"/>
  <c r="AM478" i="88" s="1"/>
  <c r="AI477" i="88"/>
  <c r="AK477" i="88" s="1"/>
  <c r="AM477" i="88" s="1"/>
  <c r="AI476" i="88"/>
  <c r="AK476" i="88" s="1"/>
  <c r="AM476" i="88" s="1"/>
  <c r="AI475" i="88"/>
  <c r="AK475" i="88" s="1"/>
  <c r="AM475" i="88" s="1"/>
  <c r="AI474" i="88"/>
  <c r="AK474" i="88" s="1"/>
  <c r="AM474" i="88" s="1"/>
  <c r="AI473" i="88"/>
  <c r="AK473" i="88" s="1"/>
  <c r="AM473" i="88" s="1"/>
  <c r="AI472" i="88"/>
  <c r="AK472" i="88" s="1"/>
  <c r="AM472" i="88" s="1"/>
  <c r="AI471" i="88"/>
  <c r="AK471" i="88" s="1"/>
  <c r="AM471" i="88" s="1"/>
  <c r="AI470" i="88"/>
  <c r="AK470" i="88" s="1"/>
  <c r="AM470" i="88" s="1"/>
  <c r="AI469" i="88"/>
  <c r="AK469" i="88" s="1"/>
  <c r="AM469" i="88" s="1"/>
  <c r="AI468" i="88"/>
  <c r="AK468" i="88" s="1"/>
  <c r="AM468" i="88" s="1"/>
  <c r="AI467" i="88"/>
  <c r="AK467" i="88" s="1"/>
  <c r="AM467" i="88" s="1"/>
  <c r="AI466" i="88"/>
  <c r="AK466" i="88" s="1"/>
  <c r="AM466" i="88" s="1"/>
  <c r="AI465" i="88"/>
  <c r="AK465" i="88" s="1"/>
  <c r="AM465" i="88" s="1"/>
  <c r="AI464" i="88"/>
  <c r="AK464" i="88" s="1"/>
  <c r="AM464" i="88" s="1"/>
  <c r="AI463" i="88"/>
  <c r="AK463" i="88" s="1"/>
  <c r="AM463" i="88" s="1"/>
  <c r="AI462" i="88"/>
  <c r="AK462" i="88" s="1"/>
  <c r="AM462" i="88" s="1"/>
  <c r="AI461" i="88"/>
  <c r="AK461" i="88" s="1"/>
  <c r="AM461" i="88" s="1"/>
  <c r="AI460" i="88"/>
  <c r="AK460" i="88" s="1"/>
  <c r="AM460" i="88" s="1"/>
  <c r="AI459" i="88"/>
  <c r="AK459" i="88" s="1"/>
  <c r="AM459" i="88" s="1"/>
  <c r="AI458" i="88"/>
  <c r="AK458" i="88" s="1"/>
  <c r="AM458" i="88" s="1"/>
  <c r="AI457" i="88"/>
  <c r="AK457" i="88" s="1"/>
  <c r="AM457" i="88" s="1"/>
  <c r="AI456" i="88"/>
  <c r="AK456" i="88" s="1"/>
  <c r="AM456" i="88" s="1"/>
  <c r="AI455" i="88"/>
  <c r="AK455" i="88" s="1"/>
  <c r="AM455" i="88" s="1"/>
  <c r="AI454" i="88"/>
  <c r="AK454" i="88" s="1"/>
  <c r="AM454" i="88" s="1"/>
  <c r="AI453" i="88"/>
  <c r="AK453" i="88" s="1"/>
  <c r="AM453" i="88" s="1"/>
  <c r="AI452" i="88"/>
  <c r="AK452" i="88" s="1"/>
  <c r="AM452" i="88" s="1"/>
  <c r="AI451" i="88"/>
  <c r="AK451" i="88" s="1"/>
  <c r="AM451" i="88" s="1"/>
  <c r="AI450" i="88"/>
  <c r="AK450" i="88" s="1"/>
  <c r="AM450" i="88" s="1"/>
  <c r="AI449" i="88"/>
  <c r="AK449" i="88" s="1"/>
  <c r="AM449" i="88" s="1"/>
  <c r="AI448" i="88"/>
  <c r="AK448" i="88" s="1"/>
  <c r="AM448" i="88" s="1"/>
  <c r="AI447" i="88"/>
  <c r="AK447" i="88" s="1"/>
  <c r="AM447" i="88" s="1"/>
  <c r="AI446" i="88"/>
  <c r="AK446" i="88" s="1"/>
  <c r="AM446" i="88" s="1"/>
  <c r="AI445" i="88"/>
  <c r="AK445" i="88" s="1"/>
  <c r="AM445" i="88" s="1"/>
  <c r="AI444" i="88"/>
  <c r="AK444" i="88" s="1"/>
  <c r="AM444" i="88" s="1"/>
  <c r="AI443" i="88"/>
  <c r="AK443" i="88" s="1"/>
  <c r="AM443" i="88" s="1"/>
  <c r="AI442" i="88"/>
  <c r="AK442" i="88" s="1"/>
  <c r="AM442" i="88" s="1"/>
  <c r="AI441" i="88"/>
  <c r="AK441" i="88" s="1"/>
  <c r="AM441" i="88" s="1"/>
  <c r="AI440" i="88"/>
  <c r="AK440" i="88" s="1"/>
  <c r="AM440" i="88" s="1"/>
  <c r="AI439" i="88"/>
  <c r="AK439" i="88" s="1"/>
  <c r="AM439" i="88" s="1"/>
  <c r="AI438" i="88"/>
  <c r="AK438" i="88" s="1"/>
  <c r="AM438" i="88" s="1"/>
  <c r="AI437" i="88"/>
  <c r="AK437" i="88" s="1"/>
  <c r="AM437" i="88" s="1"/>
  <c r="AI436" i="88"/>
  <c r="AK436" i="88" s="1"/>
  <c r="AM436" i="88" s="1"/>
  <c r="AI435" i="88"/>
  <c r="AK435" i="88" s="1"/>
  <c r="AM435" i="88" s="1"/>
  <c r="AI434" i="88"/>
  <c r="AK434" i="88" s="1"/>
  <c r="AM434" i="88" s="1"/>
  <c r="AI433" i="88"/>
  <c r="AK433" i="88" s="1"/>
  <c r="AM433" i="88" s="1"/>
  <c r="AI432" i="88"/>
  <c r="AK432" i="88" s="1"/>
  <c r="AM432" i="88" s="1"/>
  <c r="AI431" i="88"/>
  <c r="AK431" i="88" s="1"/>
  <c r="AM431" i="88" s="1"/>
  <c r="AI430" i="88"/>
  <c r="AK430" i="88" s="1"/>
  <c r="AM430" i="88" s="1"/>
  <c r="AI429" i="88"/>
  <c r="AK429" i="88" s="1"/>
  <c r="AM429" i="88" s="1"/>
  <c r="AI428" i="88"/>
  <c r="AK428" i="88" s="1"/>
  <c r="AM428" i="88" s="1"/>
  <c r="AI427" i="88"/>
  <c r="AK427" i="88" s="1"/>
  <c r="AM427" i="88" s="1"/>
  <c r="AI426" i="88"/>
  <c r="AK426" i="88" s="1"/>
  <c r="AM426" i="88" s="1"/>
  <c r="AI425" i="88"/>
  <c r="AK425" i="88" s="1"/>
  <c r="AM425" i="88" s="1"/>
  <c r="AI424" i="88"/>
  <c r="AK424" i="88" s="1"/>
  <c r="AM424" i="88" s="1"/>
  <c r="AI423" i="88"/>
  <c r="AK423" i="88" s="1"/>
  <c r="AM423" i="88" s="1"/>
  <c r="AI422" i="88"/>
  <c r="AK422" i="88" s="1"/>
  <c r="AM422" i="88" s="1"/>
  <c r="AI421" i="88"/>
  <c r="AK421" i="88" s="1"/>
  <c r="AM421" i="88" s="1"/>
  <c r="AI420" i="88"/>
  <c r="AK420" i="88" s="1"/>
  <c r="AM420" i="88" s="1"/>
  <c r="AI419" i="88"/>
  <c r="AK419" i="88" s="1"/>
  <c r="AM419" i="88" s="1"/>
  <c r="AI418" i="88"/>
  <c r="AK418" i="88" s="1"/>
  <c r="AM418" i="88" s="1"/>
  <c r="AI417" i="88"/>
  <c r="AK417" i="88" s="1"/>
  <c r="AM417" i="88" s="1"/>
  <c r="AI416" i="88"/>
  <c r="AK416" i="88" s="1"/>
  <c r="AM416" i="88" s="1"/>
  <c r="AI415" i="88"/>
  <c r="AK415" i="88" s="1"/>
  <c r="AM415" i="88" s="1"/>
  <c r="AI414" i="88"/>
  <c r="AK414" i="88" s="1"/>
  <c r="AM414" i="88" s="1"/>
  <c r="AI413" i="88"/>
  <c r="AK413" i="88" s="1"/>
  <c r="AM413" i="88" s="1"/>
  <c r="AI412" i="88"/>
  <c r="AK412" i="88" s="1"/>
  <c r="AM412" i="88" s="1"/>
  <c r="AI411" i="88"/>
  <c r="AK411" i="88" s="1"/>
  <c r="AM411" i="88" s="1"/>
  <c r="AI410" i="88"/>
  <c r="AK410" i="88" s="1"/>
  <c r="AM410" i="88" s="1"/>
  <c r="AI409" i="88"/>
  <c r="AK409" i="88" s="1"/>
  <c r="AM409" i="88" s="1"/>
  <c r="AI408" i="88"/>
  <c r="AK408" i="88" s="1"/>
  <c r="AM408" i="88" s="1"/>
  <c r="AI407" i="88"/>
  <c r="AK407" i="88" s="1"/>
  <c r="AM407" i="88" s="1"/>
  <c r="AI406" i="88"/>
  <c r="AK406" i="88" s="1"/>
  <c r="AM406" i="88" s="1"/>
  <c r="AI405" i="88"/>
  <c r="AK405" i="88" s="1"/>
  <c r="AM405" i="88" s="1"/>
  <c r="AI404" i="88"/>
  <c r="AK404" i="88" s="1"/>
  <c r="AM404" i="88" s="1"/>
  <c r="AI403" i="88"/>
  <c r="AK403" i="88" s="1"/>
  <c r="AM403" i="88" s="1"/>
  <c r="AI402" i="88"/>
  <c r="AK402" i="88" s="1"/>
  <c r="AM402" i="88" s="1"/>
  <c r="AI401" i="88"/>
  <c r="AK401" i="88" s="1"/>
  <c r="AM401" i="88" s="1"/>
  <c r="AI400" i="88"/>
  <c r="AK400" i="88" s="1"/>
  <c r="AM400" i="88" s="1"/>
  <c r="AI399" i="88"/>
  <c r="AK399" i="88" s="1"/>
  <c r="AM399" i="88" s="1"/>
  <c r="AI398" i="88"/>
  <c r="AK398" i="88" s="1"/>
  <c r="AM398" i="88" s="1"/>
  <c r="AI397" i="88"/>
  <c r="AK397" i="88" s="1"/>
  <c r="AM397" i="88" s="1"/>
  <c r="AI396" i="88"/>
  <c r="AK396" i="88" s="1"/>
  <c r="AM396" i="88" s="1"/>
  <c r="AI395" i="88"/>
  <c r="AK395" i="88" s="1"/>
  <c r="AM395" i="88" s="1"/>
  <c r="AI394" i="88"/>
  <c r="AK394" i="88" s="1"/>
  <c r="AM394" i="88" s="1"/>
  <c r="AI393" i="88"/>
  <c r="AK393" i="88" s="1"/>
  <c r="AM393" i="88" s="1"/>
  <c r="AI392" i="88"/>
  <c r="AK392" i="88" s="1"/>
  <c r="AM392" i="88" s="1"/>
  <c r="AI391" i="88"/>
  <c r="AK391" i="88" s="1"/>
  <c r="AM391" i="88" s="1"/>
  <c r="AI390" i="88"/>
  <c r="AK390" i="88" s="1"/>
  <c r="AM390" i="88" s="1"/>
  <c r="AI389" i="88"/>
  <c r="AK389" i="88" s="1"/>
  <c r="AM389" i="88" s="1"/>
  <c r="AI388" i="88"/>
  <c r="AK388" i="88" s="1"/>
  <c r="AM388" i="88" s="1"/>
  <c r="AI387" i="88"/>
  <c r="AK387" i="88" s="1"/>
  <c r="AM387" i="88" s="1"/>
  <c r="AI386" i="88"/>
  <c r="AK386" i="88" s="1"/>
  <c r="AM386" i="88" s="1"/>
  <c r="AI385" i="88"/>
  <c r="AK385" i="88" s="1"/>
  <c r="AM385" i="88" s="1"/>
  <c r="AI384" i="88"/>
  <c r="AK384" i="88" s="1"/>
  <c r="AM384" i="88" s="1"/>
  <c r="AI383" i="88"/>
  <c r="AK383" i="88" s="1"/>
  <c r="AM383" i="88" s="1"/>
  <c r="AI382" i="88"/>
  <c r="AK382" i="88" s="1"/>
  <c r="AM382" i="88" s="1"/>
  <c r="AI381" i="88"/>
  <c r="AK381" i="88" s="1"/>
  <c r="AM381" i="88" s="1"/>
  <c r="AI380" i="88"/>
  <c r="AK380" i="88" s="1"/>
  <c r="AM380" i="88" s="1"/>
  <c r="AI379" i="88"/>
  <c r="AK379" i="88" s="1"/>
  <c r="AM379" i="88" s="1"/>
  <c r="AI378" i="88"/>
  <c r="AK378" i="88" s="1"/>
  <c r="AM378" i="88" s="1"/>
  <c r="AI377" i="88"/>
  <c r="AK377" i="88" s="1"/>
  <c r="AM377" i="88" s="1"/>
  <c r="AI376" i="88"/>
  <c r="AK376" i="88" s="1"/>
  <c r="AM376" i="88" s="1"/>
  <c r="AI375" i="88"/>
  <c r="AK375" i="88" s="1"/>
  <c r="AM375" i="88" s="1"/>
  <c r="AI374" i="88"/>
  <c r="AK374" i="88" s="1"/>
  <c r="AM374" i="88" s="1"/>
  <c r="AI373" i="88"/>
  <c r="AK373" i="88" s="1"/>
  <c r="AM373" i="88" s="1"/>
  <c r="AI372" i="88"/>
  <c r="AK372" i="88" s="1"/>
  <c r="AM372" i="88" s="1"/>
  <c r="AI371" i="88"/>
  <c r="AK371" i="88" s="1"/>
  <c r="AM371" i="88" s="1"/>
  <c r="AI370" i="88"/>
  <c r="AK370" i="88" s="1"/>
  <c r="AM370" i="88" s="1"/>
  <c r="AI369" i="88"/>
  <c r="AK369" i="88" s="1"/>
  <c r="AM369" i="88" s="1"/>
  <c r="AI368" i="88"/>
  <c r="AK368" i="88" s="1"/>
  <c r="AM368" i="88" s="1"/>
  <c r="AI367" i="88"/>
  <c r="AK367" i="88" s="1"/>
  <c r="AM367" i="88" s="1"/>
  <c r="AI366" i="88"/>
  <c r="AK366" i="88" s="1"/>
  <c r="AM366" i="88" s="1"/>
  <c r="AI365" i="88"/>
  <c r="AK365" i="88" s="1"/>
  <c r="AM365" i="88" s="1"/>
  <c r="AI364" i="88"/>
  <c r="AK364" i="88" s="1"/>
  <c r="AM364" i="88" s="1"/>
  <c r="AI363" i="88"/>
  <c r="AK363" i="88" s="1"/>
  <c r="AM363" i="88" s="1"/>
  <c r="AI362" i="88"/>
  <c r="AK362" i="88" s="1"/>
  <c r="AM362" i="88" s="1"/>
  <c r="AI361" i="88"/>
  <c r="AK361" i="88" s="1"/>
  <c r="AM361" i="88" s="1"/>
  <c r="AI360" i="88"/>
  <c r="AK360" i="88" s="1"/>
  <c r="AM360" i="88" s="1"/>
  <c r="AI359" i="88"/>
  <c r="AK359" i="88" s="1"/>
  <c r="AM359" i="88" s="1"/>
  <c r="AI358" i="88"/>
  <c r="AK358" i="88" s="1"/>
  <c r="AM358" i="88" s="1"/>
  <c r="AI357" i="88"/>
  <c r="AK357" i="88" s="1"/>
  <c r="AM357" i="88" s="1"/>
  <c r="AI356" i="88"/>
  <c r="AK356" i="88" s="1"/>
  <c r="AM356" i="88" s="1"/>
  <c r="AI355" i="88"/>
  <c r="AK355" i="88" s="1"/>
  <c r="AM355" i="88" s="1"/>
  <c r="AI354" i="88"/>
  <c r="AK354" i="88" s="1"/>
  <c r="AM354" i="88" s="1"/>
  <c r="AI353" i="88"/>
  <c r="AK353" i="88" s="1"/>
  <c r="AM353" i="88" s="1"/>
  <c r="AI352" i="88"/>
  <c r="AK352" i="88" s="1"/>
  <c r="AM352" i="88" s="1"/>
  <c r="AI351" i="88"/>
  <c r="AK351" i="88" s="1"/>
  <c r="AM351" i="88" s="1"/>
  <c r="AI350" i="88"/>
  <c r="AK350" i="88" s="1"/>
  <c r="AM350" i="88" s="1"/>
  <c r="AI349" i="88"/>
  <c r="AK349" i="88" s="1"/>
  <c r="AM349" i="88" s="1"/>
  <c r="AI348" i="88"/>
  <c r="AK348" i="88" s="1"/>
  <c r="AM348" i="88" s="1"/>
  <c r="AI347" i="88"/>
  <c r="AK347" i="88" s="1"/>
  <c r="AM347" i="88" s="1"/>
  <c r="AI346" i="88"/>
  <c r="AK346" i="88" s="1"/>
  <c r="AM346" i="88" s="1"/>
  <c r="AI345" i="88"/>
  <c r="AK345" i="88" s="1"/>
  <c r="AM345" i="88" s="1"/>
  <c r="AI344" i="88"/>
  <c r="AK344" i="88" s="1"/>
  <c r="AM344" i="88" s="1"/>
  <c r="AI343" i="88"/>
  <c r="AK343" i="88" s="1"/>
  <c r="AM343" i="88" s="1"/>
  <c r="AI342" i="88"/>
  <c r="AK342" i="88" s="1"/>
  <c r="AM342" i="88" s="1"/>
  <c r="AI341" i="88"/>
  <c r="AK341" i="88" s="1"/>
  <c r="AM341" i="88" s="1"/>
  <c r="AI340" i="88"/>
  <c r="AK340" i="88" s="1"/>
  <c r="AM340" i="88" s="1"/>
  <c r="AI339" i="88"/>
  <c r="AK339" i="88" s="1"/>
  <c r="AM339" i="88" s="1"/>
  <c r="AI338" i="88"/>
  <c r="AK338" i="88" s="1"/>
  <c r="AM338" i="88" s="1"/>
  <c r="AI337" i="88"/>
  <c r="AK337" i="88" s="1"/>
  <c r="AM337" i="88" s="1"/>
  <c r="AI336" i="88"/>
  <c r="AK336" i="88" s="1"/>
  <c r="AM336" i="88" s="1"/>
  <c r="AI335" i="88"/>
  <c r="AK335" i="88" s="1"/>
  <c r="AM335" i="88" s="1"/>
  <c r="AI334" i="88"/>
  <c r="AK334" i="88" s="1"/>
  <c r="AM334" i="88" s="1"/>
  <c r="AI333" i="88"/>
  <c r="AK333" i="88" s="1"/>
  <c r="AM333" i="88" s="1"/>
  <c r="AI332" i="88"/>
  <c r="AK332" i="88" s="1"/>
  <c r="AM332" i="88" s="1"/>
  <c r="AI331" i="88"/>
  <c r="AK331" i="88" s="1"/>
  <c r="AM331" i="88" s="1"/>
  <c r="AI330" i="88"/>
  <c r="AK330" i="88" s="1"/>
  <c r="AM330" i="88" s="1"/>
  <c r="AI329" i="88"/>
  <c r="AK329" i="88" s="1"/>
  <c r="AM329" i="88" s="1"/>
  <c r="AI328" i="88"/>
  <c r="AK328" i="88" s="1"/>
  <c r="AM328" i="88" s="1"/>
  <c r="AI327" i="88"/>
  <c r="AK327" i="88" s="1"/>
  <c r="AM327" i="88" s="1"/>
  <c r="AI326" i="88"/>
  <c r="AK326" i="88" s="1"/>
  <c r="AM326" i="88" s="1"/>
  <c r="AI325" i="88"/>
  <c r="AK325" i="88" s="1"/>
  <c r="AM325" i="88" s="1"/>
  <c r="AI324" i="88"/>
  <c r="AK324" i="88" s="1"/>
  <c r="AM324" i="88" s="1"/>
  <c r="AI323" i="88"/>
  <c r="AK323" i="88" s="1"/>
  <c r="AM323" i="88" s="1"/>
  <c r="AI322" i="88"/>
  <c r="AK322" i="88" s="1"/>
  <c r="AM322" i="88" s="1"/>
  <c r="AI321" i="88"/>
  <c r="AK321" i="88" s="1"/>
  <c r="AM321" i="88" s="1"/>
  <c r="AI320" i="88"/>
  <c r="AK320" i="88" s="1"/>
  <c r="AM320" i="88" s="1"/>
  <c r="AI319" i="88"/>
  <c r="AK319" i="88" s="1"/>
  <c r="AM319" i="88" s="1"/>
  <c r="AI318" i="88"/>
  <c r="AK318" i="88" s="1"/>
  <c r="AM318" i="88" s="1"/>
  <c r="AI317" i="88"/>
  <c r="AK317" i="88" s="1"/>
  <c r="AM317" i="88" s="1"/>
  <c r="AI316" i="88"/>
  <c r="AK316" i="88" s="1"/>
  <c r="AM316" i="88" s="1"/>
  <c r="AI315" i="88"/>
  <c r="AK315" i="88" s="1"/>
  <c r="AM315" i="88" s="1"/>
  <c r="AI314" i="88"/>
  <c r="AK314" i="88" s="1"/>
  <c r="AM314" i="88" s="1"/>
  <c r="AI313" i="88"/>
  <c r="AK313" i="88" s="1"/>
  <c r="AM313" i="88" s="1"/>
  <c r="AI312" i="88"/>
  <c r="AK312" i="88" s="1"/>
  <c r="AM312" i="88" s="1"/>
  <c r="AI311" i="88"/>
  <c r="AK311" i="88" s="1"/>
  <c r="AM311" i="88" s="1"/>
  <c r="AI310" i="88"/>
  <c r="AK310" i="88" s="1"/>
  <c r="AM310" i="88" s="1"/>
  <c r="AI309" i="88"/>
  <c r="AK309" i="88" s="1"/>
  <c r="AM309" i="88" s="1"/>
  <c r="AI308" i="88"/>
  <c r="AK308" i="88" s="1"/>
  <c r="AM308" i="88" s="1"/>
  <c r="AI307" i="88"/>
  <c r="AK307" i="88" s="1"/>
  <c r="AM307" i="88" s="1"/>
  <c r="AI306" i="88"/>
  <c r="AK306" i="88" s="1"/>
  <c r="AM306" i="88" s="1"/>
  <c r="AI305" i="88"/>
  <c r="AK305" i="88" s="1"/>
  <c r="AM305" i="88" s="1"/>
  <c r="AI304" i="88"/>
  <c r="AK304" i="88" s="1"/>
  <c r="AM304" i="88" s="1"/>
  <c r="AI303" i="88"/>
  <c r="AK303" i="88" s="1"/>
  <c r="AM303" i="88" s="1"/>
  <c r="AI302" i="88"/>
  <c r="AK302" i="88" s="1"/>
  <c r="AM302" i="88" s="1"/>
  <c r="AI301" i="88"/>
  <c r="AK301" i="88" s="1"/>
  <c r="AM301" i="88" s="1"/>
  <c r="AI300" i="88"/>
  <c r="AK300" i="88" s="1"/>
  <c r="AM300" i="88" s="1"/>
  <c r="AI299" i="88"/>
  <c r="AK299" i="88" s="1"/>
  <c r="AM299" i="88" s="1"/>
  <c r="AI298" i="88"/>
  <c r="AK298" i="88" s="1"/>
  <c r="AM298" i="88" s="1"/>
  <c r="AI297" i="88"/>
  <c r="AK297" i="88" s="1"/>
  <c r="AM297" i="88" s="1"/>
  <c r="AI296" i="88"/>
  <c r="AK296" i="88" s="1"/>
  <c r="AM296" i="88" s="1"/>
  <c r="AI295" i="88"/>
  <c r="AK295" i="88" s="1"/>
  <c r="AM295" i="88" s="1"/>
  <c r="AI294" i="88"/>
  <c r="AK294" i="88" s="1"/>
  <c r="AM294" i="88" s="1"/>
  <c r="AI293" i="88"/>
  <c r="AK293" i="88" s="1"/>
  <c r="AM293" i="88" s="1"/>
  <c r="AI292" i="88"/>
  <c r="AK292" i="88" s="1"/>
  <c r="AM292" i="88" s="1"/>
  <c r="AI291" i="88"/>
  <c r="AK291" i="88" s="1"/>
  <c r="AM291" i="88" s="1"/>
  <c r="AI290" i="88"/>
  <c r="AK290" i="88" s="1"/>
  <c r="AM290" i="88" s="1"/>
  <c r="AI289" i="88"/>
  <c r="AK289" i="88" s="1"/>
  <c r="AM289" i="88" s="1"/>
  <c r="AI288" i="88"/>
  <c r="AK288" i="88" s="1"/>
  <c r="AM288" i="88" s="1"/>
  <c r="AI287" i="88"/>
  <c r="AK287" i="88" s="1"/>
  <c r="AM287" i="88" s="1"/>
  <c r="AI286" i="88"/>
  <c r="AK286" i="88" s="1"/>
  <c r="AM286" i="88" s="1"/>
  <c r="AI285" i="88"/>
  <c r="AK285" i="88" s="1"/>
  <c r="AM285" i="88" s="1"/>
  <c r="AI284" i="88"/>
  <c r="AK284" i="88" s="1"/>
  <c r="AM284" i="88" s="1"/>
  <c r="AI283" i="88"/>
  <c r="AK283" i="88" s="1"/>
  <c r="AM283" i="88" s="1"/>
  <c r="AI282" i="88"/>
  <c r="AK282" i="88" s="1"/>
  <c r="AM282" i="88" s="1"/>
  <c r="AI281" i="88"/>
  <c r="AK281" i="88" s="1"/>
  <c r="AM281" i="88" s="1"/>
  <c r="AI280" i="88"/>
  <c r="AK280" i="88" s="1"/>
  <c r="AM280" i="88" s="1"/>
  <c r="AI279" i="88"/>
  <c r="AK279" i="88" s="1"/>
  <c r="AM279" i="88" s="1"/>
  <c r="AI278" i="88"/>
  <c r="AK278" i="88" s="1"/>
  <c r="AM278" i="88" s="1"/>
  <c r="AI277" i="88"/>
  <c r="AK277" i="88" s="1"/>
  <c r="AM277" i="88" s="1"/>
  <c r="AI276" i="88"/>
  <c r="AK276" i="88" s="1"/>
  <c r="AM276" i="88" s="1"/>
  <c r="AI275" i="88"/>
  <c r="AK275" i="88" s="1"/>
  <c r="AM275" i="88" s="1"/>
  <c r="AI274" i="88"/>
  <c r="AK274" i="88" s="1"/>
  <c r="AM274" i="88" s="1"/>
  <c r="AI273" i="88"/>
  <c r="AK273" i="88" s="1"/>
  <c r="AM273" i="88" s="1"/>
  <c r="AI272" i="88"/>
  <c r="AK272" i="88" s="1"/>
  <c r="AM272" i="88" s="1"/>
  <c r="AI271" i="88"/>
  <c r="AK271" i="88" s="1"/>
  <c r="AM271" i="88" s="1"/>
  <c r="AI270" i="88"/>
  <c r="AK270" i="88" s="1"/>
  <c r="AM270" i="88" s="1"/>
  <c r="AI269" i="88"/>
  <c r="AK269" i="88" s="1"/>
  <c r="AM269" i="88" s="1"/>
  <c r="AI268" i="88"/>
  <c r="AK268" i="88" s="1"/>
  <c r="AM268" i="88" s="1"/>
  <c r="AI267" i="88"/>
  <c r="AK267" i="88" s="1"/>
  <c r="AM267" i="88" s="1"/>
  <c r="AI266" i="88"/>
  <c r="AK266" i="88" s="1"/>
  <c r="AM266" i="88" s="1"/>
  <c r="AI265" i="88"/>
  <c r="AK265" i="88" s="1"/>
  <c r="AM265" i="88" s="1"/>
  <c r="AI264" i="88"/>
  <c r="AK264" i="88" s="1"/>
  <c r="AM264" i="88" s="1"/>
  <c r="AI263" i="88"/>
  <c r="AK263" i="88" s="1"/>
  <c r="AM263" i="88" s="1"/>
  <c r="AI262" i="88"/>
  <c r="AK262" i="88" s="1"/>
  <c r="AM262" i="88" s="1"/>
  <c r="AI261" i="88"/>
  <c r="AK261" i="88" s="1"/>
  <c r="AM261" i="88" s="1"/>
  <c r="AI260" i="88"/>
  <c r="AK260" i="88" s="1"/>
  <c r="AM260" i="88" s="1"/>
  <c r="AI259" i="88"/>
  <c r="AK259" i="88" s="1"/>
  <c r="AM259" i="88" s="1"/>
  <c r="AI258" i="88"/>
  <c r="AK258" i="88" s="1"/>
  <c r="AM258" i="88" s="1"/>
  <c r="AI257" i="88"/>
  <c r="AK257" i="88" s="1"/>
  <c r="AM257" i="88" s="1"/>
  <c r="AI256" i="88"/>
  <c r="AK256" i="88" s="1"/>
  <c r="AM256" i="88" s="1"/>
  <c r="AI255" i="88"/>
  <c r="AK255" i="88" s="1"/>
  <c r="AM255" i="88" s="1"/>
  <c r="AI254" i="88"/>
  <c r="AK254" i="88" s="1"/>
  <c r="AM254" i="88" s="1"/>
  <c r="AI253" i="88"/>
  <c r="AK253" i="88" s="1"/>
  <c r="AM253" i="88" s="1"/>
  <c r="AI252" i="88"/>
  <c r="AK252" i="88" s="1"/>
  <c r="AM252" i="88" s="1"/>
  <c r="AI251" i="88"/>
  <c r="AK251" i="88" s="1"/>
  <c r="AM251" i="88" s="1"/>
  <c r="AI250" i="88"/>
  <c r="AK250" i="88" s="1"/>
  <c r="AM250" i="88" s="1"/>
  <c r="AI249" i="88"/>
  <c r="AK249" i="88" s="1"/>
  <c r="AM249" i="88" s="1"/>
  <c r="AI248" i="88"/>
  <c r="AK248" i="88" s="1"/>
  <c r="AM248" i="88" s="1"/>
  <c r="AI247" i="88"/>
  <c r="AK247" i="88" s="1"/>
  <c r="AM247" i="88" s="1"/>
  <c r="AI246" i="88"/>
  <c r="AK246" i="88" s="1"/>
  <c r="AM246" i="88" s="1"/>
  <c r="AI245" i="88"/>
  <c r="AK245" i="88" s="1"/>
  <c r="AM245" i="88" s="1"/>
  <c r="AI244" i="88"/>
  <c r="AK244" i="88" s="1"/>
  <c r="AM244" i="88" s="1"/>
  <c r="AI243" i="88"/>
  <c r="AK243" i="88" s="1"/>
  <c r="AM243" i="88" s="1"/>
  <c r="AI242" i="88"/>
  <c r="AK242" i="88" s="1"/>
  <c r="AM242" i="88" s="1"/>
  <c r="AI241" i="88"/>
  <c r="AK241" i="88" s="1"/>
  <c r="AM241" i="88" s="1"/>
  <c r="AI240" i="88"/>
  <c r="AK240" i="88" s="1"/>
  <c r="AM240" i="88" s="1"/>
  <c r="D239" i="88"/>
  <c r="AI239" i="88" s="1"/>
  <c r="AK239" i="88" s="1"/>
  <c r="AM239" i="88" s="1"/>
  <c r="X238" i="88"/>
  <c r="AI238" i="88" s="1"/>
  <c r="AK238" i="88" s="1"/>
  <c r="AM238" i="88" s="1"/>
  <c r="W237" i="88"/>
  <c r="L237" i="88"/>
  <c r="J237" i="88"/>
  <c r="AI236" i="88"/>
  <c r="AK236" i="88" s="1"/>
  <c r="AM236" i="88" s="1"/>
  <c r="AI235" i="88"/>
  <c r="AK235" i="88" s="1"/>
  <c r="AM235" i="88" s="1"/>
  <c r="AI234" i="88"/>
  <c r="AK234" i="88" s="1"/>
  <c r="AM234" i="88" s="1"/>
  <c r="AI233" i="88"/>
  <c r="AK233" i="88" s="1"/>
  <c r="AM233" i="88" s="1"/>
  <c r="AI232" i="88"/>
  <c r="AK232" i="88" s="1"/>
  <c r="AM232" i="88" s="1"/>
  <c r="AI231" i="88"/>
  <c r="AK231" i="88" s="1"/>
  <c r="AM231" i="88" s="1"/>
  <c r="AI230" i="88"/>
  <c r="AK230" i="88" s="1"/>
  <c r="AM230" i="88" s="1"/>
  <c r="AI229" i="88"/>
  <c r="AK229" i="88" s="1"/>
  <c r="AM229" i="88" s="1"/>
  <c r="AI228" i="88"/>
  <c r="AK228" i="88" s="1"/>
  <c r="AM228" i="88" s="1"/>
  <c r="AI227" i="88"/>
  <c r="AK227" i="88" s="1"/>
  <c r="AM227" i="88" s="1"/>
  <c r="AI226" i="88"/>
  <c r="AK226" i="88" s="1"/>
  <c r="AM226" i="88" s="1"/>
  <c r="AI225" i="88"/>
  <c r="AK225" i="88" s="1"/>
  <c r="AM225" i="88" s="1"/>
  <c r="AI224" i="88"/>
  <c r="AK224" i="88" s="1"/>
  <c r="AM224" i="88" s="1"/>
  <c r="AI223" i="88"/>
  <c r="AK223" i="88" s="1"/>
  <c r="AM223" i="88" s="1"/>
  <c r="AI222" i="88"/>
  <c r="AK222" i="88" s="1"/>
  <c r="AM222" i="88" s="1"/>
  <c r="AI221" i="88"/>
  <c r="AK221" i="88" s="1"/>
  <c r="AM221" i="88" s="1"/>
  <c r="AI220" i="88"/>
  <c r="AK220" i="88" s="1"/>
  <c r="AM220" i="88" s="1"/>
  <c r="AI219" i="88"/>
  <c r="AK219" i="88" s="1"/>
  <c r="AM219" i="88" s="1"/>
  <c r="AI218" i="88"/>
  <c r="AK218" i="88" s="1"/>
  <c r="AM218" i="88" s="1"/>
  <c r="AI217" i="88"/>
  <c r="AK217" i="88" s="1"/>
  <c r="AM217" i="88" s="1"/>
  <c r="AI216" i="88"/>
  <c r="AK216" i="88" s="1"/>
  <c r="AM216" i="88" s="1"/>
  <c r="AI215" i="88"/>
  <c r="AK215" i="88" s="1"/>
  <c r="AM215" i="88" s="1"/>
  <c r="AI214" i="88"/>
  <c r="AK214" i="88" s="1"/>
  <c r="AM214" i="88" s="1"/>
  <c r="AI213" i="88"/>
  <c r="AK213" i="88" s="1"/>
  <c r="AM213" i="88" s="1"/>
  <c r="AI212" i="88"/>
  <c r="AK212" i="88" s="1"/>
  <c r="AM212" i="88" s="1"/>
  <c r="AI211" i="88"/>
  <c r="AK211" i="88" s="1"/>
  <c r="AM211" i="88" s="1"/>
  <c r="AI210" i="88"/>
  <c r="AK210" i="88" s="1"/>
  <c r="AM210" i="88" s="1"/>
  <c r="AI209" i="88"/>
  <c r="AK209" i="88" s="1"/>
  <c r="AM209" i="88" s="1"/>
  <c r="AI208" i="88"/>
  <c r="AK208" i="88" s="1"/>
  <c r="AM208" i="88" s="1"/>
  <c r="AI207" i="88"/>
  <c r="AK207" i="88" s="1"/>
  <c r="AM207" i="88" s="1"/>
  <c r="AI206" i="88"/>
  <c r="AK206" i="88" s="1"/>
  <c r="AM206" i="88" s="1"/>
  <c r="AI205" i="88"/>
  <c r="AK205" i="88" s="1"/>
  <c r="AM205" i="88" s="1"/>
  <c r="AI204" i="88"/>
  <c r="AK204" i="88" s="1"/>
  <c r="AM204" i="88" s="1"/>
  <c r="AI203" i="88"/>
  <c r="AK203" i="88" s="1"/>
  <c r="AM203" i="88" s="1"/>
  <c r="AI202" i="88"/>
  <c r="AK202" i="88" s="1"/>
  <c r="AM202" i="88" s="1"/>
  <c r="AI201" i="88"/>
  <c r="AK201" i="88" s="1"/>
  <c r="AM201" i="88" s="1"/>
  <c r="AI200" i="88"/>
  <c r="AK200" i="88" s="1"/>
  <c r="AM200" i="88" s="1"/>
  <c r="AI199" i="88"/>
  <c r="AK199" i="88" s="1"/>
  <c r="AM199" i="88" s="1"/>
  <c r="AI198" i="88"/>
  <c r="AK198" i="88" s="1"/>
  <c r="AM198" i="88" s="1"/>
  <c r="AI197" i="88"/>
  <c r="AK197" i="88" s="1"/>
  <c r="AM197" i="88" s="1"/>
  <c r="AI196" i="88"/>
  <c r="AK196" i="88" s="1"/>
  <c r="AM196" i="88" s="1"/>
  <c r="AI195" i="88"/>
  <c r="AK195" i="88" s="1"/>
  <c r="AM195" i="88" s="1"/>
  <c r="AI194" i="88"/>
  <c r="AK194" i="88" s="1"/>
  <c r="AM194" i="88" s="1"/>
  <c r="AI193" i="88"/>
  <c r="AK193" i="88" s="1"/>
  <c r="AM193" i="88" s="1"/>
  <c r="AI192" i="88"/>
  <c r="AK192" i="88" s="1"/>
  <c r="AM192" i="88" s="1"/>
  <c r="AI191" i="88"/>
  <c r="AK191" i="88" s="1"/>
  <c r="AM191" i="88" s="1"/>
  <c r="AI190" i="88"/>
  <c r="AK190" i="88" s="1"/>
  <c r="AM190" i="88" s="1"/>
  <c r="AI189" i="88"/>
  <c r="AK189" i="88" s="1"/>
  <c r="AM189" i="88" s="1"/>
  <c r="AI188" i="88"/>
  <c r="AK188" i="88" s="1"/>
  <c r="AM188" i="88" s="1"/>
  <c r="AI187" i="88"/>
  <c r="AK187" i="88" s="1"/>
  <c r="AM187" i="88" s="1"/>
  <c r="AI186" i="88"/>
  <c r="AK186" i="88" s="1"/>
  <c r="AM186" i="88" s="1"/>
  <c r="AI185" i="88"/>
  <c r="AK185" i="88" s="1"/>
  <c r="AM185" i="88" s="1"/>
  <c r="AI184" i="88"/>
  <c r="AK184" i="88" s="1"/>
  <c r="AM184" i="88" s="1"/>
  <c r="AI183" i="88"/>
  <c r="AK183" i="88" s="1"/>
  <c r="AM183" i="88" s="1"/>
  <c r="AI182" i="88"/>
  <c r="AK182" i="88" s="1"/>
  <c r="AM182" i="88" s="1"/>
  <c r="AI181" i="88"/>
  <c r="AK181" i="88" s="1"/>
  <c r="AM181" i="88" s="1"/>
  <c r="AI180" i="88"/>
  <c r="AK180" i="88" s="1"/>
  <c r="AM180" i="88" s="1"/>
  <c r="AI179" i="88"/>
  <c r="AK179" i="88" s="1"/>
  <c r="AM179" i="88" s="1"/>
  <c r="AI178" i="88"/>
  <c r="AK178" i="88" s="1"/>
  <c r="AM178" i="88" s="1"/>
  <c r="AI177" i="88"/>
  <c r="AK177" i="88" s="1"/>
  <c r="AM177" i="88" s="1"/>
  <c r="AI176" i="88"/>
  <c r="AK176" i="88" s="1"/>
  <c r="AM176" i="88" s="1"/>
  <c r="AI175" i="88"/>
  <c r="AK175" i="88" s="1"/>
  <c r="AM175" i="88" s="1"/>
  <c r="AI174" i="88"/>
  <c r="AK174" i="88" s="1"/>
  <c r="AM174" i="88" s="1"/>
  <c r="AI173" i="88"/>
  <c r="AK173" i="88" s="1"/>
  <c r="AM173" i="88" s="1"/>
  <c r="AI172" i="88"/>
  <c r="AK172" i="88" s="1"/>
  <c r="AM172" i="88" s="1"/>
  <c r="AI171" i="88"/>
  <c r="AK171" i="88" s="1"/>
  <c r="AM171" i="88" s="1"/>
  <c r="AI170" i="88"/>
  <c r="AK170" i="88" s="1"/>
  <c r="AM170" i="88" s="1"/>
  <c r="AI169" i="88"/>
  <c r="AK169" i="88" s="1"/>
  <c r="AM169" i="88" s="1"/>
  <c r="AI168" i="88"/>
  <c r="AK168" i="88" s="1"/>
  <c r="AM168" i="88" s="1"/>
  <c r="AI167" i="88"/>
  <c r="AK167" i="88" s="1"/>
  <c r="AM167" i="88" s="1"/>
  <c r="AI166" i="88"/>
  <c r="AK166" i="88" s="1"/>
  <c r="AM166" i="88" s="1"/>
  <c r="AI165" i="88"/>
  <c r="AK165" i="88" s="1"/>
  <c r="AM165" i="88" s="1"/>
  <c r="AI164" i="88"/>
  <c r="AK164" i="88" s="1"/>
  <c r="AM164" i="88" s="1"/>
  <c r="AI163" i="88"/>
  <c r="AK163" i="88" s="1"/>
  <c r="AM163" i="88" s="1"/>
  <c r="AI162" i="88"/>
  <c r="AK162" i="88" s="1"/>
  <c r="AM162" i="88" s="1"/>
  <c r="AI161" i="88"/>
  <c r="AK161" i="88" s="1"/>
  <c r="AM161" i="88" s="1"/>
  <c r="AI160" i="88"/>
  <c r="AK160" i="88" s="1"/>
  <c r="AM160" i="88" s="1"/>
  <c r="AI159" i="88"/>
  <c r="AK159" i="88" s="1"/>
  <c r="AM159" i="88" s="1"/>
  <c r="AI158" i="88"/>
  <c r="AK158" i="88" s="1"/>
  <c r="AM158" i="88" s="1"/>
  <c r="AI157" i="88"/>
  <c r="AK157" i="88" s="1"/>
  <c r="AM157" i="88" s="1"/>
  <c r="AI156" i="88"/>
  <c r="AK156" i="88" s="1"/>
  <c r="AM156" i="88" s="1"/>
  <c r="AI155" i="88"/>
  <c r="AK155" i="88" s="1"/>
  <c r="AM155" i="88" s="1"/>
  <c r="AI154" i="88"/>
  <c r="AK154" i="88" s="1"/>
  <c r="AM154" i="88" s="1"/>
  <c r="AI153" i="88"/>
  <c r="AK153" i="88" s="1"/>
  <c r="AM153" i="88" s="1"/>
  <c r="AI152" i="88"/>
  <c r="AK152" i="88" s="1"/>
  <c r="AM152" i="88" s="1"/>
  <c r="AI151" i="88"/>
  <c r="AK151" i="88" s="1"/>
  <c r="AM151" i="88" s="1"/>
  <c r="AI150" i="88"/>
  <c r="AK150" i="88" s="1"/>
  <c r="AM150" i="88" s="1"/>
  <c r="AI149" i="88"/>
  <c r="AK149" i="88" s="1"/>
  <c r="AM149" i="88" s="1"/>
  <c r="AI148" i="88"/>
  <c r="AK148" i="88" s="1"/>
  <c r="AM148" i="88" s="1"/>
  <c r="AI147" i="88"/>
  <c r="AK147" i="88" s="1"/>
  <c r="AM147" i="88" s="1"/>
  <c r="AI146" i="88"/>
  <c r="AK146" i="88" s="1"/>
  <c r="AM146" i="88" s="1"/>
  <c r="AI145" i="88"/>
  <c r="AK145" i="88" s="1"/>
  <c r="AM145" i="88" s="1"/>
  <c r="AI144" i="88"/>
  <c r="AK144" i="88" s="1"/>
  <c r="AM144" i="88" s="1"/>
  <c r="AI143" i="88"/>
  <c r="AK143" i="88" s="1"/>
  <c r="AM143" i="88" s="1"/>
  <c r="AI142" i="88"/>
  <c r="AK142" i="88" s="1"/>
  <c r="AM142" i="88" s="1"/>
  <c r="AI141" i="88"/>
  <c r="AK141" i="88" s="1"/>
  <c r="AM141" i="88" s="1"/>
  <c r="AI140" i="88"/>
  <c r="AK140" i="88" s="1"/>
  <c r="AM140" i="88" s="1"/>
  <c r="AI139" i="88"/>
  <c r="AK139" i="88" s="1"/>
  <c r="AM139" i="88" s="1"/>
  <c r="AI138" i="88"/>
  <c r="AK138" i="88" s="1"/>
  <c r="AM138" i="88" s="1"/>
  <c r="AI137" i="88"/>
  <c r="AK137" i="88" s="1"/>
  <c r="AM137" i="88" s="1"/>
  <c r="AI136" i="88"/>
  <c r="AK136" i="88" s="1"/>
  <c r="AM136" i="88" s="1"/>
  <c r="AI135" i="88"/>
  <c r="AK135" i="88" s="1"/>
  <c r="AM135" i="88" s="1"/>
  <c r="AI134" i="88"/>
  <c r="AK134" i="88" s="1"/>
  <c r="AM134" i="88" s="1"/>
  <c r="AI133" i="88"/>
  <c r="AK133" i="88" s="1"/>
  <c r="AM133" i="88" s="1"/>
  <c r="AI132" i="88"/>
  <c r="AK132" i="88" s="1"/>
  <c r="AM132" i="88" s="1"/>
  <c r="AI131" i="88"/>
  <c r="AK131" i="88" s="1"/>
  <c r="AM131" i="88" s="1"/>
  <c r="AI130" i="88"/>
  <c r="AK130" i="88" s="1"/>
  <c r="AM130" i="88" s="1"/>
  <c r="AI129" i="88"/>
  <c r="AK129" i="88" s="1"/>
  <c r="AM129" i="88" s="1"/>
  <c r="AI128" i="88"/>
  <c r="AK128" i="88" s="1"/>
  <c r="AM128" i="88" s="1"/>
  <c r="AI127" i="88"/>
  <c r="AK127" i="88" s="1"/>
  <c r="AM127" i="88" s="1"/>
  <c r="AI126" i="88"/>
  <c r="AK126" i="88" s="1"/>
  <c r="AM126" i="88" s="1"/>
  <c r="AI125" i="88"/>
  <c r="AK125" i="88" s="1"/>
  <c r="AM125" i="88" s="1"/>
  <c r="AI124" i="88"/>
  <c r="AK124" i="88" s="1"/>
  <c r="AM124" i="88" s="1"/>
  <c r="AI123" i="88"/>
  <c r="AK123" i="88" s="1"/>
  <c r="AM123" i="88" s="1"/>
  <c r="AI122" i="88"/>
  <c r="AK122" i="88" s="1"/>
  <c r="AM122" i="88" s="1"/>
  <c r="AI121" i="88"/>
  <c r="AK121" i="88" s="1"/>
  <c r="AM121" i="88" s="1"/>
  <c r="AI120" i="88"/>
  <c r="AK120" i="88" s="1"/>
  <c r="AM120" i="88" s="1"/>
  <c r="AI119" i="88"/>
  <c r="AK119" i="88" s="1"/>
  <c r="AM119" i="88" s="1"/>
  <c r="AI118" i="88"/>
  <c r="AK118" i="88" s="1"/>
  <c r="AM118" i="88" s="1"/>
  <c r="AI117" i="88"/>
  <c r="AK117" i="88" s="1"/>
  <c r="AM117" i="88" s="1"/>
  <c r="AI116" i="88"/>
  <c r="AK116" i="88" s="1"/>
  <c r="AM116" i="88" s="1"/>
  <c r="AI115" i="88"/>
  <c r="AK115" i="88" s="1"/>
  <c r="AM115" i="88" s="1"/>
  <c r="AI114" i="88"/>
  <c r="AK114" i="88" s="1"/>
  <c r="AM114" i="88" s="1"/>
  <c r="AI113" i="88"/>
  <c r="AK113" i="88" s="1"/>
  <c r="AM113" i="88" s="1"/>
  <c r="AI112" i="88"/>
  <c r="AK112" i="88" s="1"/>
  <c r="AM112" i="88" s="1"/>
  <c r="AI111" i="88"/>
  <c r="AK111" i="88" s="1"/>
  <c r="AM111" i="88" s="1"/>
  <c r="AI110" i="88"/>
  <c r="AK110" i="88" s="1"/>
  <c r="AM110" i="88" s="1"/>
  <c r="AI109" i="88"/>
  <c r="AK109" i="88" s="1"/>
  <c r="AM109" i="88" s="1"/>
  <c r="AI108" i="88"/>
  <c r="AK108" i="88" s="1"/>
  <c r="AM108" i="88" s="1"/>
  <c r="AI107" i="88"/>
  <c r="AK107" i="88" s="1"/>
  <c r="AM107" i="88" s="1"/>
  <c r="AI106" i="88"/>
  <c r="AK106" i="88" s="1"/>
  <c r="AM106" i="88" s="1"/>
  <c r="AI105" i="88"/>
  <c r="AK105" i="88" s="1"/>
  <c r="AM105" i="88" s="1"/>
  <c r="AI104" i="88"/>
  <c r="AK104" i="88" s="1"/>
  <c r="AM104" i="88" s="1"/>
  <c r="AI103" i="88"/>
  <c r="AK103" i="88" s="1"/>
  <c r="AM103" i="88" s="1"/>
  <c r="AI102" i="88"/>
  <c r="AK102" i="88" s="1"/>
  <c r="AM102" i="88" s="1"/>
  <c r="AI101" i="88"/>
  <c r="AK101" i="88" s="1"/>
  <c r="AM101" i="88" s="1"/>
  <c r="AI100" i="88"/>
  <c r="AK100" i="88" s="1"/>
  <c r="AM100" i="88" s="1"/>
  <c r="AI99" i="88"/>
  <c r="AK99" i="88" s="1"/>
  <c r="AM99" i="88" s="1"/>
  <c r="AI98" i="88"/>
  <c r="AK98" i="88" s="1"/>
  <c r="AM98" i="88" s="1"/>
  <c r="AI97" i="88"/>
  <c r="AK97" i="88" s="1"/>
  <c r="AM97" i="88" s="1"/>
  <c r="AI96" i="88"/>
  <c r="AK96" i="88" s="1"/>
  <c r="AM96" i="88" s="1"/>
  <c r="AI95" i="88"/>
  <c r="AK95" i="88" s="1"/>
  <c r="AM95" i="88" s="1"/>
  <c r="AI94" i="88"/>
  <c r="AK94" i="88" s="1"/>
  <c r="AM94" i="88" s="1"/>
  <c r="AI93" i="88"/>
  <c r="AK93" i="88" s="1"/>
  <c r="AM93" i="88" s="1"/>
  <c r="AI92" i="88"/>
  <c r="AK92" i="88" s="1"/>
  <c r="AM92" i="88" s="1"/>
  <c r="AI91" i="88"/>
  <c r="AK91" i="88" s="1"/>
  <c r="AM91" i="88" s="1"/>
  <c r="AI90" i="88"/>
  <c r="AK90" i="88" s="1"/>
  <c r="AM90" i="88" s="1"/>
  <c r="AI89" i="88"/>
  <c r="AK89" i="88" s="1"/>
  <c r="AM89" i="88" s="1"/>
  <c r="AI88" i="88"/>
  <c r="AK88" i="88" s="1"/>
  <c r="AM88" i="88" s="1"/>
  <c r="AI87" i="88"/>
  <c r="AK87" i="88" s="1"/>
  <c r="AM87" i="88" s="1"/>
  <c r="AI86" i="88"/>
  <c r="AK86" i="88" s="1"/>
  <c r="AM86" i="88" s="1"/>
  <c r="AI85" i="88"/>
  <c r="AK85" i="88" s="1"/>
  <c r="AM85" i="88" s="1"/>
  <c r="AI84" i="88"/>
  <c r="AK84" i="88" s="1"/>
  <c r="AM84" i="88" s="1"/>
  <c r="AI83" i="88"/>
  <c r="AK83" i="88" s="1"/>
  <c r="AM83" i="88" s="1"/>
  <c r="AI82" i="88"/>
  <c r="AK82" i="88" s="1"/>
  <c r="AM82" i="88" s="1"/>
  <c r="AI81" i="88"/>
  <c r="AK81" i="88" s="1"/>
  <c r="AM81" i="88" s="1"/>
  <c r="AI80" i="88"/>
  <c r="AK80" i="88" s="1"/>
  <c r="AM80" i="88" s="1"/>
  <c r="AI79" i="88"/>
  <c r="AK79" i="88" s="1"/>
  <c r="AM79" i="88" s="1"/>
  <c r="AI78" i="88"/>
  <c r="AK78" i="88" s="1"/>
  <c r="AM78" i="88" s="1"/>
  <c r="AI77" i="88"/>
  <c r="AK77" i="88" s="1"/>
  <c r="AM77" i="88" s="1"/>
  <c r="AI76" i="88"/>
  <c r="AK76" i="88" s="1"/>
  <c r="AM76" i="88" s="1"/>
  <c r="AI75" i="88"/>
  <c r="AK75" i="88" s="1"/>
  <c r="AM75" i="88" s="1"/>
  <c r="AI74" i="88"/>
  <c r="AK74" i="88" s="1"/>
  <c r="AM74" i="88" s="1"/>
  <c r="AI73" i="88"/>
  <c r="AK73" i="88" s="1"/>
  <c r="AM73" i="88" s="1"/>
  <c r="AI72" i="88"/>
  <c r="AK72" i="88" s="1"/>
  <c r="AM72" i="88" s="1"/>
  <c r="AI71" i="88"/>
  <c r="AK71" i="88" s="1"/>
  <c r="AM71" i="88" s="1"/>
  <c r="AI70" i="88"/>
  <c r="AK70" i="88" s="1"/>
  <c r="AM70" i="88" s="1"/>
  <c r="AI69" i="88"/>
  <c r="AK69" i="88" s="1"/>
  <c r="AM69" i="88" s="1"/>
  <c r="AI68" i="88"/>
  <c r="AK68" i="88" s="1"/>
  <c r="AM68" i="88" s="1"/>
  <c r="AI67" i="88"/>
  <c r="AK67" i="88" s="1"/>
  <c r="AM67" i="88" s="1"/>
  <c r="AI66" i="88"/>
  <c r="AK66" i="88" s="1"/>
  <c r="AM66" i="88" s="1"/>
  <c r="AI65" i="88"/>
  <c r="AK65" i="88" s="1"/>
  <c r="AM65" i="88" s="1"/>
  <c r="AI64" i="88"/>
  <c r="AK64" i="88" s="1"/>
  <c r="AM64" i="88" s="1"/>
  <c r="AI63" i="88"/>
  <c r="AK63" i="88" s="1"/>
  <c r="AM63" i="88" s="1"/>
  <c r="AI62" i="88"/>
  <c r="AK62" i="88" s="1"/>
  <c r="AM62" i="88" s="1"/>
  <c r="AI61" i="88"/>
  <c r="AK61" i="88" s="1"/>
  <c r="AM61" i="88" s="1"/>
  <c r="AI60" i="88"/>
  <c r="AK60" i="88" s="1"/>
  <c r="AM60" i="88" s="1"/>
  <c r="AI59" i="88"/>
  <c r="AK59" i="88" s="1"/>
  <c r="AM59" i="88" s="1"/>
  <c r="AI58" i="88"/>
  <c r="AK58" i="88" s="1"/>
  <c r="AM58" i="88" s="1"/>
  <c r="AI57" i="88"/>
  <c r="AK57" i="88" s="1"/>
  <c r="AM57" i="88" s="1"/>
  <c r="AI56" i="88"/>
  <c r="AK56" i="88" s="1"/>
  <c r="AM56" i="88" s="1"/>
  <c r="AI55" i="88"/>
  <c r="AK55" i="88" s="1"/>
  <c r="AM55" i="88" s="1"/>
  <c r="AI54" i="88"/>
  <c r="AK54" i="88" s="1"/>
  <c r="AM54" i="88" s="1"/>
  <c r="AI53" i="88"/>
  <c r="AK53" i="88" s="1"/>
  <c r="AM53" i="88" s="1"/>
  <c r="AI52" i="88"/>
  <c r="AK52" i="88" s="1"/>
  <c r="AM52" i="88" s="1"/>
  <c r="AI51" i="88"/>
  <c r="AK51" i="88" s="1"/>
  <c r="AM51" i="88" s="1"/>
  <c r="AI50" i="88"/>
  <c r="AK50" i="88" s="1"/>
  <c r="AM50" i="88" s="1"/>
  <c r="AI49" i="88"/>
  <c r="AK49" i="88" s="1"/>
  <c r="AM49" i="88" s="1"/>
  <c r="AI48" i="88"/>
  <c r="AK48" i="88" s="1"/>
  <c r="AM48" i="88" s="1"/>
  <c r="AI47" i="88"/>
  <c r="AK47" i="88" s="1"/>
  <c r="AM47" i="88" s="1"/>
  <c r="AI46" i="88"/>
  <c r="AK46" i="88" s="1"/>
  <c r="AM46" i="88" s="1"/>
  <c r="AI45" i="88"/>
  <c r="AK45" i="88" s="1"/>
  <c r="AM45" i="88" s="1"/>
  <c r="AI44" i="88"/>
  <c r="AK44" i="88" s="1"/>
  <c r="AM44" i="88" s="1"/>
  <c r="AI43" i="88"/>
  <c r="AK43" i="88" s="1"/>
  <c r="AM43" i="88" s="1"/>
  <c r="AI42" i="88"/>
  <c r="AK42" i="88" s="1"/>
  <c r="AM42" i="88" s="1"/>
  <c r="AI41" i="88"/>
  <c r="AK41" i="88" s="1"/>
  <c r="AM41" i="88" s="1"/>
  <c r="AI40" i="88"/>
  <c r="AK40" i="88" s="1"/>
  <c r="AM40" i="88" s="1"/>
  <c r="AI39" i="88"/>
  <c r="AI38" i="88"/>
  <c r="AI37" i="88"/>
  <c r="AI36" i="88"/>
  <c r="AI35" i="88"/>
  <c r="AK35" i="88" s="1"/>
  <c r="AM35" i="88" s="1"/>
  <c r="AI34" i="88"/>
  <c r="AK34" i="88" s="1"/>
  <c r="AM34" i="88" s="1"/>
  <c r="AI33" i="88"/>
  <c r="AK33" i="88" s="1"/>
  <c r="AM33" i="88" s="1"/>
  <c r="AI32" i="88"/>
  <c r="AK32" i="88" s="1"/>
  <c r="AM32" i="88" s="1"/>
  <c r="AI31" i="88"/>
  <c r="AK31" i="88" s="1"/>
  <c r="AM31" i="88" s="1"/>
  <c r="AI30" i="88"/>
  <c r="AK30" i="88" s="1"/>
  <c r="AM30" i="88" s="1"/>
  <c r="AI29" i="88"/>
  <c r="AK29" i="88" s="1"/>
  <c r="AM29" i="88" s="1"/>
  <c r="AI28" i="88"/>
  <c r="AK28" i="88" s="1"/>
  <c r="AM28" i="88" s="1"/>
  <c r="AI27" i="88"/>
  <c r="AK27" i="88" s="1"/>
  <c r="AM27" i="88" s="1"/>
  <c r="AI26" i="88"/>
  <c r="AK26" i="88" s="1"/>
  <c r="AM26" i="88" s="1"/>
  <c r="AI25" i="88"/>
  <c r="AK25" i="88" s="1"/>
  <c r="AM25" i="88" s="1"/>
  <c r="AI24" i="88"/>
  <c r="AK24" i="88" s="1"/>
  <c r="AM24" i="88" s="1"/>
  <c r="AI23" i="88"/>
  <c r="AK23" i="88" s="1"/>
  <c r="AM23" i="88" s="1"/>
  <c r="AI22" i="88"/>
  <c r="AK22" i="88" s="1"/>
  <c r="AM22" i="88" s="1"/>
  <c r="AI21" i="88"/>
  <c r="AK21" i="88" s="1"/>
  <c r="AM21" i="88" s="1"/>
  <c r="AI20" i="88"/>
  <c r="AK20" i="88" s="1"/>
  <c r="AM20" i="88" s="1"/>
  <c r="AO19" i="88"/>
  <c r="AP20" i="88" s="1"/>
  <c r="AI19" i="88"/>
  <c r="AK19" i="88" s="1"/>
  <c r="AO20" i="88" s="1"/>
  <c r="AI18" i="88"/>
  <c r="AI17" i="88"/>
  <c r="AK17" i="88" s="1"/>
  <c r="AM17" i="88" s="1"/>
  <c r="AI16" i="88"/>
  <c r="AK16" i="88" s="1"/>
  <c r="AM16" i="88" s="1"/>
  <c r="AI15" i="88"/>
  <c r="AK15" i="88" s="1"/>
  <c r="AM15" i="88" s="1"/>
  <c r="AI14" i="88"/>
  <c r="AK14" i="88" s="1"/>
  <c r="AM14" i="88" s="1"/>
  <c r="AI13" i="88"/>
  <c r="AK13" i="88" s="1"/>
  <c r="AM13" i="88" s="1"/>
  <c r="AI12" i="88"/>
  <c r="AI11" i="88"/>
  <c r="E9" i="88"/>
  <c r="F9" i="88" s="1"/>
  <c r="G9" i="88" s="1"/>
  <c r="H9" i="88" s="1"/>
  <c r="I9" i="88" s="1"/>
  <c r="J9" i="88" s="1"/>
  <c r="K9" i="88" s="1"/>
  <c r="L9" i="88" s="1"/>
  <c r="M9" i="88" s="1"/>
  <c r="N9" i="88" s="1"/>
  <c r="O9" i="88" s="1"/>
  <c r="P9" i="88" s="1"/>
  <c r="Q9" i="88" s="1"/>
  <c r="R9" i="88" s="1"/>
  <c r="S9" i="88" s="1"/>
  <c r="T9" i="88" s="1"/>
  <c r="U9" i="88" s="1"/>
  <c r="V9" i="88" s="1"/>
  <c r="W9" i="88" s="1"/>
  <c r="X9" i="88" s="1"/>
  <c r="Y9" i="88" s="1"/>
  <c r="Z9" i="88" s="1"/>
  <c r="AA9" i="88" s="1"/>
  <c r="AB9" i="88" s="1"/>
  <c r="AC9" i="88" s="1"/>
  <c r="AD9" i="88" s="1"/>
  <c r="AE9" i="88" s="1"/>
  <c r="AF9" i="88" s="1"/>
  <c r="AG9" i="88" s="1"/>
  <c r="AH9" i="88" s="1"/>
  <c r="B5" i="88"/>
  <c r="AI131" i="87" l="1"/>
  <c r="AI501" i="88"/>
  <c r="AK501" i="88" s="1"/>
  <c r="AM501" i="88" s="1"/>
  <c r="AI112" i="87"/>
  <c r="AI130" i="87"/>
  <c r="AI237" i="88"/>
  <c r="AK237" i="88" s="1"/>
  <c r="AM237" i="88" s="1"/>
  <c r="AI499" i="88"/>
  <c r="AK499" i="88" s="1"/>
  <c r="AM499" i="88" s="1"/>
  <c r="AM13" i="87"/>
  <c r="AO13" i="87" s="1"/>
  <c r="AQ13" i="87" s="1"/>
  <c r="AI129" i="87"/>
  <c r="AM19" i="88"/>
  <c r="AO26" i="88" s="1"/>
  <c r="AI509" i="88"/>
  <c r="AK509" i="88" s="1"/>
  <c r="AM509" i="88" s="1"/>
  <c r="B2" i="85" l="1"/>
  <c r="K4" i="85"/>
  <c r="E7" i="85"/>
  <c r="F14" i="85"/>
  <c r="C16" i="85"/>
  <c r="F16" i="85"/>
  <c r="C17" i="85"/>
  <c r="F17" i="85"/>
  <c r="C18" i="85"/>
  <c r="F18" i="85"/>
  <c r="C19" i="85"/>
  <c r="F19" i="85"/>
  <c r="E20" i="85"/>
  <c r="E21" i="85" s="1"/>
  <c r="F40" i="85"/>
  <c r="F41" i="85"/>
  <c r="F42" i="85"/>
  <c r="E24" i="85" l="1"/>
  <c r="E22" i="85"/>
  <c r="E40" i="85"/>
  <c r="E25" i="85"/>
  <c r="E23" i="85"/>
  <c r="F20" i="85"/>
  <c r="F21" i="85" s="1"/>
  <c r="F44" i="85"/>
  <c r="E26" i="85" l="1"/>
  <c r="E31" i="85" s="1"/>
  <c r="F47" i="85"/>
  <c r="F23" i="85"/>
  <c r="F25" i="85"/>
  <c r="F22" i="85"/>
  <c r="F24" i="85"/>
  <c r="E50" i="85"/>
  <c r="E51" i="85" s="1"/>
  <c r="F26" i="85" l="1"/>
  <c r="F31" i="85" s="1"/>
  <c r="AI19" i="84" l="1"/>
  <c r="AL19" i="84" s="1"/>
  <c r="AN19" i="84" s="1"/>
  <c r="AI20" i="84"/>
  <c r="AL20" i="84" s="1"/>
  <c r="AN20" i="84" s="1"/>
  <c r="L145" i="84"/>
  <c r="AI145" i="84" s="1"/>
  <c r="AK145" i="84" s="1"/>
  <c r="AM139" i="84"/>
  <c r="AN139" i="84" s="1"/>
  <c r="AI139" i="84"/>
  <c r="AE138" i="84"/>
  <c r="AI138" i="84" s="1"/>
  <c r="AL138" i="84" s="1"/>
  <c r="AN138" i="84" s="1"/>
  <c r="AE137" i="84"/>
  <c r="AI137" i="84" s="1"/>
  <c r="AL137" i="84" s="1"/>
  <c r="AN137" i="84" s="1"/>
  <c r="AE136" i="84"/>
  <c r="AI136" i="84" s="1"/>
  <c r="AL136" i="84" s="1"/>
  <c r="AN136" i="84" s="1"/>
  <c r="AI135" i="84"/>
  <c r="AL135" i="84" s="1"/>
  <c r="AN135" i="84" s="1"/>
  <c r="AI134" i="84"/>
  <c r="AL134" i="84" s="1"/>
  <c r="AN134" i="84" s="1"/>
  <c r="R133" i="84"/>
  <c r="AI133" i="84" s="1"/>
  <c r="AL133" i="84" s="1"/>
  <c r="AN133" i="84" s="1"/>
  <c r="AI132" i="84"/>
  <c r="AL132" i="84" s="1"/>
  <c r="AN132" i="84" s="1"/>
  <c r="AI131" i="84"/>
  <c r="AL131" i="84" s="1"/>
  <c r="AN131" i="84" s="1"/>
  <c r="AI130" i="84"/>
  <c r="AL130" i="84" s="1"/>
  <c r="AN130" i="84" s="1"/>
  <c r="AI129" i="84"/>
  <c r="AL129" i="84" s="1"/>
  <c r="AN129" i="84" s="1"/>
  <c r="AA128" i="84"/>
  <c r="Z128" i="84"/>
  <c r="Y128" i="84"/>
  <c r="AI127" i="84"/>
  <c r="AL127" i="84" s="1"/>
  <c r="AN127" i="84" s="1"/>
  <c r="AI126" i="84"/>
  <c r="AL126" i="84" s="1"/>
  <c r="AN126" i="84" s="1"/>
  <c r="AE125" i="84"/>
  <c r="AD125" i="84"/>
  <c r="AB125" i="84"/>
  <c r="AA125" i="84"/>
  <c r="T125" i="84"/>
  <c r="S125" i="84"/>
  <c r="R125" i="84"/>
  <c r="Q125" i="84"/>
  <c r="AI124" i="84"/>
  <c r="AL124" i="84" s="1"/>
  <c r="AN124" i="84" s="1"/>
  <c r="AI123" i="84"/>
  <c r="AL123" i="84" s="1"/>
  <c r="AN123" i="84" s="1"/>
  <c r="E122" i="84"/>
  <c r="AI122" i="84" s="1"/>
  <c r="AL122" i="84" s="1"/>
  <c r="AN122" i="84" s="1"/>
  <c r="AI121" i="84"/>
  <c r="AL121" i="84" s="1"/>
  <c r="AN121" i="84" s="1"/>
  <c r="R120" i="84"/>
  <c r="AI120" i="84" s="1"/>
  <c r="AL120" i="84" s="1"/>
  <c r="AN120" i="84" s="1"/>
  <c r="T119" i="84"/>
  <c r="R119" i="84"/>
  <c r="Q119" i="84"/>
  <c r="P119" i="84"/>
  <c r="S118" i="84"/>
  <c r="R118" i="84"/>
  <c r="Q118" i="84"/>
  <c r="P118" i="84"/>
  <c r="M118" i="84"/>
  <c r="T117" i="84"/>
  <c r="S117" i="84"/>
  <c r="R117" i="84"/>
  <c r="Q117" i="84"/>
  <c r="T116" i="84"/>
  <c r="S116" i="84"/>
  <c r="R116" i="84"/>
  <c r="Q116" i="84"/>
  <c r="P116" i="84"/>
  <c r="M116" i="84"/>
  <c r="AI115" i="84"/>
  <c r="AL115" i="84" s="1"/>
  <c r="AN115" i="84" s="1"/>
  <c r="N114" i="84"/>
  <c r="L114" i="84"/>
  <c r="L113" i="84"/>
  <c r="AI113" i="84" s="1"/>
  <c r="AL113" i="84" s="1"/>
  <c r="AN113" i="84" s="1"/>
  <c r="AI112" i="84"/>
  <c r="AL112" i="84" s="1"/>
  <c r="AN112" i="84" s="1"/>
  <c r="AI111" i="84"/>
  <c r="AL111" i="84" s="1"/>
  <c r="AN111" i="84" s="1"/>
  <c r="AI110" i="84"/>
  <c r="AL110" i="84" s="1"/>
  <c r="AN110" i="84" s="1"/>
  <c r="AI109" i="84"/>
  <c r="AL109" i="84" s="1"/>
  <c r="AN109" i="84" s="1"/>
  <c r="AB108" i="84"/>
  <c r="AA108" i="84"/>
  <c r="AI107" i="84"/>
  <c r="AL107" i="84" s="1"/>
  <c r="AN107" i="84" s="1"/>
  <c r="AB106" i="84"/>
  <c r="AA106" i="84"/>
  <c r="I106" i="84"/>
  <c r="G106" i="84"/>
  <c r="F106" i="84"/>
  <c r="Z105" i="84"/>
  <c r="Y105" i="84"/>
  <c r="I104" i="84"/>
  <c r="AI104" i="84" s="1"/>
  <c r="AL104" i="84" s="1"/>
  <c r="AN104" i="84" s="1"/>
  <c r="I103" i="84"/>
  <c r="AI103" i="84" s="1"/>
  <c r="AL103" i="84" s="1"/>
  <c r="AN103" i="84" s="1"/>
  <c r="AB102" i="84"/>
  <c r="AA102" i="84"/>
  <c r="X101" i="84"/>
  <c r="W101" i="84"/>
  <c r="I101" i="84"/>
  <c r="G101" i="84"/>
  <c r="F101" i="84"/>
  <c r="AI100" i="84"/>
  <c r="AL100" i="84" s="1"/>
  <c r="AN100" i="84" s="1"/>
  <c r="I99" i="84"/>
  <c r="G99" i="84"/>
  <c r="F99" i="84"/>
  <c r="AI98" i="84"/>
  <c r="AL98" i="84" s="1"/>
  <c r="AN98" i="84" s="1"/>
  <c r="AI97" i="84"/>
  <c r="AL97" i="84" s="1"/>
  <c r="AN97" i="84" s="1"/>
  <c r="AI96" i="84"/>
  <c r="AL96" i="84" s="1"/>
  <c r="AN96" i="84" s="1"/>
  <c r="AI95" i="84"/>
  <c r="AL95" i="84" s="1"/>
  <c r="AN95" i="84" s="1"/>
  <c r="AI94" i="84"/>
  <c r="AL94" i="84" s="1"/>
  <c r="AN94" i="84" s="1"/>
  <c r="AF93" i="84"/>
  <c r="AE93" i="84"/>
  <c r="AD93" i="84"/>
  <c r="K92" i="84"/>
  <c r="J92" i="84"/>
  <c r="I92" i="84"/>
  <c r="K91" i="84"/>
  <c r="AI91" i="84" s="1"/>
  <c r="AL91" i="84" s="1"/>
  <c r="AN91" i="84" s="1"/>
  <c r="P90" i="84"/>
  <c r="N90" i="84"/>
  <c r="M90" i="84"/>
  <c r="L90" i="84"/>
  <c r="K90" i="84"/>
  <c r="J90" i="84"/>
  <c r="K89" i="84"/>
  <c r="J89" i="84"/>
  <c r="I89" i="84"/>
  <c r="AI88" i="84"/>
  <c r="AL88" i="84" s="1"/>
  <c r="AN88" i="84" s="1"/>
  <c r="AE87" i="84"/>
  <c r="AI87" i="84" s="1"/>
  <c r="AL87" i="84" s="1"/>
  <c r="AN87" i="84" s="1"/>
  <c r="AI86" i="84"/>
  <c r="AL86" i="84" s="1"/>
  <c r="AN86" i="84" s="1"/>
  <c r="AI85" i="84"/>
  <c r="AL85" i="84" s="1"/>
  <c r="AN85" i="84" s="1"/>
  <c r="AI84" i="84"/>
  <c r="AL84" i="84" s="1"/>
  <c r="AN84" i="84" s="1"/>
  <c r="AI83" i="84"/>
  <c r="AL83" i="84" s="1"/>
  <c r="AN83" i="84" s="1"/>
  <c r="AD82" i="84"/>
  <c r="AI82" i="84" s="1"/>
  <c r="AL82" i="84" s="1"/>
  <c r="AN82" i="84" s="1"/>
  <c r="W81" i="84"/>
  <c r="T81" i="84"/>
  <c r="S81" i="84"/>
  <c r="AI80" i="84"/>
  <c r="AL80" i="84" s="1"/>
  <c r="AN80" i="84" s="1"/>
  <c r="AI79" i="84"/>
  <c r="AL79" i="84" s="1"/>
  <c r="AN79" i="84" s="1"/>
  <c r="AI78" i="84"/>
  <c r="AL78" i="84" s="1"/>
  <c r="AN78" i="84" s="1"/>
  <c r="E77" i="84"/>
  <c r="AI77" i="84" s="1"/>
  <c r="AL77" i="84" s="1"/>
  <c r="AN77" i="84" s="1"/>
  <c r="AI76" i="84"/>
  <c r="AL76" i="84" s="1"/>
  <c r="AN76" i="84" s="1"/>
  <c r="AI75" i="84"/>
  <c r="AL75" i="84" s="1"/>
  <c r="AN75" i="84" s="1"/>
  <c r="AI74" i="84"/>
  <c r="AL74" i="84" s="1"/>
  <c r="AN74" i="84" s="1"/>
  <c r="AI73" i="84"/>
  <c r="AL73" i="84" s="1"/>
  <c r="AN73" i="84" s="1"/>
  <c r="AI72" i="84"/>
  <c r="AL72" i="84" s="1"/>
  <c r="AN72" i="84" s="1"/>
  <c r="AD71" i="84"/>
  <c r="AB71" i="84"/>
  <c r="AA71" i="84"/>
  <c r="W71" i="84"/>
  <c r="S71" i="84"/>
  <c r="R71" i="84"/>
  <c r="M71" i="84"/>
  <c r="K71" i="84"/>
  <c r="J71" i="84"/>
  <c r="AD70" i="84"/>
  <c r="X70" i="84"/>
  <c r="T70" i="84"/>
  <c r="L70" i="84"/>
  <c r="E70" i="84"/>
  <c r="AE69" i="84"/>
  <c r="AB69" i="84"/>
  <c r="Y69" i="84"/>
  <c r="X69" i="84"/>
  <c r="T69" i="84"/>
  <c r="S69" i="84"/>
  <c r="M69" i="84"/>
  <c r="K69" i="84"/>
  <c r="E69" i="84"/>
  <c r="AI68" i="84"/>
  <c r="AL68" i="84" s="1"/>
  <c r="AN68" i="84" s="1"/>
  <c r="Q67" i="84"/>
  <c r="P67" i="84"/>
  <c r="I67" i="84"/>
  <c r="G67" i="84"/>
  <c r="F67" i="84"/>
  <c r="AI66" i="84"/>
  <c r="AL66" i="84" s="1"/>
  <c r="AN66" i="84" s="1"/>
  <c r="AI65" i="84"/>
  <c r="AL65" i="84" s="1"/>
  <c r="AN65" i="84" s="1"/>
  <c r="AI64" i="84"/>
  <c r="AL64" i="84" s="1"/>
  <c r="AN64" i="84" s="1"/>
  <c r="AI63" i="84"/>
  <c r="AL63" i="84" s="1"/>
  <c r="AN63" i="84" s="1"/>
  <c r="S62" i="84"/>
  <c r="J62" i="84"/>
  <c r="P61" i="84"/>
  <c r="J61" i="84"/>
  <c r="Y60" i="84"/>
  <c r="J60" i="84"/>
  <c r="AI59" i="84"/>
  <c r="AL59" i="84" s="1"/>
  <c r="AN59" i="84" s="1"/>
  <c r="Y58" i="84"/>
  <c r="M58" i="84"/>
  <c r="AA57" i="84"/>
  <c r="Z57" i="84"/>
  <c r="J57" i="84"/>
  <c r="AA56" i="84"/>
  <c r="Z56" i="84"/>
  <c r="J56" i="84"/>
  <c r="AI55" i="84"/>
  <c r="AL55" i="84" s="1"/>
  <c r="AN55" i="84" s="1"/>
  <c r="Y54" i="84"/>
  <c r="X54" i="84"/>
  <c r="X53" i="84"/>
  <c r="AI53" i="84" s="1"/>
  <c r="AL53" i="84" s="1"/>
  <c r="AN53" i="84" s="1"/>
  <c r="AI52" i="84"/>
  <c r="AL52" i="84" s="1"/>
  <c r="AN52" i="84" s="1"/>
  <c r="AI51" i="84"/>
  <c r="AL51" i="84" s="1"/>
  <c r="AN51" i="84" s="1"/>
  <c r="L50" i="84"/>
  <c r="K50" i="84"/>
  <c r="I50" i="84"/>
  <c r="G50" i="84"/>
  <c r="AI49" i="84"/>
  <c r="AL49" i="84" s="1"/>
  <c r="AN49" i="84" s="1"/>
  <c r="Z48" i="84"/>
  <c r="P48" i="84"/>
  <c r="J48" i="84"/>
  <c r="F48" i="84"/>
  <c r="AI47" i="84"/>
  <c r="AL47" i="84" s="1"/>
  <c r="AN47" i="84" s="1"/>
  <c r="AI46" i="84"/>
  <c r="AL46" i="84" s="1"/>
  <c r="AN46" i="84" s="1"/>
  <c r="AI45" i="84"/>
  <c r="AL45" i="84" s="1"/>
  <c r="AN45" i="84" s="1"/>
  <c r="AI44" i="84"/>
  <c r="AL44" i="84" s="1"/>
  <c r="AN44" i="84" s="1"/>
  <c r="AI43" i="84"/>
  <c r="AL43" i="84" s="1"/>
  <c r="AN43" i="84" s="1"/>
  <c r="AF42" i="84"/>
  <c r="N42" i="84"/>
  <c r="AI41" i="84"/>
  <c r="AL41" i="84" s="1"/>
  <c r="AN41" i="84" s="1"/>
  <c r="AI40" i="84"/>
  <c r="AL40" i="84" s="1"/>
  <c r="AN40" i="84" s="1"/>
  <c r="AF39" i="84"/>
  <c r="AI39" i="84" s="1"/>
  <c r="AL39" i="84" s="1"/>
  <c r="AN39" i="84" s="1"/>
  <c r="Y38" i="84"/>
  <c r="AI38" i="84" s="1"/>
  <c r="AL38" i="84" s="1"/>
  <c r="AN38" i="84" s="1"/>
  <c r="Z37" i="84"/>
  <c r="AI37" i="84" s="1"/>
  <c r="AL37" i="84" s="1"/>
  <c r="AN37" i="84" s="1"/>
  <c r="Y36" i="84"/>
  <c r="AI36" i="84" s="1"/>
  <c r="AL36" i="84" s="1"/>
  <c r="AN36" i="84" s="1"/>
  <c r="AI35" i="84"/>
  <c r="AL35" i="84" s="1"/>
  <c r="AN35" i="84" s="1"/>
  <c r="AI34" i="84"/>
  <c r="AL34" i="84" s="1"/>
  <c r="AN34" i="84" s="1"/>
  <c r="AI33" i="84"/>
  <c r="AL33" i="84" s="1"/>
  <c r="AN33" i="84" s="1"/>
  <c r="AI32" i="84"/>
  <c r="AL32" i="84" s="1"/>
  <c r="AN32" i="84" s="1"/>
  <c r="AI31" i="84"/>
  <c r="AL31" i="84" s="1"/>
  <c r="AN31" i="84" s="1"/>
  <c r="AI30" i="84"/>
  <c r="AL30" i="84" s="1"/>
  <c r="AN30" i="84" s="1"/>
  <c r="AI29" i="84"/>
  <c r="AL29" i="84" s="1"/>
  <c r="AN29" i="84" s="1"/>
  <c r="F28" i="84"/>
  <c r="AI28" i="84" s="1"/>
  <c r="AL28" i="84" s="1"/>
  <c r="AN28" i="84" s="1"/>
  <c r="F27" i="84"/>
  <c r="AI27" i="84" s="1"/>
  <c r="AL27" i="84" s="1"/>
  <c r="AN27" i="84" s="1"/>
  <c r="AI26" i="84"/>
  <c r="AL26" i="84" s="1"/>
  <c r="AN26" i="84" s="1"/>
  <c r="AI25" i="84"/>
  <c r="AL25" i="84" s="1"/>
  <c r="AN25" i="84" s="1"/>
  <c r="AG24" i="84"/>
  <c r="AI24" i="84" s="1"/>
  <c r="AL24" i="84" s="1"/>
  <c r="AN24" i="84" s="1"/>
  <c r="AI23" i="84"/>
  <c r="AL23" i="84" s="1"/>
  <c r="AN23" i="84" s="1"/>
  <c r="AI22" i="84"/>
  <c r="AL22" i="84" s="1"/>
  <c r="AN22" i="84" s="1"/>
  <c r="AI21" i="84"/>
  <c r="AL21" i="84" s="1"/>
  <c r="AN21" i="84" s="1"/>
  <c r="AI18" i="84"/>
  <c r="AL18" i="84" s="1"/>
  <c r="AN18" i="84" s="1"/>
  <c r="AI17" i="84"/>
  <c r="AL17" i="84" s="1"/>
  <c r="AN17" i="84" s="1"/>
  <c r="AI16" i="84"/>
  <c r="AL16" i="84" s="1"/>
  <c r="AN16" i="84" s="1"/>
  <c r="AI15" i="84"/>
  <c r="AL15" i="84" s="1"/>
  <c r="AN15" i="84" s="1"/>
  <c r="AI14" i="84"/>
  <c r="AL14" i="84" s="1"/>
  <c r="AN14" i="84" s="1"/>
  <c r="AI13" i="84"/>
  <c r="AL13" i="84" s="1"/>
  <c r="AN13" i="84" s="1"/>
  <c r="AI12" i="84"/>
  <c r="AI11" i="84"/>
  <c r="E9" i="84"/>
  <c r="F9" i="84" s="1"/>
  <c r="G9" i="84" s="1"/>
  <c r="H9" i="84" s="1"/>
  <c r="I9" i="84" s="1"/>
  <c r="J9" i="84" s="1"/>
  <c r="K9" i="84" s="1"/>
  <c r="L9" i="84" s="1"/>
  <c r="M9" i="84" s="1"/>
  <c r="N9" i="84" s="1"/>
  <c r="O9" i="84" s="1"/>
  <c r="P9" i="84" s="1"/>
  <c r="Q9" i="84" s="1"/>
  <c r="R9" i="84" s="1"/>
  <c r="S9" i="84" s="1"/>
  <c r="T9" i="84" s="1"/>
  <c r="U9" i="84" s="1"/>
  <c r="V9" i="84" s="1"/>
  <c r="W9" i="84" s="1"/>
  <c r="X9" i="84" s="1"/>
  <c r="Y9" i="84" s="1"/>
  <c r="Z9" i="84" s="1"/>
  <c r="AA9" i="84" s="1"/>
  <c r="AB9" i="84" s="1"/>
  <c r="AC9" i="84" s="1"/>
  <c r="AD9" i="84" s="1"/>
  <c r="AE9" i="84" s="1"/>
  <c r="AF9" i="84" s="1"/>
  <c r="AG9" i="84" s="1"/>
  <c r="AH9" i="84" s="1"/>
  <c r="B5" i="84"/>
  <c r="AI60" i="84" l="1"/>
  <c r="AL60" i="84" s="1"/>
  <c r="AN60" i="84" s="1"/>
  <c r="AI57" i="84"/>
  <c r="AL57" i="84" s="1"/>
  <c r="AN57" i="84" s="1"/>
  <c r="AI93" i="84"/>
  <c r="AL93" i="84" s="1"/>
  <c r="AN93" i="84" s="1"/>
  <c r="AI54" i="84"/>
  <c r="AL54" i="84" s="1"/>
  <c r="AN54" i="84" s="1"/>
  <c r="AI56" i="84"/>
  <c r="AL56" i="84" s="1"/>
  <c r="AN56" i="84" s="1"/>
  <c r="AI61" i="84"/>
  <c r="AL61" i="84" s="1"/>
  <c r="AN61" i="84" s="1"/>
  <c r="AI92" i="84"/>
  <c r="AL92" i="84" s="1"/>
  <c r="AN92" i="84" s="1"/>
  <c r="AI99" i="84"/>
  <c r="AL99" i="84" s="1"/>
  <c r="AN99" i="84" s="1"/>
  <c r="AI71" i="84"/>
  <c r="AL71" i="84" s="1"/>
  <c r="AN71" i="84" s="1"/>
  <c r="AI106" i="84"/>
  <c r="AL106" i="84" s="1"/>
  <c r="AN106" i="84" s="1"/>
  <c r="AI42" i="84"/>
  <c r="AL42" i="84" s="1"/>
  <c r="AN42" i="84" s="1"/>
  <c r="AI58" i="84"/>
  <c r="AL58" i="84" s="1"/>
  <c r="AN58" i="84" s="1"/>
  <c r="AI81" i="84"/>
  <c r="AL81" i="84" s="1"/>
  <c r="AN81" i="84" s="1"/>
  <c r="AI117" i="84"/>
  <c r="AL117" i="84" s="1"/>
  <c r="AN117" i="84" s="1"/>
  <c r="AI67" i="84"/>
  <c r="AL67" i="84" s="1"/>
  <c r="AN67" i="84" s="1"/>
  <c r="AI101" i="84"/>
  <c r="AL101" i="84" s="1"/>
  <c r="AN101" i="84" s="1"/>
  <c r="AI48" i="84"/>
  <c r="AL48" i="84" s="1"/>
  <c r="AN48" i="84" s="1"/>
  <c r="AI62" i="84"/>
  <c r="AL62" i="84" s="1"/>
  <c r="AN62" i="84" s="1"/>
  <c r="AI69" i="84"/>
  <c r="AL69" i="84" s="1"/>
  <c r="AN69" i="84" s="1"/>
  <c r="AI90" i="84"/>
  <c r="AL90" i="84" s="1"/>
  <c r="AN90" i="84" s="1"/>
  <c r="AI70" i="84"/>
  <c r="AL70" i="84" s="1"/>
  <c r="AN70" i="84" s="1"/>
  <c r="AI108" i="84"/>
  <c r="AL108" i="84" s="1"/>
  <c r="AN108" i="84" s="1"/>
  <c r="AI105" i="84"/>
  <c r="AL105" i="84" s="1"/>
  <c r="AN105" i="84" s="1"/>
  <c r="AI114" i="84"/>
  <c r="AL114" i="84" s="1"/>
  <c r="AN114" i="84" s="1"/>
  <c r="AI116" i="84"/>
  <c r="AL116" i="84" s="1"/>
  <c r="AN116" i="84" s="1"/>
  <c r="AI50" i="84"/>
  <c r="AL50" i="84" s="1"/>
  <c r="AN50" i="84" s="1"/>
  <c r="AI89" i="84"/>
  <c r="AL89" i="84" s="1"/>
  <c r="AN89" i="84" s="1"/>
  <c r="AI102" i="84"/>
  <c r="AL102" i="84" s="1"/>
  <c r="AN102" i="84" s="1"/>
  <c r="AI118" i="84"/>
  <c r="AL118" i="84" s="1"/>
  <c r="AN118" i="84" s="1"/>
  <c r="AI119" i="84"/>
  <c r="AL119" i="84" s="1"/>
  <c r="AN119" i="84" s="1"/>
  <c r="AI128" i="84"/>
  <c r="AL128" i="84" s="1"/>
  <c r="AN128" i="84" s="1"/>
  <c r="AI125" i="84"/>
  <c r="AL125" i="84" s="1"/>
  <c r="AN125" i="84" s="1"/>
  <c r="AL57" i="79" l="1"/>
  <c r="AI57" i="79"/>
  <c r="AI56" i="79"/>
  <c r="G55" i="79"/>
  <c r="AI55" i="79" s="1"/>
  <c r="G54" i="79"/>
  <c r="AI54" i="79" s="1"/>
  <c r="AI53" i="79"/>
  <c r="AI52" i="79"/>
  <c r="G51" i="79"/>
  <c r="AI51" i="79" s="1"/>
  <c r="G50" i="79"/>
  <c r="AI50" i="79" s="1"/>
  <c r="AI49" i="79"/>
  <c r="AI48" i="79"/>
  <c r="AI47" i="79"/>
  <c r="AI46" i="79"/>
  <c r="D45" i="79"/>
  <c r="AI45" i="79" s="1"/>
  <c r="E44" i="79"/>
  <c r="AI44" i="79" s="1"/>
  <c r="AI43" i="79"/>
  <c r="AI42" i="79"/>
  <c r="D41" i="79"/>
  <c r="AI41" i="79" s="1"/>
  <c r="E40" i="79"/>
  <c r="AI40" i="79" s="1"/>
  <c r="AI39" i="79"/>
  <c r="AI38" i="79"/>
  <c r="D37" i="79"/>
  <c r="AI37" i="79" s="1"/>
  <c r="E36" i="79"/>
  <c r="AI36" i="79" s="1"/>
  <c r="AI35" i="79"/>
  <c r="AI34" i="79"/>
  <c r="AI33" i="79"/>
  <c r="AF32" i="79"/>
  <c r="AE32" i="79"/>
  <c r="AG31" i="79"/>
  <c r="AF31" i="79"/>
  <c r="AF30" i="79"/>
  <c r="AI30" i="79" s="1"/>
  <c r="AI29" i="79"/>
  <c r="AD28" i="79"/>
  <c r="D28" i="79"/>
  <c r="AI27" i="79"/>
  <c r="AI26" i="79"/>
  <c r="AI25" i="79"/>
  <c r="AI24" i="79"/>
  <c r="E23" i="79"/>
  <c r="AI23" i="79" s="1"/>
  <c r="AI22" i="79"/>
  <c r="AI21" i="79"/>
  <c r="I20" i="79"/>
  <c r="D20" i="79"/>
  <c r="AI19" i="79"/>
  <c r="AI18" i="79"/>
  <c r="E17" i="79"/>
  <c r="AI17" i="79" s="1"/>
  <c r="AI16" i="79"/>
  <c r="AI15" i="79"/>
  <c r="AI14" i="79"/>
  <c r="AI13" i="79"/>
  <c r="AK13" i="79" s="1"/>
  <c r="AM13" i="79" s="1"/>
  <c r="AO13" i="79" s="1"/>
  <c r="AQ13" i="79" s="1"/>
  <c r="AO12" i="79"/>
  <c r="AI12" i="79"/>
  <c r="AK12" i="79" s="1"/>
  <c r="AO11" i="79"/>
  <c r="AI11" i="79"/>
  <c r="AK11" i="79" s="1"/>
  <c r="E9" i="79"/>
  <c r="F9" i="79" s="1"/>
  <c r="G9" i="79" s="1"/>
  <c r="H9" i="79" s="1"/>
  <c r="I9" i="79" s="1"/>
  <c r="J9" i="79" s="1"/>
  <c r="K9" i="79" s="1"/>
  <c r="L9" i="79" s="1"/>
  <c r="M9" i="79" s="1"/>
  <c r="N9" i="79" s="1"/>
  <c r="O9" i="79" s="1"/>
  <c r="P9" i="79" s="1"/>
  <c r="Q9" i="79" s="1"/>
  <c r="R9" i="79" s="1"/>
  <c r="S9" i="79" s="1"/>
  <c r="T9" i="79" s="1"/>
  <c r="U9" i="79" s="1"/>
  <c r="V9" i="79" s="1"/>
  <c r="W9" i="79" s="1"/>
  <c r="X9" i="79" s="1"/>
  <c r="Y9" i="79" s="1"/>
  <c r="Z9" i="79" s="1"/>
  <c r="AA9" i="79" s="1"/>
  <c r="AB9" i="79" s="1"/>
  <c r="AC9" i="79" s="1"/>
  <c r="AD9" i="79" s="1"/>
  <c r="AE9" i="79" s="1"/>
  <c r="AF9" i="79" s="1"/>
  <c r="AG9" i="79" s="1"/>
  <c r="AH9" i="79" s="1"/>
  <c r="B5" i="79"/>
  <c r="AL146" i="78"/>
  <c r="AM146" i="78" s="1"/>
  <c r="AI145" i="78"/>
  <c r="AK145" i="78" s="1"/>
  <c r="AM145" i="78" s="1"/>
  <c r="AI144" i="78"/>
  <c r="AK144" i="78" s="1"/>
  <c r="AM144" i="78" s="1"/>
  <c r="AI143" i="78"/>
  <c r="AK143" i="78" s="1"/>
  <c r="AM143" i="78" s="1"/>
  <c r="AI142" i="78"/>
  <c r="AK142" i="78" s="1"/>
  <c r="AM142" i="78" s="1"/>
  <c r="AI141" i="78"/>
  <c r="AK141" i="78" s="1"/>
  <c r="AM141" i="78" s="1"/>
  <c r="AI140" i="78"/>
  <c r="AK140" i="78" s="1"/>
  <c r="AM140" i="78" s="1"/>
  <c r="AI139" i="78"/>
  <c r="AK139" i="78" s="1"/>
  <c r="AM139" i="78" s="1"/>
  <c r="AI138" i="78"/>
  <c r="AK138" i="78" s="1"/>
  <c r="AM138" i="78" s="1"/>
  <c r="AI137" i="78"/>
  <c r="AK137" i="78" s="1"/>
  <c r="AM137" i="78" s="1"/>
  <c r="AI136" i="78"/>
  <c r="AK136" i="78" s="1"/>
  <c r="AM136" i="78" s="1"/>
  <c r="AI135" i="78"/>
  <c r="AK135" i="78" s="1"/>
  <c r="AM135" i="78" s="1"/>
  <c r="AI134" i="78"/>
  <c r="AK134" i="78" s="1"/>
  <c r="AM134" i="78" s="1"/>
  <c r="AI133" i="78"/>
  <c r="AK133" i="78" s="1"/>
  <c r="AM133" i="78" s="1"/>
  <c r="AI132" i="78"/>
  <c r="AK132" i="78" s="1"/>
  <c r="AM132" i="78" s="1"/>
  <c r="AI131" i="78"/>
  <c r="AK131" i="78" s="1"/>
  <c r="AM131" i="78" s="1"/>
  <c r="AI130" i="78"/>
  <c r="AK130" i="78" s="1"/>
  <c r="AM130" i="78" s="1"/>
  <c r="AI129" i="78"/>
  <c r="AK129" i="78" s="1"/>
  <c r="AM129" i="78" s="1"/>
  <c r="AI128" i="78"/>
  <c r="AK128" i="78" s="1"/>
  <c r="AM128" i="78" s="1"/>
  <c r="AI127" i="78"/>
  <c r="AK127" i="78" s="1"/>
  <c r="AM127" i="78" s="1"/>
  <c r="AI126" i="78"/>
  <c r="AK126" i="78" s="1"/>
  <c r="AM126" i="78" s="1"/>
  <c r="AI125" i="78"/>
  <c r="AK125" i="78" s="1"/>
  <c r="AM125" i="78" s="1"/>
  <c r="AI124" i="78"/>
  <c r="AK124" i="78" s="1"/>
  <c r="AM124" i="78" s="1"/>
  <c r="AI123" i="78"/>
  <c r="AK123" i="78" s="1"/>
  <c r="AM123" i="78" s="1"/>
  <c r="AI122" i="78"/>
  <c r="AK122" i="78" s="1"/>
  <c r="AM122" i="78" s="1"/>
  <c r="AI121" i="78"/>
  <c r="AK121" i="78" s="1"/>
  <c r="AM121" i="78" s="1"/>
  <c r="AI120" i="78"/>
  <c r="AK120" i="78" s="1"/>
  <c r="AM120" i="78" s="1"/>
  <c r="AI119" i="78"/>
  <c r="AK119" i="78" s="1"/>
  <c r="AM119" i="78" s="1"/>
  <c r="AI118" i="78"/>
  <c r="AK118" i="78" s="1"/>
  <c r="AM118" i="78" s="1"/>
  <c r="AI117" i="78"/>
  <c r="AK117" i="78" s="1"/>
  <c r="AM117" i="78" s="1"/>
  <c r="AI116" i="78"/>
  <c r="AK116" i="78" s="1"/>
  <c r="AM116" i="78" s="1"/>
  <c r="AI115" i="78"/>
  <c r="AK115" i="78" s="1"/>
  <c r="AM115" i="78" s="1"/>
  <c r="AI114" i="78"/>
  <c r="AK114" i="78" s="1"/>
  <c r="AM114" i="78" s="1"/>
  <c r="AI113" i="78"/>
  <c r="AK113" i="78" s="1"/>
  <c r="AM113" i="78" s="1"/>
  <c r="AI112" i="78"/>
  <c r="AK112" i="78" s="1"/>
  <c r="AM112" i="78" s="1"/>
  <c r="AI111" i="78"/>
  <c r="AK111" i="78" s="1"/>
  <c r="AM111" i="78" s="1"/>
  <c r="AI110" i="78"/>
  <c r="AK110" i="78" s="1"/>
  <c r="AM110" i="78" s="1"/>
  <c r="AI109" i="78"/>
  <c r="AK109" i="78" s="1"/>
  <c r="AM109" i="78" s="1"/>
  <c r="AI108" i="78"/>
  <c r="AK108" i="78" s="1"/>
  <c r="AM108" i="78" s="1"/>
  <c r="AI107" i="78"/>
  <c r="AK107" i="78" s="1"/>
  <c r="AM107" i="78" s="1"/>
  <c r="AI106" i="78"/>
  <c r="AK106" i="78" s="1"/>
  <c r="AM106" i="78" s="1"/>
  <c r="AI105" i="78"/>
  <c r="AK105" i="78" s="1"/>
  <c r="AM105" i="78" s="1"/>
  <c r="AI104" i="78"/>
  <c r="AK104" i="78" s="1"/>
  <c r="AM104" i="78" s="1"/>
  <c r="AI103" i="78"/>
  <c r="AK103" i="78" s="1"/>
  <c r="AM103" i="78" s="1"/>
  <c r="AI102" i="78"/>
  <c r="AK102" i="78" s="1"/>
  <c r="AM102" i="78" s="1"/>
  <c r="AI101" i="78"/>
  <c r="AK101" i="78" s="1"/>
  <c r="AM101" i="78" s="1"/>
  <c r="AI100" i="78"/>
  <c r="AK100" i="78" s="1"/>
  <c r="AM100" i="78" s="1"/>
  <c r="AI99" i="78"/>
  <c r="AK99" i="78" s="1"/>
  <c r="AM99" i="78" s="1"/>
  <c r="AI98" i="78"/>
  <c r="AK98" i="78" s="1"/>
  <c r="AM98" i="78" s="1"/>
  <c r="AI97" i="78"/>
  <c r="AK97" i="78" s="1"/>
  <c r="AM97" i="78" s="1"/>
  <c r="AI96" i="78"/>
  <c r="AK96" i="78" s="1"/>
  <c r="AM96" i="78" s="1"/>
  <c r="AI95" i="78"/>
  <c r="AK95" i="78" s="1"/>
  <c r="AM95" i="78" s="1"/>
  <c r="AI94" i="78"/>
  <c r="AK94" i="78" s="1"/>
  <c r="AM94" i="78" s="1"/>
  <c r="AI93" i="78"/>
  <c r="AK93" i="78" s="1"/>
  <c r="AM93" i="78" s="1"/>
  <c r="AI92" i="78"/>
  <c r="AK92" i="78" s="1"/>
  <c r="AM92" i="78" s="1"/>
  <c r="AI91" i="78"/>
  <c r="AK91" i="78" s="1"/>
  <c r="AM91" i="78" s="1"/>
  <c r="AI90" i="78"/>
  <c r="AK90" i="78" s="1"/>
  <c r="AM90" i="78" s="1"/>
  <c r="AI89" i="78"/>
  <c r="AK89" i="78" s="1"/>
  <c r="AM89" i="78" s="1"/>
  <c r="AI88" i="78"/>
  <c r="AK88" i="78" s="1"/>
  <c r="AM88" i="78" s="1"/>
  <c r="AI87" i="78"/>
  <c r="AK87" i="78" s="1"/>
  <c r="AM87" i="78" s="1"/>
  <c r="AI86" i="78"/>
  <c r="AK86" i="78" s="1"/>
  <c r="AM86" i="78" s="1"/>
  <c r="AI85" i="78"/>
  <c r="AK85" i="78" s="1"/>
  <c r="AM85" i="78" s="1"/>
  <c r="AI84" i="78"/>
  <c r="AK84" i="78" s="1"/>
  <c r="AM84" i="78" s="1"/>
  <c r="AI83" i="78"/>
  <c r="AK83" i="78" s="1"/>
  <c r="AM83" i="78" s="1"/>
  <c r="AI82" i="78"/>
  <c r="AK82" i="78" s="1"/>
  <c r="AM82" i="78" s="1"/>
  <c r="AI81" i="78"/>
  <c r="AK81" i="78" s="1"/>
  <c r="AM81" i="78" s="1"/>
  <c r="AI80" i="78"/>
  <c r="AK80" i="78" s="1"/>
  <c r="AM80" i="78" s="1"/>
  <c r="AI79" i="78"/>
  <c r="AK79" i="78" s="1"/>
  <c r="AM79" i="78" s="1"/>
  <c r="AI78" i="78"/>
  <c r="AK78" i="78" s="1"/>
  <c r="AM78" i="78" s="1"/>
  <c r="AI77" i="78"/>
  <c r="AK77" i="78" s="1"/>
  <c r="AM77" i="78" s="1"/>
  <c r="AI76" i="78"/>
  <c r="AK76" i="78" s="1"/>
  <c r="AM76" i="78" s="1"/>
  <c r="AI75" i="78"/>
  <c r="AK75" i="78" s="1"/>
  <c r="AM75" i="78" s="1"/>
  <c r="AI74" i="78"/>
  <c r="AK74" i="78" s="1"/>
  <c r="AM74" i="78" s="1"/>
  <c r="AI73" i="78"/>
  <c r="AK73" i="78" s="1"/>
  <c r="AM73" i="78" s="1"/>
  <c r="AI72" i="78"/>
  <c r="AK72" i="78" s="1"/>
  <c r="AM72" i="78" s="1"/>
  <c r="AI71" i="78"/>
  <c r="AK71" i="78" s="1"/>
  <c r="AM71" i="78" s="1"/>
  <c r="AI70" i="78"/>
  <c r="AK70" i="78" s="1"/>
  <c r="AM70" i="78" s="1"/>
  <c r="AI69" i="78"/>
  <c r="AK69" i="78" s="1"/>
  <c r="AM69" i="78" s="1"/>
  <c r="K68" i="78"/>
  <c r="AI68" i="78" s="1"/>
  <c r="AK68" i="78" s="1"/>
  <c r="AM68" i="78" s="1"/>
  <c r="K67" i="78"/>
  <c r="J67" i="78"/>
  <c r="AI66" i="78"/>
  <c r="AK66" i="78" s="1"/>
  <c r="AM66" i="78" s="1"/>
  <c r="AI65" i="78"/>
  <c r="AK65" i="78" s="1"/>
  <c r="AM65" i="78" s="1"/>
  <c r="W64" i="78"/>
  <c r="V64" i="78"/>
  <c r="AI63" i="78"/>
  <c r="AK63" i="78" s="1"/>
  <c r="AM63" i="78" s="1"/>
  <c r="AI62" i="78"/>
  <c r="AK62" i="78" s="1"/>
  <c r="AM62" i="78" s="1"/>
  <c r="AI61" i="78"/>
  <c r="AK61" i="78" s="1"/>
  <c r="AM61" i="78" s="1"/>
  <c r="E60" i="78"/>
  <c r="AI60" i="78" s="1"/>
  <c r="AK60" i="78" s="1"/>
  <c r="AM60" i="78" s="1"/>
  <c r="AI59" i="78"/>
  <c r="AK59" i="78" s="1"/>
  <c r="AM59" i="78" s="1"/>
  <c r="AI58" i="78"/>
  <c r="AK58" i="78" s="1"/>
  <c r="AM58" i="78" s="1"/>
  <c r="AI57" i="78"/>
  <c r="AK57" i="78" s="1"/>
  <c r="AM57" i="78" s="1"/>
  <c r="AI56" i="78"/>
  <c r="AK56" i="78" s="1"/>
  <c r="AM56" i="78" s="1"/>
  <c r="AI55" i="78"/>
  <c r="AK55" i="78" s="1"/>
  <c r="AM55" i="78" s="1"/>
  <c r="AI54" i="78"/>
  <c r="AK54" i="78" s="1"/>
  <c r="AM54" i="78" s="1"/>
  <c r="AI53" i="78"/>
  <c r="AK53" i="78" s="1"/>
  <c r="AM53" i="78" s="1"/>
  <c r="AI52" i="78"/>
  <c r="AK52" i="78" s="1"/>
  <c r="AM52" i="78" s="1"/>
  <c r="AI51" i="78"/>
  <c r="AK51" i="78" s="1"/>
  <c r="AM51" i="78" s="1"/>
  <c r="AI50" i="78"/>
  <c r="AK50" i="78" s="1"/>
  <c r="AM50" i="78" s="1"/>
  <c r="AI49" i="78"/>
  <c r="AK49" i="78" s="1"/>
  <c r="AM49" i="78" s="1"/>
  <c r="AI48" i="78"/>
  <c r="AK48" i="78" s="1"/>
  <c r="AM48" i="78" s="1"/>
  <c r="AI47" i="78"/>
  <c r="AK47" i="78" s="1"/>
  <c r="AM47" i="78" s="1"/>
  <c r="AI46" i="78"/>
  <c r="AK46" i="78" s="1"/>
  <c r="AM46" i="78" s="1"/>
  <c r="AI45" i="78"/>
  <c r="AK45" i="78" s="1"/>
  <c r="AM45" i="78" s="1"/>
  <c r="AI44" i="78"/>
  <c r="AK44" i="78" s="1"/>
  <c r="AM44" i="78" s="1"/>
  <c r="AI43" i="78"/>
  <c r="AK43" i="78" s="1"/>
  <c r="AM43" i="78" s="1"/>
  <c r="AI42" i="78"/>
  <c r="AK42" i="78" s="1"/>
  <c r="AM42" i="78" s="1"/>
  <c r="X41" i="78"/>
  <c r="AI41" i="78" s="1"/>
  <c r="AK41" i="78" s="1"/>
  <c r="AM41" i="78" s="1"/>
  <c r="AI40" i="78"/>
  <c r="AK40" i="78" s="1"/>
  <c r="AM40" i="78" s="1"/>
  <c r="AI39" i="78"/>
  <c r="AK39" i="78" s="1"/>
  <c r="AM39" i="78" s="1"/>
  <c r="AI38" i="78"/>
  <c r="AK38" i="78" s="1"/>
  <c r="AM38" i="78" s="1"/>
  <c r="AI37" i="78"/>
  <c r="AK37" i="78" s="1"/>
  <c r="AM37" i="78" s="1"/>
  <c r="AI36" i="78"/>
  <c r="AK36" i="78" s="1"/>
  <c r="AM36" i="78" s="1"/>
  <c r="AI35" i="78"/>
  <c r="AK35" i="78" s="1"/>
  <c r="AM35" i="78" s="1"/>
  <c r="AG34" i="78"/>
  <c r="Z34" i="78"/>
  <c r="Y34" i="78"/>
  <c r="O34" i="78"/>
  <c r="K34" i="78"/>
  <c r="AI33" i="78"/>
  <c r="AK33" i="78" s="1"/>
  <c r="AM33" i="78" s="1"/>
  <c r="AI32" i="78"/>
  <c r="AK32" i="78" s="1"/>
  <c r="AM32" i="78" s="1"/>
  <c r="AI31" i="78"/>
  <c r="AK31" i="78" s="1"/>
  <c r="AM31" i="78" s="1"/>
  <c r="AI30" i="78"/>
  <c r="AK30" i="78" s="1"/>
  <c r="AM30" i="78" s="1"/>
  <c r="AI29" i="78"/>
  <c r="AK29" i="78" s="1"/>
  <c r="AM29" i="78" s="1"/>
  <c r="AI28" i="78"/>
  <c r="AK28" i="78" s="1"/>
  <c r="AM28" i="78" s="1"/>
  <c r="X27" i="78"/>
  <c r="AI27" i="78" s="1"/>
  <c r="AK27" i="78" s="1"/>
  <c r="AM27" i="78" s="1"/>
  <c r="AI26" i="78"/>
  <c r="AK26" i="78" s="1"/>
  <c r="AM26" i="78" s="1"/>
  <c r="AI25" i="78"/>
  <c r="AK25" i="78" s="1"/>
  <c r="AM25" i="78" s="1"/>
  <c r="AI24" i="78"/>
  <c r="AK24" i="78" s="1"/>
  <c r="AM24" i="78" s="1"/>
  <c r="AI23" i="78"/>
  <c r="AK23" i="78" s="1"/>
  <c r="AM23" i="78" s="1"/>
  <c r="AI22" i="78"/>
  <c r="AK22" i="78" s="1"/>
  <c r="AM22" i="78" s="1"/>
  <c r="AI21" i="78"/>
  <c r="AK21" i="78" s="1"/>
  <c r="AM21" i="78" s="1"/>
  <c r="AI20" i="78"/>
  <c r="AK20" i="78" s="1"/>
  <c r="AM20" i="78" s="1"/>
  <c r="AI19" i="78"/>
  <c r="AK19" i="78" s="1"/>
  <c r="AM19" i="78" s="1"/>
  <c r="AI18" i="78"/>
  <c r="AK18" i="78" s="1"/>
  <c r="AM18" i="78" s="1"/>
  <c r="AI17" i="78"/>
  <c r="AK17" i="78" s="1"/>
  <c r="AM17" i="78" s="1"/>
  <c r="AI16" i="78"/>
  <c r="AK16" i="78" s="1"/>
  <c r="AM16" i="78" s="1"/>
  <c r="AI15" i="78"/>
  <c r="AK15" i="78" s="1"/>
  <c r="AM15" i="78" s="1"/>
  <c r="AI14" i="78"/>
  <c r="AK14" i="78" s="1"/>
  <c r="AM14" i="78" s="1"/>
  <c r="AO13" i="78"/>
  <c r="K13" i="78"/>
  <c r="J13" i="78"/>
  <c r="I13" i="78"/>
  <c r="AI12" i="78"/>
  <c r="AI11" i="78"/>
  <c r="E9" i="78"/>
  <c r="F9" i="78" s="1"/>
  <c r="G9" i="78" s="1"/>
  <c r="H9" i="78" s="1"/>
  <c r="I9" i="78" s="1"/>
  <c r="J9" i="78" s="1"/>
  <c r="K9" i="78" s="1"/>
  <c r="L9" i="78" s="1"/>
  <c r="M9" i="78" s="1"/>
  <c r="N9" i="78" s="1"/>
  <c r="O9" i="78" s="1"/>
  <c r="P9" i="78" s="1"/>
  <c r="Q9" i="78" s="1"/>
  <c r="R9" i="78" s="1"/>
  <c r="S9" i="78" s="1"/>
  <c r="T9" i="78" s="1"/>
  <c r="U9" i="78" s="1"/>
  <c r="V9" i="78" s="1"/>
  <c r="W9" i="78" s="1"/>
  <c r="X9" i="78" s="1"/>
  <c r="Y9" i="78" s="1"/>
  <c r="Z9" i="78" s="1"/>
  <c r="AA9" i="78" s="1"/>
  <c r="AB9" i="78" s="1"/>
  <c r="AC9" i="78" s="1"/>
  <c r="AD9" i="78" s="1"/>
  <c r="AE9" i="78" s="1"/>
  <c r="AF9" i="78" s="1"/>
  <c r="AG9" i="78" s="1"/>
  <c r="AH9" i="78" s="1"/>
  <c r="B5" i="78"/>
  <c r="AI12" i="77"/>
  <c r="AK12" i="77" s="1"/>
  <c r="AM12" i="77" s="1"/>
  <c r="L152" i="77"/>
  <c r="AI152" i="77" s="1"/>
  <c r="AJ152" i="77" s="1"/>
  <c r="AL146" i="77"/>
  <c r="AM146" i="77" s="1"/>
  <c r="AI146" i="77"/>
  <c r="AI145" i="77"/>
  <c r="AK145" i="77" s="1"/>
  <c r="AM145" i="77" s="1"/>
  <c r="AI144" i="77"/>
  <c r="AK144" i="77" s="1"/>
  <c r="AM144" i="77" s="1"/>
  <c r="AI143" i="77"/>
  <c r="AK143" i="77" s="1"/>
  <c r="AM143" i="77" s="1"/>
  <c r="AI142" i="77"/>
  <c r="AK142" i="77" s="1"/>
  <c r="AM142" i="77" s="1"/>
  <c r="I141" i="77"/>
  <c r="H141" i="77"/>
  <c r="E141" i="77"/>
  <c r="D141" i="77"/>
  <c r="K140" i="77"/>
  <c r="J140" i="77"/>
  <c r="E140" i="77"/>
  <c r="D140" i="77"/>
  <c r="I139" i="77"/>
  <c r="E139" i="77"/>
  <c r="D139" i="77"/>
  <c r="AI138" i="77"/>
  <c r="AK138" i="77" s="1"/>
  <c r="AM138" i="77" s="1"/>
  <c r="AI137" i="77"/>
  <c r="AK137" i="77" s="1"/>
  <c r="AM137" i="77" s="1"/>
  <c r="AI136" i="77"/>
  <c r="AK136" i="77" s="1"/>
  <c r="AM136" i="77" s="1"/>
  <c r="AI135" i="77"/>
  <c r="AK135" i="77" s="1"/>
  <c r="AM135" i="77" s="1"/>
  <c r="AI134" i="77"/>
  <c r="AK134" i="77" s="1"/>
  <c r="AM134" i="77" s="1"/>
  <c r="AG133" i="77"/>
  <c r="AF133" i="77"/>
  <c r="AD133" i="77"/>
  <c r="AC133" i="77"/>
  <c r="AB133" i="77"/>
  <c r="Y133" i="77"/>
  <c r="AI132" i="77"/>
  <c r="AK132" i="77" s="1"/>
  <c r="AM132" i="77" s="1"/>
  <c r="AE131" i="77"/>
  <c r="AD131" i="77"/>
  <c r="AC131" i="77"/>
  <c r="AB131" i="77"/>
  <c r="AI130" i="77"/>
  <c r="AK130" i="77" s="1"/>
  <c r="AM130" i="77" s="1"/>
  <c r="O129" i="77"/>
  <c r="N129" i="77"/>
  <c r="L129" i="77"/>
  <c r="K129" i="77"/>
  <c r="J129" i="77"/>
  <c r="H129" i="77"/>
  <c r="AI128" i="77"/>
  <c r="AK128" i="77" s="1"/>
  <c r="AM128" i="77" s="1"/>
  <c r="AI127" i="77"/>
  <c r="AK127" i="77" s="1"/>
  <c r="AM127" i="77" s="1"/>
  <c r="U126" i="77"/>
  <c r="S126" i="77"/>
  <c r="O126" i="77"/>
  <c r="N126" i="77"/>
  <c r="AI125" i="77"/>
  <c r="AK125" i="77" s="1"/>
  <c r="AM125" i="77" s="1"/>
  <c r="X124" i="77"/>
  <c r="U124" i="77"/>
  <c r="R124" i="77"/>
  <c r="AI123" i="77"/>
  <c r="AK123" i="77" s="1"/>
  <c r="AM123" i="77" s="1"/>
  <c r="O122" i="77"/>
  <c r="AI122" i="77" s="1"/>
  <c r="AK122" i="77" s="1"/>
  <c r="AM122" i="77" s="1"/>
  <c r="AI121" i="77"/>
  <c r="AK121" i="77" s="1"/>
  <c r="AM121" i="77" s="1"/>
  <c r="AI120" i="77"/>
  <c r="AK120" i="77" s="1"/>
  <c r="AM120" i="77" s="1"/>
  <c r="AI119" i="77"/>
  <c r="AK119" i="77" s="1"/>
  <c r="AM119" i="77" s="1"/>
  <c r="AE118" i="77"/>
  <c r="AI118" i="77" s="1"/>
  <c r="AK118" i="77" s="1"/>
  <c r="AM118" i="77" s="1"/>
  <c r="AF117" i="77"/>
  <c r="S117" i="77"/>
  <c r="AI116" i="77"/>
  <c r="AK116" i="77" s="1"/>
  <c r="AM116" i="77" s="1"/>
  <c r="AD115" i="77"/>
  <c r="S115" i="77"/>
  <c r="AI114" i="77"/>
  <c r="AK114" i="77" s="1"/>
  <c r="AM114" i="77" s="1"/>
  <c r="AI113" i="77"/>
  <c r="AK113" i="77" s="1"/>
  <c r="AM113" i="77" s="1"/>
  <c r="AI112" i="77"/>
  <c r="AK112" i="77" s="1"/>
  <c r="AM112" i="77" s="1"/>
  <c r="AI111" i="77"/>
  <c r="AK111" i="77" s="1"/>
  <c r="AM111" i="77" s="1"/>
  <c r="Z110" i="77"/>
  <c r="AI110" i="77" s="1"/>
  <c r="AK110" i="77" s="1"/>
  <c r="AM110" i="77" s="1"/>
  <c r="AD109" i="77"/>
  <c r="I109" i="77"/>
  <c r="AE108" i="77"/>
  <c r="J108" i="77"/>
  <c r="H108" i="77"/>
  <c r="AI107" i="77"/>
  <c r="AK107" i="77" s="1"/>
  <c r="AM107" i="77" s="1"/>
  <c r="AG106" i="77"/>
  <c r="Z106" i="77"/>
  <c r="Y106" i="77"/>
  <c r="D106" i="77"/>
  <c r="AI105" i="77"/>
  <c r="AK105" i="77" s="1"/>
  <c r="AM105" i="77" s="1"/>
  <c r="AI104" i="77"/>
  <c r="AK104" i="77" s="1"/>
  <c r="AM104" i="77" s="1"/>
  <c r="K103" i="77"/>
  <c r="AI103" i="77" s="1"/>
  <c r="AK103" i="77" s="1"/>
  <c r="AM103" i="77" s="1"/>
  <c r="K102" i="77"/>
  <c r="AI102" i="77" s="1"/>
  <c r="AK102" i="77" s="1"/>
  <c r="AM102" i="77" s="1"/>
  <c r="AI101" i="77"/>
  <c r="AK101" i="77" s="1"/>
  <c r="AM101" i="77" s="1"/>
  <c r="AI100" i="77"/>
  <c r="AK100" i="77" s="1"/>
  <c r="AM100" i="77" s="1"/>
  <c r="X99" i="77"/>
  <c r="E99" i="77"/>
  <c r="AI98" i="77"/>
  <c r="AK98" i="77" s="1"/>
  <c r="AM98" i="77" s="1"/>
  <c r="AI97" i="77"/>
  <c r="AK97" i="77" s="1"/>
  <c r="AM97" i="77" s="1"/>
  <c r="AI96" i="77"/>
  <c r="AK96" i="77" s="1"/>
  <c r="AM96" i="77" s="1"/>
  <c r="AI95" i="77"/>
  <c r="AK95" i="77" s="1"/>
  <c r="AM95" i="77" s="1"/>
  <c r="AI94" i="77"/>
  <c r="AK94" i="77" s="1"/>
  <c r="AM94" i="77" s="1"/>
  <c r="AC93" i="77"/>
  <c r="AB93" i="77"/>
  <c r="AC92" i="77"/>
  <c r="AB92" i="77"/>
  <c r="AC91" i="77"/>
  <c r="AI91" i="77" s="1"/>
  <c r="AK91" i="77" s="1"/>
  <c r="AM91" i="77" s="1"/>
  <c r="AI90" i="77"/>
  <c r="AK90" i="77" s="1"/>
  <c r="AM90" i="77" s="1"/>
  <c r="AI89" i="77"/>
  <c r="AK89" i="77" s="1"/>
  <c r="AM89" i="77" s="1"/>
  <c r="Y88" i="77"/>
  <c r="X88" i="77"/>
  <c r="R88" i="77"/>
  <c r="O88" i="77"/>
  <c r="AC87" i="77"/>
  <c r="O87" i="77"/>
  <c r="AI86" i="77"/>
  <c r="AK86" i="77" s="1"/>
  <c r="AM86" i="77" s="1"/>
  <c r="E85" i="77"/>
  <c r="AI85" i="77" s="1"/>
  <c r="AK85" i="77" s="1"/>
  <c r="AM85" i="77" s="1"/>
  <c r="J84" i="77"/>
  <c r="AI84" i="77" s="1"/>
  <c r="AK84" i="77" s="1"/>
  <c r="AM84" i="77" s="1"/>
  <c r="J83" i="77"/>
  <c r="AI83" i="77" s="1"/>
  <c r="AK83" i="77" s="1"/>
  <c r="AM83" i="77" s="1"/>
  <c r="AI82" i="77"/>
  <c r="AK82" i="77" s="1"/>
  <c r="AM82" i="77" s="1"/>
  <c r="G81" i="77"/>
  <c r="AI81" i="77" s="1"/>
  <c r="AK81" i="77" s="1"/>
  <c r="AM81" i="77" s="1"/>
  <c r="H80" i="77"/>
  <c r="G80" i="77"/>
  <c r="I79" i="77"/>
  <c r="G79" i="77"/>
  <c r="AI78" i="77"/>
  <c r="AK78" i="77" s="1"/>
  <c r="AM78" i="77" s="1"/>
  <c r="E77" i="77"/>
  <c r="AI77" i="77" s="1"/>
  <c r="AK77" i="77" s="1"/>
  <c r="AM77" i="77" s="1"/>
  <c r="E76" i="77"/>
  <c r="AI76" i="77" s="1"/>
  <c r="AK76" i="77" s="1"/>
  <c r="AM76" i="77" s="1"/>
  <c r="AI75" i="77"/>
  <c r="AK75" i="77" s="1"/>
  <c r="AM75" i="77" s="1"/>
  <c r="AI74" i="77"/>
  <c r="AK74" i="77" s="1"/>
  <c r="AM74" i="77" s="1"/>
  <c r="D73" i="77"/>
  <c r="AI73" i="77" s="1"/>
  <c r="AK73" i="77" s="1"/>
  <c r="AM73" i="77" s="1"/>
  <c r="D72" i="77"/>
  <c r="AI72" i="77" s="1"/>
  <c r="AK72" i="77" s="1"/>
  <c r="AM72" i="77" s="1"/>
  <c r="AI71" i="77"/>
  <c r="AK71" i="77" s="1"/>
  <c r="AM71" i="77" s="1"/>
  <c r="L70" i="77"/>
  <c r="K70" i="77"/>
  <c r="J70" i="77"/>
  <c r="R69" i="77"/>
  <c r="H69" i="77"/>
  <c r="D68" i="77"/>
  <c r="AI68" i="77" s="1"/>
  <c r="AK68" i="77" s="1"/>
  <c r="AM68" i="77" s="1"/>
  <c r="D67" i="77"/>
  <c r="AI67" i="77" s="1"/>
  <c r="AK67" i="77" s="1"/>
  <c r="AM67" i="77" s="1"/>
  <c r="AI66" i="77"/>
  <c r="AK66" i="77" s="1"/>
  <c r="AM66" i="77" s="1"/>
  <c r="AI65" i="77"/>
  <c r="AK65" i="77" s="1"/>
  <c r="AM65" i="77" s="1"/>
  <c r="AI64" i="77"/>
  <c r="AK64" i="77" s="1"/>
  <c r="AM64" i="77" s="1"/>
  <c r="AI63" i="77"/>
  <c r="AK63" i="77" s="1"/>
  <c r="AM63" i="77" s="1"/>
  <c r="AD62" i="77"/>
  <c r="AI62" i="77" s="1"/>
  <c r="AK62" i="77" s="1"/>
  <c r="AM62" i="77" s="1"/>
  <c r="AF61" i="77"/>
  <c r="AE61" i="77"/>
  <c r="AF60" i="77"/>
  <c r="AI60" i="77" s="1"/>
  <c r="AK60" i="77" s="1"/>
  <c r="AM60" i="77" s="1"/>
  <c r="AI59" i="77"/>
  <c r="AK59" i="77" s="1"/>
  <c r="AM59" i="77" s="1"/>
  <c r="AI58" i="77"/>
  <c r="AK58" i="77" s="1"/>
  <c r="AM58" i="77" s="1"/>
  <c r="AF57" i="77"/>
  <c r="AI57" i="77" s="1"/>
  <c r="AK57" i="77" s="1"/>
  <c r="AM57" i="77" s="1"/>
  <c r="AF56" i="77"/>
  <c r="AI56" i="77" s="1"/>
  <c r="AK56" i="77" s="1"/>
  <c r="AM56" i="77" s="1"/>
  <c r="AE55" i="77"/>
  <c r="AI55" i="77" s="1"/>
  <c r="AK55" i="77" s="1"/>
  <c r="AM55" i="77" s="1"/>
  <c r="AI54" i="77"/>
  <c r="AK54" i="77" s="1"/>
  <c r="AM54" i="77" s="1"/>
  <c r="O53" i="77"/>
  <c r="AI53" i="77" s="1"/>
  <c r="AK53" i="77" s="1"/>
  <c r="AM53" i="77" s="1"/>
  <c r="AI52" i="77"/>
  <c r="AK52" i="77" s="1"/>
  <c r="AM52" i="77" s="1"/>
  <c r="AI51" i="77"/>
  <c r="AK51" i="77" s="1"/>
  <c r="AM51" i="77" s="1"/>
  <c r="AI50" i="77"/>
  <c r="AK50" i="77" s="1"/>
  <c r="AM50" i="77" s="1"/>
  <c r="AI49" i="77"/>
  <c r="AK49" i="77" s="1"/>
  <c r="AM49" i="77" s="1"/>
  <c r="AI48" i="77"/>
  <c r="AK48" i="77" s="1"/>
  <c r="AM48" i="77" s="1"/>
  <c r="U47" i="77"/>
  <c r="O47" i="77"/>
  <c r="N47" i="77"/>
  <c r="L47" i="77"/>
  <c r="K47" i="77"/>
  <c r="AE46" i="77"/>
  <c r="AD46" i="77"/>
  <c r="U46" i="77"/>
  <c r="O46" i="77"/>
  <c r="N46" i="77"/>
  <c r="L46" i="77"/>
  <c r="K46" i="77"/>
  <c r="AD45" i="77"/>
  <c r="U45" i="77"/>
  <c r="O45" i="77"/>
  <c r="N45" i="77"/>
  <c r="K45" i="77"/>
  <c r="AI44" i="77"/>
  <c r="AK44" i="77" s="1"/>
  <c r="AM44" i="77" s="1"/>
  <c r="AI43" i="77"/>
  <c r="AK43" i="77" s="1"/>
  <c r="AM43" i="77" s="1"/>
  <c r="Y42" i="77"/>
  <c r="AI42" i="77" s="1"/>
  <c r="AK42" i="77" s="1"/>
  <c r="AM42" i="77" s="1"/>
  <c r="AI41" i="77"/>
  <c r="AK41" i="77" s="1"/>
  <c r="AM41" i="77" s="1"/>
  <c r="AI40" i="77"/>
  <c r="AK40" i="77" s="1"/>
  <c r="AM40" i="77" s="1"/>
  <c r="AI39" i="77"/>
  <c r="AK39" i="77" s="1"/>
  <c r="AM39" i="77" s="1"/>
  <c r="AI38" i="77"/>
  <c r="AK38" i="77" s="1"/>
  <c r="AM38" i="77" s="1"/>
  <c r="AI37" i="77"/>
  <c r="AK37" i="77" s="1"/>
  <c r="AM37" i="77" s="1"/>
  <c r="AI36" i="77"/>
  <c r="AK36" i="77" s="1"/>
  <c r="AM36" i="77" s="1"/>
  <c r="X35" i="77"/>
  <c r="AI35" i="77" s="1"/>
  <c r="AK35" i="77" s="1"/>
  <c r="AM35" i="77" s="1"/>
  <c r="W34" i="77"/>
  <c r="V34" i="77"/>
  <c r="AB33" i="77"/>
  <c r="AI33" i="77" s="1"/>
  <c r="AK33" i="77" s="1"/>
  <c r="AM33" i="77" s="1"/>
  <c r="AI32" i="77"/>
  <c r="AK32" i="77" s="1"/>
  <c r="AM32" i="77" s="1"/>
  <c r="V31" i="77"/>
  <c r="AI31" i="77" s="1"/>
  <c r="AK31" i="77" s="1"/>
  <c r="AM31" i="77" s="1"/>
  <c r="V30" i="77"/>
  <c r="AI30" i="77" s="1"/>
  <c r="AK30" i="77" s="1"/>
  <c r="AM30" i="77" s="1"/>
  <c r="AB29" i="77"/>
  <c r="V29" i="77"/>
  <c r="AI28" i="77"/>
  <c r="AK28" i="77" s="1"/>
  <c r="AM28" i="77" s="1"/>
  <c r="J27" i="77"/>
  <c r="AI27" i="77" s="1"/>
  <c r="AK27" i="77" s="1"/>
  <c r="AM27" i="77" s="1"/>
  <c r="AB26" i="77"/>
  <c r="U26" i="77"/>
  <c r="AB25" i="77"/>
  <c r="U25" i="77"/>
  <c r="AI24" i="77"/>
  <c r="AK24" i="77" s="1"/>
  <c r="AM24" i="77" s="1"/>
  <c r="K23" i="77"/>
  <c r="AI23" i="77" s="1"/>
  <c r="AK23" i="77" s="1"/>
  <c r="AM23" i="77" s="1"/>
  <c r="AI22" i="77"/>
  <c r="AK22" i="77" s="1"/>
  <c r="AM22" i="77" s="1"/>
  <c r="AI21" i="77"/>
  <c r="AK21" i="77" s="1"/>
  <c r="AM21" i="77" s="1"/>
  <c r="AI20" i="77"/>
  <c r="AK20" i="77" s="1"/>
  <c r="AM20" i="77" s="1"/>
  <c r="J19" i="77"/>
  <c r="AI19" i="77" s="1"/>
  <c r="AK19" i="77" s="1"/>
  <c r="AM19" i="77" s="1"/>
  <c r="J18" i="77"/>
  <c r="AI18" i="77" s="1"/>
  <c r="AK18" i="77" s="1"/>
  <c r="AM18" i="77" s="1"/>
  <c r="AI17" i="77"/>
  <c r="AK17" i="77" s="1"/>
  <c r="AM17" i="77" s="1"/>
  <c r="AI16" i="77"/>
  <c r="AK16" i="77" s="1"/>
  <c r="AM16" i="77" s="1"/>
  <c r="AI15" i="77"/>
  <c r="AK15" i="77" s="1"/>
  <c r="AM15" i="77" s="1"/>
  <c r="AI14" i="77"/>
  <c r="AK14" i="77" s="1"/>
  <c r="AM14" i="77" s="1"/>
  <c r="L13" i="77"/>
  <c r="AI13" i="77" s="1"/>
  <c r="AK13" i="77" s="1"/>
  <c r="AM13" i="77" s="1"/>
  <c r="AI11" i="77"/>
  <c r="E9" i="77"/>
  <c r="F9" i="77" s="1"/>
  <c r="G9" i="77" s="1"/>
  <c r="H9" i="77" s="1"/>
  <c r="I9" i="77" s="1"/>
  <c r="J9" i="77" s="1"/>
  <c r="K9" i="77" s="1"/>
  <c r="L9" i="77" s="1"/>
  <c r="M9" i="77" s="1"/>
  <c r="N9" i="77" s="1"/>
  <c r="O9" i="77" s="1"/>
  <c r="P9" i="77" s="1"/>
  <c r="Q9" i="77" s="1"/>
  <c r="R9" i="77" s="1"/>
  <c r="S9" i="77" s="1"/>
  <c r="T9" i="77" s="1"/>
  <c r="U9" i="77" s="1"/>
  <c r="V9" i="77" s="1"/>
  <c r="W9" i="77" s="1"/>
  <c r="X9" i="77" s="1"/>
  <c r="Y9" i="77" s="1"/>
  <c r="Z9" i="77" s="1"/>
  <c r="AA9" i="77" s="1"/>
  <c r="AB9" i="77" s="1"/>
  <c r="AC9" i="77" s="1"/>
  <c r="AD9" i="77" s="1"/>
  <c r="AE9" i="77" s="1"/>
  <c r="AF9" i="77" s="1"/>
  <c r="AG9" i="77" s="1"/>
  <c r="AH9" i="77" s="1"/>
  <c r="B5" i="77"/>
  <c r="AI20" i="79" l="1"/>
  <c r="AI32" i="79"/>
  <c r="AI28" i="79"/>
  <c r="AI31" i="79"/>
  <c r="AI13" i="78"/>
  <c r="AI34" i="78"/>
  <c r="AI67" i="78"/>
  <c r="AI64" i="78"/>
  <c r="AI115" i="77"/>
  <c r="AK115" i="77" s="1"/>
  <c r="AM115" i="77" s="1"/>
  <c r="AI70" i="77"/>
  <c r="AK70" i="77" s="1"/>
  <c r="AM70" i="77" s="1"/>
  <c r="AI99" i="77"/>
  <c r="AK99" i="77" s="1"/>
  <c r="AM99" i="77" s="1"/>
  <c r="AI29" i="77"/>
  <c r="AK29" i="77" s="1"/>
  <c r="AM29" i="77" s="1"/>
  <c r="AI69" i="77"/>
  <c r="AK69" i="77" s="1"/>
  <c r="AM69" i="77" s="1"/>
  <c r="AI117" i="77"/>
  <c r="AK117" i="77" s="1"/>
  <c r="AM117" i="77" s="1"/>
  <c r="AI92" i="77"/>
  <c r="AK92" i="77" s="1"/>
  <c r="AM92" i="77" s="1"/>
  <c r="AI108" i="77"/>
  <c r="AK108" i="77" s="1"/>
  <c r="AM108" i="77" s="1"/>
  <c r="AI47" i="77"/>
  <c r="AK47" i="77" s="1"/>
  <c r="AM47" i="77" s="1"/>
  <c r="AI131" i="77"/>
  <c r="AK131" i="77" s="1"/>
  <c r="AM131" i="77" s="1"/>
  <c r="AI34" i="77"/>
  <c r="AK34" i="77" s="1"/>
  <c r="AM34" i="77" s="1"/>
  <c r="AI46" i="77"/>
  <c r="AK46" i="77" s="1"/>
  <c r="AM46" i="77" s="1"/>
  <c r="AI61" i="77"/>
  <c r="AK61" i="77" s="1"/>
  <c r="AM61" i="77" s="1"/>
  <c r="AI79" i="77"/>
  <c r="AK79" i="77" s="1"/>
  <c r="AM79" i="77" s="1"/>
  <c r="AI126" i="77"/>
  <c r="AK126" i="77" s="1"/>
  <c r="AM126" i="77" s="1"/>
  <c r="AI26" i="77"/>
  <c r="AK26" i="77" s="1"/>
  <c r="AM26" i="77" s="1"/>
  <c r="AI88" i="77"/>
  <c r="AK88" i="77" s="1"/>
  <c r="AM88" i="77" s="1"/>
  <c r="AI93" i="77"/>
  <c r="AK93" i="77" s="1"/>
  <c r="AM93" i="77" s="1"/>
  <c r="AI106" i="77"/>
  <c r="AK106" i="77" s="1"/>
  <c r="AM106" i="77" s="1"/>
  <c r="AI45" i="77"/>
  <c r="AK45" i="77" s="1"/>
  <c r="AM45" i="77" s="1"/>
  <c r="AI124" i="77"/>
  <c r="AK124" i="77" s="1"/>
  <c r="AM124" i="77" s="1"/>
  <c r="AI25" i="77"/>
  <c r="AK25" i="77" s="1"/>
  <c r="AM25" i="77" s="1"/>
  <c r="AI80" i="77"/>
  <c r="AK80" i="77" s="1"/>
  <c r="AM80" i="77" s="1"/>
  <c r="AI87" i="77"/>
  <c r="AK87" i="77" s="1"/>
  <c r="AM87" i="77" s="1"/>
  <c r="AI140" i="77"/>
  <c r="AK140" i="77" s="1"/>
  <c r="AM140" i="77" s="1"/>
  <c r="AI109" i="77"/>
  <c r="AK109" i="77" s="1"/>
  <c r="AM109" i="77" s="1"/>
  <c r="AI129" i="77"/>
  <c r="AK129" i="77" s="1"/>
  <c r="AM129" i="77" s="1"/>
  <c r="AI133" i="77"/>
  <c r="AK133" i="77" s="1"/>
  <c r="AM133" i="77" s="1"/>
  <c r="AI139" i="77"/>
  <c r="AK139" i="77" s="1"/>
  <c r="AM139" i="77" s="1"/>
  <c r="AI141" i="77"/>
  <c r="AK141" i="77" s="1"/>
  <c r="AM141" i="77" s="1"/>
  <c r="AK64" i="78" l="1"/>
  <c r="AM64" i="78" s="1"/>
  <c r="AK67" i="78"/>
  <c r="AM67" i="78" s="1"/>
  <c r="AK34" i="78"/>
  <c r="AM34" i="78" s="1"/>
  <c r="AK13" i="78"/>
  <c r="AM13" i="78" s="1"/>
  <c r="AO15" i="78" s="1"/>
  <c r="K7" i="85" l="1"/>
  <c r="K6" i="85"/>
  <c r="K5" i="85"/>
  <c r="E6" i="85"/>
  <c r="E5" i="85"/>
  <c r="E4" i="85"/>
  <c r="N17" i="85" l="1"/>
  <c r="G18" i="85" s="1"/>
  <c r="H18" i="85" s="1"/>
  <c r="N18" i="85"/>
  <c r="G19" i="85" s="1"/>
  <c r="H19" i="85" s="1"/>
  <c r="J18" i="85" l="1"/>
  <c r="K18" i="85" s="1"/>
  <c r="I18" i="85"/>
  <c r="I19" i="85"/>
  <c r="J19" i="85"/>
  <c r="K19" i="85" s="1"/>
  <c r="AB872" i="71" l="1"/>
  <c r="AA872" i="71"/>
  <c r="Y872" i="71"/>
  <c r="X872" i="71"/>
  <c r="W872" i="71"/>
  <c r="V872" i="71"/>
  <c r="U872" i="71"/>
  <c r="T872" i="71"/>
  <c r="R872" i="71"/>
  <c r="I872" i="71"/>
  <c r="D872" i="71"/>
  <c r="AI871" i="71"/>
  <c r="AI870" i="71"/>
  <c r="AI869" i="71"/>
  <c r="J868" i="71"/>
  <c r="AI868" i="71" s="1"/>
  <c r="K867" i="71"/>
  <c r="AI867" i="71" s="1"/>
  <c r="AI866" i="71"/>
  <c r="AI865" i="71"/>
  <c r="I864" i="71"/>
  <c r="AI864" i="71" s="1"/>
  <c r="J863" i="71"/>
  <c r="AI863" i="71" s="1"/>
  <c r="AI862" i="71"/>
  <c r="AI861" i="71"/>
  <c r="AI860" i="71"/>
  <c r="AI859" i="71"/>
  <c r="AI858" i="71"/>
  <c r="AI857" i="71"/>
  <c r="J856" i="71"/>
  <c r="AI856" i="71" s="1"/>
  <c r="O855" i="71"/>
  <c r="N855" i="71"/>
  <c r="AI854" i="71"/>
  <c r="AI853" i="71"/>
  <c r="J852" i="71"/>
  <c r="AI852" i="71" s="1"/>
  <c r="O851" i="71"/>
  <c r="N851" i="71"/>
  <c r="K851" i="71"/>
  <c r="AI850" i="71"/>
  <c r="AI849" i="71"/>
  <c r="AI848" i="71"/>
  <c r="AI847" i="71"/>
  <c r="AI846" i="71"/>
  <c r="AI845" i="71"/>
  <c r="AI844" i="71"/>
  <c r="AI843" i="71"/>
  <c r="AI842" i="71"/>
  <c r="AI841" i="71"/>
  <c r="AB840" i="71"/>
  <c r="AI840" i="71" s="1"/>
  <c r="AI839" i="71"/>
  <c r="AK839" i="71" s="1"/>
  <c r="AM839" i="71" s="1"/>
  <c r="AO839" i="71" s="1"/>
  <c r="AQ839" i="71" s="1"/>
  <c r="AI838" i="71"/>
  <c r="AK838" i="71" s="1"/>
  <c r="AM838" i="71" s="1"/>
  <c r="AO838" i="71" s="1"/>
  <c r="AQ838" i="71" s="1"/>
  <c r="AI837" i="71"/>
  <c r="AK837" i="71" s="1"/>
  <c r="AM837" i="71" s="1"/>
  <c r="AO837" i="71" s="1"/>
  <c r="AQ837" i="71" s="1"/>
  <c r="AI836" i="71"/>
  <c r="AK836" i="71" s="1"/>
  <c r="AM836" i="71" s="1"/>
  <c r="AO836" i="71" s="1"/>
  <c r="AQ836" i="71" s="1"/>
  <c r="AI835" i="71"/>
  <c r="AK835" i="71" s="1"/>
  <c r="AM835" i="71" s="1"/>
  <c r="AO835" i="71" s="1"/>
  <c r="AQ835" i="71" s="1"/>
  <c r="AP834" i="71"/>
  <c r="AL834" i="71"/>
  <c r="AI834" i="71"/>
  <c r="AK834" i="71" s="1"/>
  <c r="AO833" i="71"/>
  <c r="AI833" i="71"/>
  <c r="AK833" i="71" s="1"/>
  <c r="AO832" i="71"/>
  <c r="AI832" i="71"/>
  <c r="AK832" i="71" s="1"/>
  <c r="AI830" i="71"/>
  <c r="AK830" i="71" s="1"/>
  <c r="AM830" i="71" s="1"/>
  <c r="F829" i="71"/>
  <c r="AI829" i="71" s="1"/>
  <c r="AK829" i="71" s="1"/>
  <c r="AM829" i="71" s="1"/>
  <c r="G828" i="71"/>
  <c r="AI828" i="71" s="1"/>
  <c r="AK828" i="71" s="1"/>
  <c r="AM828" i="71" s="1"/>
  <c r="AI827" i="71"/>
  <c r="AK827" i="71" s="1"/>
  <c r="AM827" i="71" s="1"/>
  <c r="AI826" i="71"/>
  <c r="AK826" i="71" s="1"/>
  <c r="AM826" i="71" s="1"/>
  <c r="AI825" i="71"/>
  <c r="AK825" i="71" s="1"/>
  <c r="AM825" i="71" s="1"/>
  <c r="AI824" i="71"/>
  <c r="AK824" i="71" s="1"/>
  <c r="AM824" i="71" s="1"/>
  <c r="AI823" i="71"/>
  <c r="AK823" i="71" s="1"/>
  <c r="AM823" i="71" s="1"/>
  <c r="AI822" i="71"/>
  <c r="AK822" i="71" s="1"/>
  <c r="AM822" i="71" s="1"/>
  <c r="AI821" i="71"/>
  <c r="AK821" i="71" s="1"/>
  <c r="AM821" i="71" s="1"/>
  <c r="AI820" i="71"/>
  <c r="AK820" i="71" s="1"/>
  <c r="AM820" i="71" s="1"/>
  <c r="AI819" i="71"/>
  <c r="AK819" i="71" s="1"/>
  <c r="AM819" i="71" s="1"/>
  <c r="AI818" i="71"/>
  <c r="AK818" i="71" s="1"/>
  <c r="AM818" i="71" s="1"/>
  <c r="AI817" i="71"/>
  <c r="AK817" i="71" s="1"/>
  <c r="AM817" i="71" s="1"/>
  <c r="AI816" i="71"/>
  <c r="AK816" i="71" s="1"/>
  <c r="AM816" i="71" s="1"/>
  <c r="AI815" i="71"/>
  <c r="AK815" i="71" s="1"/>
  <c r="AM815" i="71" s="1"/>
  <c r="AI814" i="71"/>
  <c r="AK814" i="71" s="1"/>
  <c r="AM814" i="71" s="1"/>
  <c r="AI813" i="71"/>
  <c r="AK813" i="71" s="1"/>
  <c r="AM813" i="71" s="1"/>
  <c r="AI812" i="71"/>
  <c r="AK812" i="71" s="1"/>
  <c r="AM812" i="71" s="1"/>
  <c r="AI811" i="71"/>
  <c r="AK811" i="71" s="1"/>
  <c r="AM811" i="71" s="1"/>
  <c r="AI810" i="71"/>
  <c r="AK810" i="71" s="1"/>
  <c r="AM810" i="71" s="1"/>
  <c r="AI809" i="71"/>
  <c r="AK809" i="71" s="1"/>
  <c r="AM809" i="71" s="1"/>
  <c r="AI808" i="71"/>
  <c r="AK808" i="71" s="1"/>
  <c r="AM808" i="71" s="1"/>
  <c r="AI807" i="71"/>
  <c r="AK807" i="71" s="1"/>
  <c r="AM807" i="71" s="1"/>
  <c r="AI806" i="71"/>
  <c r="AK806" i="71" s="1"/>
  <c r="AM806" i="71" s="1"/>
  <c r="AI805" i="71"/>
  <c r="AK805" i="71" s="1"/>
  <c r="AM805" i="71" s="1"/>
  <c r="AI804" i="71"/>
  <c r="AK804" i="71" s="1"/>
  <c r="AM804" i="71" s="1"/>
  <c r="AI803" i="71"/>
  <c r="AK803" i="71" s="1"/>
  <c r="AM803" i="71" s="1"/>
  <c r="AI802" i="71"/>
  <c r="AK802" i="71" s="1"/>
  <c r="AM802" i="71" s="1"/>
  <c r="AI801" i="71"/>
  <c r="AK801" i="71" s="1"/>
  <c r="AM801" i="71" s="1"/>
  <c r="AI800" i="71"/>
  <c r="AK800" i="71" s="1"/>
  <c r="AM800" i="71" s="1"/>
  <c r="AI799" i="71"/>
  <c r="AK799" i="71" s="1"/>
  <c r="AM799" i="71" s="1"/>
  <c r="AI798" i="71"/>
  <c r="AK798" i="71" s="1"/>
  <c r="AM798" i="71" s="1"/>
  <c r="AI797" i="71"/>
  <c r="AK797" i="71" s="1"/>
  <c r="AM797" i="71" s="1"/>
  <c r="AI796" i="71"/>
  <c r="AK796" i="71" s="1"/>
  <c r="AM796" i="71" s="1"/>
  <c r="AI795" i="71"/>
  <c r="AK795" i="71" s="1"/>
  <c r="AM795" i="71" s="1"/>
  <c r="AI794" i="71"/>
  <c r="AK794" i="71" s="1"/>
  <c r="AM794" i="71" s="1"/>
  <c r="AI793" i="71"/>
  <c r="AK793" i="71" s="1"/>
  <c r="AM793" i="71" s="1"/>
  <c r="AI792" i="71"/>
  <c r="AK792" i="71" s="1"/>
  <c r="AM792" i="71" s="1"/>
  <c r="AI791" i="71"/>
  <c r="AK791" i="71" s="1"/>
  <c r="AM791" i="71" s="1"/>
  <c r="AI790" i="71"/>
  <c r="AK790" i="71" s="1"/>
  <c r="AM790" i="71" s="1"/>
  <c r="AI789" i="71"/>
  <c r="AK789" i="71" s="1"/>
  <c r="AM789" i="71" s="1"/>
  <c r="AI788" i="71"/>
  <c r="AK788" i="71" s="1"/>
  <c r="AM788" i="71" s="1"/>
  <c r="AI787" i="71"/>
  <c r="AK787" i="71" s="1"/>
  <c r="AM787" i="71" s="1"/>
  <c r="AI786" i="71"/>
  <c r="AK786" i="71" s="1"/>
  <c r="AM786" i="71" s="1"/>
  <c r="AI785" i="71"/>
  <c r="AK785" i="71" s="1"/>
  <c r="AM785" i="71" s="1"/>
  <c r="AI784" i="71"/>
  <c r="AK784" i="71" s="1"/>
  <c r="AM784" i="71" s="1"/>
  <c r="AI783" i="71"/>
  <c r="AK783" i="71" s="1"/>
  <c r="AM783" i="71" s="1"/>
  <c r="AI782" i="71"/>
  <c r="AK782" i="71" s="1"/>
  <c r="AM782" i="71" s="1"/>
  <c r="H781" i="71"/>
  <c r="AI781" i="71" s="1"/>
  <c r="AK781" i="71" s="1"/>
  <c r="AM781" i="71" s="1"/>
  <c r="I780" i="71"/>
  <c r="AI780" i="71" s="1"/>
  <c r="AK780" i="71" s="1"/>
  <c r="AM780" i="71" s="1"/>
  <c r="AI779" i="71"/>
  <c r="AK779" i="71" s="1"/>
  <c r="AM779" i="71" s="1"/>
  <c r="AI778" i="71"/>
  <c r="AK778" i="71" s="1"/>
  <c r="AM778" i="71" s="1"/>
  <c r="AI777" i="71"/>
  <c r="AK777" i="71" s="1"/>
  <c r="AM777" i="71" s="1"/>
  <c r="AI776" i="71"/>
  <c r="AK776" i="71" s="1"/>
  <c r="AM776" i="71" s="1"/>
  <c r="AI775" i="71"/>
  <c r="AK775" i="71" s="1"/>
  <c r="AM775" i="71" s="1"/>
  <c r="AI774" i="71"/>
  <c r="AK774" i="71" s="1"/>
  <c r="AM774" i="71" s="1"/>
  <c r="AI773" i="71"/>
  <c r="AK773" i="71" s="1"/>
  <c r="AM773" i="71" s="1"/>
  <c r="AI772" i="71"/>
  <c r="AK772" i="71" s="1"/>
  <c r="AM772" i="71" s="1"/>
  <c r="AI771" i="71"/>
  <c r="AK771" i="71" s="1"/>
  <c r="AM771" i="71" s="1"/>
  <c r="AI770" i="71"/>
  <c r="AK770" i="71" s="1"/>
  <c r="AM770" i="71" s="1"/>
  <c r="AI769" i="71"/>
  <c r="AK769" i="71" s="1"/>
  <c r="AM769" i="71" s="1"/>
  <c r="AI768" i="71"/>
  <c r="AK768" i="71" s="1"/>
  <c r="AM768" i="71" s="1"/>
  <c r="AI767" i="71"/>
  <c r="AK767" i="71" s="1"/>
  <c r="AM767" i="71" s="1"/>
  <c r="AI766" i="71"/>
  <c r="AK766" i="71" s="1"/>
  <c r="AM766" i="71" s="1"/>
  <c r="AI765" i="71"/>
  <c r="AK765" i="71" s="1"/>
  <c r="AM765" i="71" s="1"/>
  <c r="AI764" i="71"/>
  <c r="AK764" i="71" s="1"/>
  <c r="AM764" i="71" s="1"/>
  <c r="AI763" i="71"/>
  <c r="AK763" i="71" s="1"/>
  <c r="AM763" i="71" s="1"/>
  <c r="AI762" i="71"/>
  <c r="AK762" i="71" s="1"/>
  <c r="AM762" i="71" s="1"/>
  <c r="AI761" i="71"/>
  <c r="AK761" i="71" s="1"/>
  <c r="AM761" i="71" s="1"/>
  <c r="AI760" i="71"/>
  <c r="AK760" i="71" s="1"/>
  <c r="AM760" i="71" s="1"/>
  <c r="AI759" i="71"/>
  <c r="AK759" i="71" s="1"/>
  <c r="AM759" i="71" s="1"/>
  <c r="AI758" i="71"/>
  <c r="AK758" i="71" s="1"/>
  <c r="AM758" i="71" s="1"/>
  <c r="AI757" i="71"/>
  <c r="AK757" i="71" s="1"/>
  <c r="AM757" i="71" s="1"/>
  <c r="AI756" i="71"/>
  <c r="AK756" i="71" s="1"/>
  <c r="AM756" i="71" s="1"/>
  <c r="AI755" i="71"/>
  <c r="AK755" i="71" s="1"/>
  <c r="AM755" i="71" s="1"/>
  <c r="AI754" i="71"/>
  <c r="AK754" i="71" s="1"/>
  <c r="AM754" i="71" s="1"/>
  <c r="AI753" i="71"/>
  <c r="AK753" i="71" s="1"/>
  <c r="AM753" i="71" s="1"/>
  <c r="AI752" i="71"/>
  <c r="AK752" i="71" s="1"/>
  <c r="AM752" i="71" s="1"/>
  <c r="AI751" i="71"/>
  <c r="AK751" i="71" s="1"/>
  <c r="AM751" i="71" s="1"/>
  <c r="AI750" i="71"/>
  <c r="AK750" i="71" s="1"/>
  <c r="AM750" i="71" s="1"/>
  <c r="AI749" i="71"/>
  <c r="AK749" i="71" s="1"/>
  <c r="AM749" i="71" s="1"/>
  <c r="AI748" i="71"/>
  <c r="AK748" i="71" s="1"/>
  <c r="AM748" i="71" s="1"/>
  <c r="AI747" i="71"/>
  <c r="AK747" i="71" s="1"/>
  <c r="AM747" i="71" s="1"/>
  <c r="AI746" i="71"/>
  <c r="AK746" i="71" s="1"/>
  <c r="AM746" i="71" s="1"/>
  <c r="AI745" i="71"/>
  <c r="AK745" i="71" s="1"/>
  <c r="AM745" i="71" s="1"/>
  <c r="AI744" i="71"/>
  <c r="AK744" i="71" s="1"/>
  <c r="AM744" i="71" s="1"/>
  <c r="AI743" i="71"/>
  <c r="AK743" i="71" s="1"/>
  <c r="AM743" i="71" s="1"/>
  <c r="AI742" i="71"/>
  <c r="AK742" i="71" s="1"/>
  <c r="AM742" i="71" s="1"/>
  <c r="AI741" i="71"/>
  <c r="AK741" i="71" s="1"/>
  <c r="AM741" i="71" s="1"/>
  <c r="AI740" i="71"/>
  <c r="AK740" i="71" s="1"/>
  <c r="AM740" i="71" s="1"/>
  <c r="AI739" i="71"/>
  <c r="AK739" i="71" s="1"/>
  <c r="AM739" i="71" s="1"/>
  <c r="AI738" i="71"/>
  <c r="AK738" i="71" s="1"/>
  <c r="AM738" i="71" s="1"/>
  <c r="AI737" i="71"/>
  <c r="AK737" i="71" s="1"/>
  <c r="AM737" i="71" s="1"/>
  <c r="AI736" i="71"/>
  <c r="AK736" i="71" s="1"/>
  <c r="AM736" i="71" s="1"/>
  <c r="AI735" i="71"/>
  <c r="AK735" i="71" s="1"/>
  <c r="AM735" i="71" s="1"/>
  <c r="AI734" i="71"/>
  <c r="AK734" i="71" s="1"/>
  <c r="AM734" i="71" s="1"/>
  <c r="AI733" i="71"/>
  <c r="AK733" i="71" s="1"/>
  <c r="AM733" i="71" s="1"/>
  <c r="AI732" i="71"/>
  <c r="AK732" i="71" s="1"/>
  <c r="AM732" i="71" s="1"/>
  <c r="AI731" i="71"/>
  <c r="AK731" i="71" s="1"/>
  <c r="AM731" i="71" s="1"/>
  <c r="AI730" i="71"/>
  <c r="AK730" i="71" s="1"/>
  <c r="AM730" i="71" s="1"/>
  <c r="AI729" i="71"/>
  <c r="AK729" i="71" s="1"/>
  <c r="AM729" i="71" s="1"/>
  <c r="AI728" i="71"/>
  <c r="AK728" i="71" s="1"/>
  <c r="AM728" i="71" s="1"/>
  <c r="AI727" i="71"/>
  <c r="AK727" i="71" s="1"/>
  <c r="AM727" i="71" s="1"/>
  <c r="AI726" i="71"/>
  <c r="AK726" i="71" s="1"/>
  <c r="AM726" i="71" s="1"/>
  <c r="AI725" i="71"/>
  <c r="AK725" i="71" s="1"/>
  <c r="AM725" i="71" s="1"/>
  <c r="AI724" i="71"/>
  <c r="AK724" i="71" s="1"/>
  <c r="AM724" i="71" s="1"/>
  <c r="AI723" i="71"/>
  <c r="AK723" i="71" s="1"/>
  <c r="AM723" i="71" s="1"/>
  <c r="AI722" i="71"/>
  <c r="AK722" i="71" s="1"/>
  <c r="AM722" i="71" s="1"/>
  <c r="AI721" i="71"/>
  <c r="AK721" i="71" s="1"/>
  <c r="AM721" i="71" s="1"/>
  <c r="AI720" i="71"/>
  <c r="AK720" i="71" s="1"/>
  <c r="AM720" i="71" s="1"/>
  <c r="AI719" i="71"/>
  <c r="AK719" i="71" s="1"/>
  <c r="AM719" i="71" s="1"/>
  <c r="AI718" i="71"/>
  <c r="AK718" i="71" s="1"/>
  <c r="AM718" i="71" s="1"/>
  <c r="AI717" i="71"/>
  <c r="AK717" i="71" s="1"/>
  <c r="AM717" i="71" s="1"/>
  <c r="AI716" i="71"/>
  <c r="AK716" i="71" s="1"/>
  <c r="AM716" i="71" s="1"/>
  <c r="AI715" i="71"/>
  <c r="AK715" i="71" s="1"/>
  <c r="AM715" i="71" s="1"/>
  <c r="AI714" i="71"/>
  <c r="AK714" i="71" s="1"/>
  <c r="AM714" i="71" s="1"/>
  <c r="AI713" i="71"/>
  <c r="AK713" i="71" s="1"/>
  <c r="AM713" i="71" s="1"/>
  <c r="AI712" i="71"/>
  <c r="AK712" i="71" s="1"/>
  <c r="AM712" i="71" s="1"/>
  <c r="AI711" i="71"/>
  <c r="AK711" i="71" s="1"/>
  <c r="AM711" i="71" s="1"/>
  <c r="AI710" i="71"/>
  <c r="AK710" i="71" s="1"/>
  <c r="AM710" i="71" s="1"/>
  <c r="AI709" i="71"/>
  <c r="AK709" i="71" s="1"/>
  <c r="AM709" i="71" s="1"/>
  <c r="AI708" i="71"/>
  <c r="AK708" i="71" s="1"/>
  <c r="AM708" i="71" s="1"/>
  <c r="AI707" i="71"/>
  <c r="AK707" i="71" s="1"/>
  <c r="AM707" i="71" s="1"/>
  <c r="AI706" i="71"/>
  <c r="AK706" i="71" s="1"/>
  <c r="AM706" i="71" s="1"/>
  <c r="AI705" i="71"/>
  <c r="AK705" i="71" s="1"/>
  <c r="AM705" i="71" s="1"/>
  <c r="AI704" i="71"/>
  <c r="AK704" i="71" s="1"/>
  <c r="AM704" i="71" s="1"/>
  <c r="AI703" i="71"/>
  <c r="AK703" i="71" s="1"/>
  <c r="AM703" i="71" s="1"/>
  <c r="AI702" i="71"/>
  <c r="AK702" i="71" s="1"/>
  <c r="AM702" i="71" s="1"/>
  <c r="AI701" i="71"/>
  <c r="AK701" i="71" s="1"/>
  <c r="AM701" i="71" s="1"/>
  <c r="AI700" i="71"/>
  <c r="AK700" i="71" s="1"/>
  <c r="AM700" i="71" s="1"/>
  <c r="AI699" i="71"/>
  <c r="AK699" i="71" s="1"/>
  <c r="AM699" i="71" s="1"/>
  <c r="AI698" i="71"/>
  <c r="AK698" i="71" s="1"/>
  <c r="AM698" i="71" s="1"/>
  <c r="AI697" i="71"/>
  <c r="AK697" i="71" s="1"/>
  <c r="AM697" i="71" s="1"/>
  <c r="AO696" i="71"/>
  <c r="AP697" i="71" s="1"/>
  <c r="AI696" i="71"/>
  <c r="AK696" i="71" s="1"/>
  <c r="AO697" i="71" s="1"/>
  <c r="M695" i="71"/>
  <c r="K695" i="71"/>
  <c r="L695" i="71" s="1"/>
  <c r="J695" i="71"/>
  <c r="H695" i="71"/>
  <c r="F695" i="71"/>
  <c r="P695" i="71" s="1"/>
  <c r="AI694" i="71"/>
  <c r="AK694" i="71" s="1"/>
  <c r="AM694" i="71" s="1"/>
  <c r="AI693" i="71"/>
  <c r="AK693" i="71" s="1"/>
  <c r="AM693" i="71" s="1"/>
  <c r="AI692" i="71"/>
  <c r="AK692" i="71" s="1"/>
  <c r="AM692" i="71" s="1"/>
  <c r="AI691" i="71"/>
  <c r="AK691" i="71" s="1"/>
  <c r="AM691" i="71" s="1"/>
  <c r="AI690" i="71"/>
  <c r="AK690" i="71" s="1"/>
  <c r="AM690" i="71" s="1"/>
  <c r="AI689" i="71"/>
  <c r="AI688" i="71"/>
  <c r="L686" i="71"/>
  <c r="AI686" i="71" s="1"/>
  <c r="AJ686" i="71" s="1"/>
  <c r="AL680" i="71"/>
  <c r="AM680" i="71" s="1"/>
  <c r="AI680" i="71"/>
  <c r="AI679" i="71"/>
  <c r="AK679" i="71" s="1"/>
  <c r="AM679" i="71" s="1"/>
  <c r="AI678" i="71"/>
  <c r="AK678" i="71" s="1"/>
  <c r="AM678" i="71" s="1"/>
  <c r="AI677" i="71"/>
  <c r="AK677" i="71" s="1"/>
  <c r="AM677" i="71" s="1"/>
  <c r="AI676" i="71"/>
  <c r="AK676" i="71" s="1"/>
  <c r="AM676" i="71" s="1"/>
  <c r="AI675" i="71"/>
  <c r="AK675" i="71" s="1"/>
  <c r="AM675" i="71" s="1"/>
  <c r="AI674" i="71"/>
  <c r="AK674" i="71" s="1"/>
  <c r="AM674" i="71" s="1"/>
  <c r="AI673" i="71"/>
  <c r="AK673" i="71" s="1"/>
  <c r="AM673" i="71" s="1"/>
  <c r="AI672" i="71"/>
  <c r="AK672" i="71" s="1"/>
  <c r="AM672" i="71" s="1"/>
  <c r="AI671" i="71"/>
  <c r="AK671" i="71" s="1"/>
  <c r="AM671" i="71" s="1"/>
  <c r="AI670" i="71"/>
  <c r="AK670" i="71" s="1"/>
  <c r="AM670" i="71" s="1"/>
  <c r="AI669" i="71"/>
  <c r="AK669" i="71" s="1"/>
  <c r="AM669" i="71" s="1"/>
  <c r="AI668" i="71"/>
  <c r="AK668" i="71" s="1"/>
  <c r="AM668" i="71" s="1"/>
  <c r="AI667" i="71"/>
  <c r="AK667" i="71" s="1"/>
  <c r="AM667" i="71" s="1"/>
  <c r="AI666" i="71"/>
  <c r="AK666" i="71" s="1"/>
  <c r="AM666" i="71" s="1"/>
  <c r="AI665" i="71"/>
  <c r="AK665" i="71" s="1"/>
  <c r="AM665" i="71" s="1"/>
  <c r="AI664" i="71"/>
  <c r="AK664" i="71" s="1"/>
  <c r="AM664" i="71" s="1"/>
  <c r="AI663" i="71"/>
  <c r="AK663" i="71" s="1"/>
  <c r="AM663" i="71" s="1"/>
  <c r="AI662" i="71"/>
  <c r="AK662" i="71" s="1"/>
  <c r="AM662" i="71" s="1"/>
  <c r="AI661" i="71"/>
  <c r="AK661" i="71" s="1"/>
  <c r="AM661" i="71" s="1"/>
  <c r="AI660" i="71"/>
  <c r="AK660" i="71" s="1"/>
  <c r="AM660" i="71" s="1"/>
  <c r="AI659" i="71"/>
  <c r="AK659" i="71" s="1"/>
  <c r="AM659" i="71" s="1"/>
  <c r="AI658" i="71"/>
  <c r="AK658" i="71" s="1"/>
  <c r="AM658" i="71" s="1"/>
  <c r="AI657" i="71"/>
  <c r="AK657" i="71" s="1"/>
  <c r="AM657" i="71" s="1"/>
  <c r="AI656" i="71"/>
  <c r="AK656" i="71" s="1"/>
  <c r="AM656" i="71" s="1"/>
  <c r="AI655" i="71"/>
  <c r="AK655" i="71" s="1"/>
  <c r="AM655" i="71" s="1"/>
  <c r="AI654" i="71"/>
  <c r="AK654" i="71" s="1"/>
  <c r="AM654" i="71" s="1"/>
  <c r="AI653" i="71"/>
  <c r="AK653" i="71" s="1"/>
  <c r="AM653" i="71" s="1"/>
  <c r="AI652" i="71"/>
  <c r="AK652" i="71" s="1"/>
  <c r="AM652" i="71" s="1"/>
  <c r="AI651" i="71"/>
  <c r="AK651" i="71" s="1"/>
  <c r="AM651" i="71" s="1"/>
  <c r="AI650" i="71"/>
  <c r="AK650" i="71" s="1"/>
  <c r="AM650" i="71" s="1"/>
  <c r="AI649" i="71"/>
  <c r="AK649" i="71" s="1"/>
  <c r="AM649" i="71" s="1"/>
  <c r="AI648" i="71"/>
  <c r="AK648" i="71" s="1"/>
  <c r="AM648" i="71" s="1"/>
  <c r="AI647" i="71"/>
  <c r="AK647" i="71" s="1"/>
  <c r="AM647" i="71" s="1"/>
  <c r="AI646" i="71"/>
  <c r="AK646" i="71" s="1"/>
  <c r="AM646" i="71" s="1"/>
  <c r="AI645" i="71"/>
  <c r="AK645" i="71" s="1"/>
  <c r="AM645" i="71" s="1"/>
  <c r="AI644" i="71"/>
  <c r="AK644" i="71" s="1"/>
  <c r="AM644" i="71" s="1"/>
  <c r="AI643" i="71"/>
  <c r="AK643" i="71" s="1"/>
  <c r="AM643" i="71" s="1"/>
  <c r="AI642" i="71"/>
  <c r="AK642" i="71" s="1"/>
  <c r="AM642" i="71" s="1"/>
  <c r="AI641" i="71"/>
  <c r="AK641" i="71" s="1"/>
  <c r="AM641" i="71" s="1"/>
  <c r="AI640" i="71"/>
  <c r="AK640" i="71" s="1"/>
  <c r="AM640" i="71" s="1"/>
  <c r="AI639" i="71"/>
  <c r="AK639" i="71" s="1"/>
  <c r="AM639" i="71" s="1"/>
  <c r="AI638" i="71"/>
  <c r="AK638" i="71" s="1"/>
  <c r="AM638" i="71" s="1"/>
  <c r="AI637" i="71"/>
  <c r="AK637" i="71" s="1"/>
  <c r="AM637" i="71" s="1"/>
  <c r="AI636" i="71"/>
  <c r="AK636" i="71" s="1"/>
  <c r="AM636" i="71" s="1"/>
  <c r="AI635" i="71"/>
  <c r="AK635" i="71" s="1"/>
  <c r="AM635" i="71" s="1"/>
  <c r="AI634" i="71"/>
  <c r="AK634" i="71" s="1"/>
  <c r="AM634" i="71" s="1"/>
  <c r="AI633" i="71"/>
  <c r="AK633" i="71" s="1"/>
  <c r="AM633" i="71" s="1"/>
  <c r="AI632" i="71"/>
  <c r="AK632" i="71" s="1"/>
  <c r="AM632" i="71" s="1"/>
  <c r="AI631" i="71"/>
  <c r="AK631" i="71" s="1"/>
  <c r="AM631" i="71" s="1"/>
  <c r="AI630" i="71"/>
  <c r="AK630" i="71" s="1"/>
  <c r="AM630" i="71" s="1"/>
  <c r="AI629" i="71"/>
  <c r="AK629" i="71" s="1"/>
  <c r="AM629" i="71" s="1"/>
  <c r="AI628" i="71"/>
  <c r="AK628" i="71" s="1"/>
  <c r="AM628" i="71" s="1"/>
  <c r="AI627" i="71"/>
  <c r="AK627" i="71" s="1"/>
  <c r="AM627" i="71" s="1"/>
  <c r="AI626" i="71"/>
  <c r="AK626" i="71" s="1"/>
  <c r="AM626" i="71" s="1"/>
  <c r="AI625" i="71"/>
  <c r="AK625" i="71" s="1"/>
  <c r="AM625" i="71" s="1"/>
  <c r="AI624" i="71"/>
  <c r="AK624" i="71" s="1"/>
  <c r="AM624" i="71" s="1"/>
  <c r="AI623" i="71"/>
  <c r="AK623" i="71" s="1"/>
  <c r="AM623" i="71" s="1"/>
  <c r="AI622" i="71"/>
  <c r="AK622" i="71" s="1"/>
  <c r="AM622" i="71" s="1"/>
  <c r="AI621" i="71"/>
  <c r="AK621" i="71" s="1"/>
  <c r="AM621" i="71" s="1"/>
  <c r="AI620" i="71"/>
  <c r="AK620" i="71" s="1"/>
  <c r="AM620" i="71" s="1"/>
  <c r="AI619" i="71"/>
  <c r="AK619" i="71" s="1"/>
  <c r="AM619" i="71" s="1"/>
  <c r="AI618" i="71"/>
  <c r="AK618" i="71" s="1"/>
  <c r="AM618" i="71" s="1"/>
  <c r="AI617" i="71"/>
  <c r="AK617" i="71" s="1"/>
  <c r="AM617" i="71" s="1"/>
  <c r="AI616" i="71"/>
  <c r="AK616" i="71" s="1"/>
  <c r="AM616" i="71" s="1"/>
  <c r="AI615" i="71"/>
  <c r="AK615" i="71" s="1"/>
  <c r="AM615" i="71" s="1"/>
  <c r="AI614" i="71"/>
  <c r="AK614" i="71" s="1"/>
  <c r="AM614" i="71" s="1"/>
  <c r="AI613" i="71"/>
  <c r="AK613" i="71" s="1"/>
  <c r="AM613" i="71" s="1"/>
  <c r="AI612" i="71"/>
  <c r="AK612" i="71" s="1"/>
  <c r="AM612" i="71" s="1"/>
  <c r="AI611" i="71"/>
  <c r="AK611" i="71" s="1"/>
  <c r="AM611" i="71" s="1"/>
  <c r="AI610" i="71"/>
  <c r="AK610" i="71" s="1"/>
  <c r="AM610" i="71" s="1"/>
  <c r="AI609" i="71"/>
  <c r="AK609" i="71" s="1"/>
  <c r="AM609" i="71" s="1"/>
  <c r="AI608" i="71"/>
  <c r="AK608" i="71" s="1"/>
  <c r="AM608" i="71" s="1"/>
  <c r="AI607" i="71"/>
  <c r="AK607" i="71" s="1"/>
  <c r="AM607" i="71" s="1"/>
  <c r="AI606" i="71"/>
  <c r="AK606" i="71" s="1"/>
  <c r="AM606" i="71" s="1"/>
  <c r="AI605" i="71"/>
  <c r="AK605" i="71" s="1"/>
  <c r="AM605" i="71" s="1"/>
  <c r="AI604" i="71"/>
  <c r="AK604" i="71" s="1"/>
  <c r="AM604" i="71" s="1"/>
  <c r="AI603" i="71"/>
  <c r="AK603" i="71" s="1"/>
  <c r="AM603" i="71" s="1"/>
  <c r="AI602" i="71"/>
  <c r="AK602" i="71" s="1"/>
  <c r="AM602" i="71" s="1"/>
  <c r="AI601" i="71"/>
  <c r="AK601" i="71" s="1"/>
  <c r="AM601" i="71" s="1"/>
  <c r="AI600" i="71"/>
  <c r="AK600" i="71" s="1"/>
  <c r="AM600" i="71" s="1"/>
  <c r="AI599" i="71"/>
  <c r="AK599" i="71" s="1"/>
  <c r="AM599" i="71" s="1"/>
  <c r="AI598" i="71"/>
  <c r="AK598" i="71" s="1"/>
  <c r="AM598" i="71" s="1"/>
  <c r="AI597" i="71"/>
  <c r="AK597" i="71" s="1"/>
  <c r="AM597" i="71" s="1"/>
  <c r="AI596" i="71"/>
  <c r="AK596" i="71" s="1"/>
  <c r="AM596" i="71" s="1"/>
  <c r="AI595" i="71"/>
  <c r="AK595" i="71" s="1"/>
  <c r="AM595" i="71" s="1"/>
  <c r="AI594" i="71"/>
  <c r="AK594" i="71" s="1"/>
  <c r="AM594" i="71" s="1"/>
  <c r="AI593" i="71"/>
  <c r="AK593" i="71" s="1"/>
  <c r="AM593" i="71" s="1"/>
  <c r="AI592" i="71"/>
  <c r="AK592" i="71" s="1"/>
  <c r="AM592" i="71" s="1"/>
  <c r="AI591" i="71"/>
  <c r="AK591" i="71" s="1"/>
  <c r="AM591" i="71" s="1"/>
  <c r="AI590" i="71"/>
  <c r="AK590" i="71" s="1"/>
  <c r="AM590" i="71" s="1"/>
  <c r="AI589" i="71"/>
  <c r="AK589" i="71" s="1"/>
  <c r="AM589" i="71" s="1"/>
  <c r="AI588" i="71"/>
  <c r="AK588" i="71" s="1"/>
  <c r="AM588" i="71" s="1"/>
  <c r="AI587" i="71"/>
  <c r="AK587" i="71" s="1"/>
  <c r="AM587" i="71" s="1"/>
  <c r="AI586" i="71"/>
  <c r="AK586" i="71" s="1"/>
  <c r="AM586" i="71" s="1"/>
  <c r="AI585" i="71"/>
  <c r="AK585" i="71" s="1"/>
  <c r="AM585" i="71" s="1"/>
  <c r="AI584" i="71"/>
  <c r="AK584" i="71" s="1"/>
  <c r="AM584" i="71" s="1"/>
  <c r="AI583" i="71"/>
  <c r="AK583" i="71" s="1"/>
  <c r="AM583" i="71" s="1"/>
  <c r="AI582" i="71"/>
  <c r="AK582" i="71" s="1"/>
  <c r="AM582" i="71" s="1"/>
  <c r="AI581" i="71"/>
  <c r="AK581" i="71" s="1"/>
  <c r="AM581" i="71" s="1"/>
  <c r="AI580" i="71"/>
  <c r="AK580" i="71" s="1"/>
  <c r="AM580" i="71" s="1"/>
  <c r="AI579" i="71"/>
  <c r="AK579" i="71" s="1"/>
  <c r="AM579" i="71" s="1"/>
  <c r="AI578" i="71"/>
  <c r="AK578" i="71" s="1"/>
  <c r="AM578" i="71" s="1"/>
  <c r="AI577" i="71"/>
  <c r="AK577" i="71" s="1"/>
  <c r="AM577" i="71" s="1"/>
  <c r="AI576" i="71"/>
  <c r="AK576" i="71" s="1"/>
  <c r="AM576" i="71" s="1"/>
  <c r="AI575" i="71"/>
  <c r="AK575" i="71" s="1"/>
  <c r="AM575" i="71" s="1"/>
  <c r="AI574" i="71"/>
  <c r="AK574" i="71" s="1"/>
  <c r="AM574" i="71" s="1"/>
  <c r="AI573" i="71"/>
  <c r="AK573" i="71" s="1"/>
  <c r="AM573" i="71" s="1"/>
  <c r="AI572" i="71"/>
  <c r="AK572" i="71" s="1"/>
  <c r="AM572" i="71" s="1"/>
  <c r="AI571" i="71"/>
  <c r="AK571" i="71" s="1"/>
  <c r="AM571" i="71" s="1"/>
  <c r="AI570" i="71"/>
  <c r="AK570" i="71" s="1"/>
  <c r="AM570" i="71" s="1"/>
  <c r="AI569" i="71"/>
  <c r="AK569" i="71" s="1"/>
  <c r="AM569" i="71" s="1"/>
  <c r="AI568" i="71"/>
  <c r="AK568" i="71" s="1"/>
  <c r="AM568" i="71" s="1"/>
  <c r="AI567" i="71"/>
  <c r="AK567" i="71" s="1"/>
  <c r="AM567" i="71" s="1"/>
  <c r="AI566" i="71"/>
  <c r="AK566" i="71" s="1"/>
  <c r="AM566" i="71" s="1"/>
  <c r="AI565" i="71"/>
  <c r="AK565" i="71" s="1"/>
  <c r="AM565" i="71" s="1"/>
  <c r="AI564" i="71"/>
  <c r="AK564" i="71" s="1"/>
  <c r="AM564" i="71" s="1"/>
  <c r="AI563" i="71"/>
  <c r="AK563" i="71" s="1"/>
  <c r="AM563" i="71" s="1"/>
  <c r="AI562" i="71"/>
  <c r="AK562" i="71" s="1"/>
  <c r="AM562" i="71" s="1"/>
  <c r="AI561" i="71"/>
  <c r="AK561" i="71" s="1"/>
  <c r="AM561" i="71" s="1"/>
  <c r="AI560" i="71"/>
  <c r="AK560" i="71" s="1"/>
  <c r="AM560" i="71" s="1"/>
  <c r="AI559" i="71"/>
  <c r="AK559" i="71" s="1"/>
  <c r="AM559" i="71" s="1"/>
  <c r="AI558" i="71"/>
  <c r="AK558" i="71" s="1"/>
  <c r="AM558" i="71" s="1"/>
  <c r="AI557" i="71"/>
  <c r="AK557" i="71" s="1"/>
  <c r="AM557" i="71" s="1"/>
  <c r="AI556" i="71"/>
  <c r="AK556" i="71" s="1"/>
  <c r="AM556" i="71" s="1"/>
  <c r="AI555" i="71"/>
  <c r="AK555" i="71" s="1"/>
  <c r="AM555" i="71" s="1"/>
  <c r="AI554" i="71"/>
  <c r="AK554" i="71" s="1"/>
  <c r="AM554" i="71" s="1"/>
  <c r="AI553" i="71"/>
  <c r="AK553" i="71" s="1"/>
  <c r="AM553" i="71" s="1"/>
  <c r="AI552" i="71"/>
  <c r="AK552" i="71" s="1"/>
  <c r="AM552" i="71" s="1"/>
  <c r="AI551" i="71"/>
  <c r="AK551" i="71" s="1"/>
  <c r="AM551" i="71" s="1"/>
  <c r="AI550" i="71"/>
  <c r="AK550" i="71" s="1"/>
  <c r="AM550" i="71" s="1"/>
  <c r="AI549" i="71"/>
  <c r="AK549" i="71" s="1"/>
  <c r="AM549" i="71" s="1"/>
  <c r="AI548" i="71"/>
  <c r="AK548" i="71" s="1"/>
  <c r="AM548" i="71" s="1"/>
  <c r="AI547" i="71"/>
  <c r="AK547" i="71" s="1"/>
  <c r="AM547" i="71" s="1"/>
  <c r="AI546" i="71"/>
  <c r="AK546" i="71" s="1"/>
  <c r="AM546" i="71" s="1"/>
  <c r="AI545" i="71"/>
  <c r="AK545" i="71" s="1"/>
  <c r="AM545" i="71" s="1"/>
  <c r="AI544" i="71"/>
  <c r="AK544" i="71" s="1"/>
  <c r="AM544" i="71" s="1"/>
  <c r="AI543" i="71"/>
  <c r="AK543" i="71" s="1"/>
  <c r="AM543" i="71" s="1"/>
  <c r="AI542" i="71"/>
  <c r="AK542" i="71" s="1"/>
  <c r="AM542" i="71" s="1"/>
  <c r="AI541" i="71"/>
  <c r="AK541" i="71" s="1"/>
  <c r="AM541" i="71" s="1"/>
  <c r="AI540" i="71"/>
  <c r="AK540" i="71" s="1"/>
  <c r="AM540" i="71" s="1"/>
  <c r="AI539" i="71"/>
  <c r="AK539" i="71" s="1"/>
  <c r="AM539" i="71" s="1"/>
  <c r="AI538" i="71"/>
  <c r="AK538" i="71" s="1"/>
  <c r="AM538" i="71" s="1"/>
  <c r="AI537" i="71"/>
  <c r="AK537" i="71" s="1"/>
  <c r="AM537" i="71" s="1"/>
  <c r="AI536" i="71"/>
  <c r="AK536" i="71" s="1"/>
  <c r="AM536" i="71" s="1"/>
  <c r="AI535" i="71"/>
  <c r="AK535" i="71" s="1"/>
  <c r="AM535" i="71" s="1"/>
  <c r="AI534" i="71"/>
  <c r="AK534" i="71" s="1"/>
  <c r="AM534" i="71" s="1"/>
  <c r="AI533" i="71"/>
  <c r="AK533" i="71" s="1"/>
  <c r="AM533" i="71" s="1"/>
  <c r="AI532" i="71"/>
  <c r="AK532" i="71" s="1"/>
  <c r="AM532" i="71" s="1"/>
  <c r="AI531" i="71"/>
  <c r="AK531" i="71" s="1"/>
  <c r="AM531" i="71" s="1"/>
  <c r="AI530" i="71"/>
  <c r="AK530" i="71" s="1"/>
  <c r="AM530" i="71" s="1"/>
  <c r="AI529" i="71"/>
  <c r="AK529" i="71" s="1"/>
  <c r="AM529" i="71" s="1"/>
  <c r="AI528" i="71"/>
  <c r="AK528" i="71" s="1"/>
  <c r="AM528" i="71" s="1"/>
  <c r="AI527" i="71"/>
  <c r="AK527" i="71" s="1"/>
  <c r="AM527" i="71" s="1"/>
  <c r="AI526" i="71"/>
  <c r="AK526" i="71" s="1"/>
  <c r="AM526" i="71" s="1"/>
  <c r="AI525" i="71"/>
  <c r="AK525" i="71" s="1"/>
  <c r="AM525" i="71" s="1"/>
  <c r="AI524" i="71"/>
  <c r="AK524" i="71" s="1"/>
  <c r="AM524" i="71" s="1"/>
  <c r="AI523" i="71"/>
  <c r="AK523" i="71" s="1"/>
  <c r="AM523" i="71" s="1"/>
  <c r="AI522" i="71"/>
  <c r="AK522" i="71" s="1"/>
  <c r="AM522" i="71" s="1"/>
  <c r="AI521" i="71"/>
  <c r="AK521" i="71" s="1"/>
  <c r="AM521" i="71" s="1"/>
  <c r="AI520" i="71"/>
  <c r="AK520" i="71" s="1"/>
  <c r="AM520" i="71" s="1"/>
  <c r="AI519" i="71"/>
  <c r="AK519" i="71" s="1"/>
  <c r="AM519" i="71" s="1"/>
  <c r="AI518" i="71"/>
  <c r="AK518" i="71" s="1"/>
  <c r="AM518" i="71" s="1"/>
  <c r="AI517" i="71"/>
  <c r="AK517" i="71" s="1"/>
  <c r="AM517" i="71" s="1"/>
  <c r="AI516" i="71"/>
  <c r="AK516" i="71" s="1"/>
  <c r="AM516" i="71" s="1"/>
  <c r="AI515" i="71"/>
  <c r="AK515" i="71" s="1"/>
  <c r="AM515" i="71" s="1"/>
  <c r="AI514" i="71"/>
  <c r="AK514" i="71" s="1"/>
  <c r="AM514" i="71" s="1"/>
  <c r="AI513" i="71"/>
  <c r="AK513" i="71" s="1"/>
  <c r="AM513" i="71" s="1"/>
  <c r="AI512" i="71"/>
  <c r="AK512" i="71" s="1"/>
  <c r="AM512" i="71" s="1"/>
  <c r="AI511" i="71"/>
  <c r="AK511" i="71" s="1"/>
  <c r="AM511" i="71" s="1"/>
  <c r="AI510" i="71"/>
  <c r="AK510" i="71" s="1"/>
  <c r="AM510" i="71" s="1"/>
  <c r="AI509" i="71"/>
  <c r="AK509" i="71" s="1"/>
  <c r="AM509" i="71" s="1"/>
  <c r="AI508" i="71"/>
  <c r="AK508" i="71" s="1"/>
  <c r="AM508" i="71" s="1"/>
  <c r="AI507" i="71"/>
  <c r="AK507" i="71" s="1"/>
  <c r="AM507" i="71" s="1"/>
  <c r="AI506" i="71"/>
  <c r="AK506" i="71" s="1"/>
  <c r="AM506" i="71" s="1"/>
  <c r="AI505" i="71"/>
  <c r="AK505" i="71" s="1"/>
  <c r="AM505" i="71" s="1"/>
  <c r="AI504" i="71"/>
  <c r="AK504" i="71" s="1"/>
  <c r="AM504" i="71" s="1"/>
  <c r="AI503" i="71"/>
  <c r="AK503" i="71" s="1"/>
  <c r="AM503" i="71" s="1"/>
  <c r="AI502" i="71"/>
  <c r="AK502" i="71" s="1"/>
  <c r="AM502" i="71" s="1"/>
  <c r="AI501" i="71"/>
  <c r="AK501" i="71" s="1"/>
  <c r="AM501" i="71" s="1"/>
  <c r="AI500" i="71"/>
  <c r="AK500" i="71" s="1"/>
  <c r="AM500" i="71" s="1"/>
  <c r="AI499" i="71"/>
  <c r="AK499" i="71" s="1"/>
  <c r="AM499" i="71" s="1"/>
  <c r="AI498" i="71"/>
  <c r="AK498" i="71" s="1"/>
  <c r="AM498" i="71" s="1"/>
  <c r="AI497" i="71"/>
  <c r="AK497" i="71" s="1"/>
  <c r="AM497" i="71" s="1"/>
  <c r="AI496" i="71"/>
  <c r="AK496" i="71" s="1"/>
  <c r="AM496" i="71" s="1"/>
  <c r="AI495" i="71"/>
  <c r="AK495" i="71" s="1"/>
  <c r="AM495" i="71" s="1"/>
  <c r="AI494" i="71"/>
  <c r="AK494" i="71" s="1"/>
  <c r="AM494" i="71" s="1"/>
  <c r="AI493" i="71"/>
  <c r="AK493" i="71" s="1"/>
  <c r="AM493" i="71" s="1"/>
  <c r="AI492" i="71"/>
  <c r="AK492" i="71" s="1"/>
  <c r="AM492" i="71" s="1"/>
  <c r="AI491" i="71"/>
  <c r="AK491" i="71" s="1"/>
  <c r="AM491" i="71" s="1"/>
  <c r="AI490" i="71"/>
  <c r="AK490" i="71" s="1"/>
  <c r="AM490" i="71" s="1"/>
  <c r="AI489" i="71"/>
  <c r="AK489" i="71" s="1"/>
  <c r="AM489" i="71" s="1"/>
  <c r="AI488" i="71"/>
  <c r="AK488" i="71" s="1"/>
  <c r="AM488" i="71" s="1"/>
  <c r="AI487" i="71"/>
  <c r="AK487" i="71" s="1"/>
  <c r="AM487" i="71" s="1"/>
  <c r="AI486" i="71"/>
  <c r="AK486" i="71" s="1"/>
  <c r="AM486" i="71" s="1"/>
  <c r="AI485" i="71"/>
  <c r="AK485" i="71" s="1"/>
  <c r="AM485" i="71" s="1"/>
  <c r="AI484" i="71"/>
  <c r="AK484" i="71" s="1"/>
  <c r="AM484" i="71" s="1"/>
  <c r="AI483" i="71"/>
  <c r="AK483" i="71" s="1"/>
  <c r="AM483" i="71" s="1"/>
  <c r="AI482" i="71"/>
  <c r="AK482" i="71" s="1"/>
  <c r="AM482" i="71" s="1"/>
  <c r="AI481" i="71"/>
  <c r="AK481" i="71" s="1"/>
  <c r="AM481" i="71" s="1"/>
  <c r="AI480" i="71"/>
  <c r="AK480" i="71" s="1"/>
  <c r="AM480" i="71" s="1"/>
  <c r="AI479" i="71"/>
  <c r="AK479" i="71" s="1"/>
  <c r="AM479" i="71" s="1"/>
  <c r="AI478" i="71"/>
  <c r="AK478" i="71" s="1"/>
  <c r="AM478" i="71" s="1"/>
  <c r="AI477" i="71"/>
  <c r="AK477" i="71" s="1"/>
  <c r="AM477" i="71" s="1"/>
  <c r="AI476" i="71"/>
  <c r="AK476" i="71" s="1"/>
  <c r="AM476" i="71" s="1"/>
  <c r="AI475" i="71"/>
  <c r="AK475" i="71" s="1"/>
  <c r="AM475" i="71" s="1"/>
  <c r="AI474" i="71"/>
  <c r="AK474" i="71" s="1"/>
  <c r="AM474" i="71" s="1"/>
  <c r="AI473" i="71"/>
  <c r="AK473" i="71" s="1"/>
  <c r="AM473" i="71" s="1"/>
  <c r="AI472" i="71"/>
  <c r="AK472" i="71" s="1"/>
  <c r="AM472" i="71" s="1"/>
  <c r="AI471" i="71"/>
  <c r="AK471" i="71" s="1"/>
  <c r="AM471" i="71" s="1"/>
  <c r="AI470" i="71"/>
  <c r="AK470" i="71" s="1"/>
  <c r="AM470" i="71" s="1"/>
  <c r="AI469" i="71"/>
  <c r="AK469" i="71" s="1"/>
  <c r="AM469" i="71" s="1"/>
  <c r="AI468" i="71"/>
  <c r="AK468" i="71" s="1"/>
  <c r="AM468" i="71" s="1"/>
  <c r="AI467" i="71"/>
  <c r="AK467" i="71" s="1"/>
  <c r="AM467" i="71" s="1"/>
  <c r="AI466" i="71"/>
  <c r="AK466" i="71" s="1"/>
  <c r="AM466" i="71" s="1"/>
  <c r="AI465" i="71"/>
  <c r="AK465" i="71" s="1"/>
  <c r="AM465" i="71" s="1"/>
  <c r="AI464" i="71"/>
  <c r="AK464" i="71" s="1"/>
  <c r="AM464" i="71" s="1"/>
  <c r="AI463" i="71"/>
  <c r="AK463" i="71" s="1"/>
  <c r="AM463" i="71" s="1"/>
  <c r="AI462" i="71"/>
  <c r="AK462" i="71" s="1"/>
  <c r="AM462" i="71" s="1"/>
  <c r="AI461" i="71"/>
  <c r="AK461" i="71" s="1"/>
  <c r="AM461" i="71" s="1"/>
  <c r="AI460" i="71"/>
  <c r="AK460" i="71" s="1"/>
  <c r="AM460" i="71" s="1"/>
  <c r="AI459" i="71"/>
  <c r="AK459" i="71" s="1"/>
  <c r="AM459" i="71" s="1"/>
  <c r="AI458" i="71"/>
  <c r="AK458" i="71" s="1"/>
  <c r="AM458" i="71" s="1"/>
  <c r="AI457" i="71"/>
  <c r="AK457" i="71" s="1"/>
  <c r="AM457" i="71" s="1"/>
  <c r="AI456" i="71"/>
  <c r="AK456" i="71" s="1"/>
  <c r="AM456" i="71" s="1"/>
  <c r="AI455" i="71"/>
  <c r="AK455" i="71" s="1"/>
  <c r="AM455" i="71" s="1"/>
  <c r="AI454" i="71"/>
  <c r="AK454" i="71" s="1"/>
  <c r="AM454" i="71" s="1"/>
  <c r="AI453" i="71"/>
  <c r="AK453" i="71" s="1"/>
  <c r="AM453" i="71" s="1"/>
  <c r="AI452" i="71"/>
  <c r="AK452" i="71" s="1"/>
  <c r="AM452" i="71" s="1"/>
  <c r="AI451" i="71"/>
  <c r="AK451" i="71" s="1"/>
  <c r="AM451" i="71" s="1"/>
  <c r="AI450" i="71"/>
  <c r="AK450" i="71" s="1"/>
  <c r="AM450" i="71" s="1"/>
  <c r="AI449" i="71"/>
  <c r="AK449" i="71" s="1"/>
  <c r="AM449" i="71" s="1"/>
  <c r="AI448" i="71"/>
  <c r="AK448" i="71" s="1"/>
  <c r="AM448" i="71" s="1"/>
  <c r="AI447" i="71"/>
  <c r="AK447" i="71" s="1"/>
  <c r="AM447" i="71" s="1"/>
  <c r="AI446" i="71"/>
  <c r="AK446" i="71" s="1"/>
  <c r="AM446" i="71" s="1"/>
  <c r="AI445" i="71"/>
  <c r="AK445" i="71" s="1"/>
  <c r="AM445" i="71" s="1"/>
  <c r="AI444" i="71"/>
  <c r="AK444" i="71" s="1"/>
  <c r="AM444" i="71" s="1"/>
  <c r="AI443" i="71"/>
  <c r="AK443" i="71" s="1"/>
  <c r="AM443" i="71" s="1"/>
  <c r="AI442" i="71"/>
  <c r="AK442" i="71" s="1"/>
  <c r="AM442" i="71" s="1"/>
  <c r="AI441" i="71"/>
  <c r="AK441" i="71" s="1"/>
  <c r="AM441" i="71" s="1"/>
  <c r="AI440" i="71"/>
  <c r="AK440" i="71" s="1"/>
  <c r="AM440" i="71" s="1"/>
  <c r="AI439" i="71"/>
  <c r="AK439" i="71" s="1"/>
  <c r="AM439" i="71" s="1"/>
  <c r="AI438" i="71"/>
  <c r="AK438" i="71" s="1"/>
  <c r="AM438" i="71" s="1"/>
  <c r="AI437" i="71"/>
  <c r="AK437" i="71" s="1"/>
  <c r="AM437" i="71" s="1"/>
  <c r="AI436" i="71"/>
  <c r="AK436" i="71" s="1"/>
  <c r="AM436" i="71" s="1"/>
  <c r="AI435" i="71"/>
  <c r="AK435" i="71" s="1"/>
  <c r="AM435" i="71" s="1"/>
  <c r="AI434" i="71"/>
  <c r="AK434" i="71" s="1"/>
  <c r="AM434" i="71" s="1"/>
  <c r="AI433" i="71"/>
  <c r="AK433" i="71" s="1"/>
  <c r="AM433" i="71" s="1"/>
  <c r="AI432" i="71"/>
  <c r="AK432" i="71" s="1"/>
  <c r="AM432" i="71" s="1"/>
  <c r="AI431" i="71"/>
  <c r="AK431" i="71" s="1"/>
  <c r="AM431" i="71" s="1"/>
  <c r="AI430" i="71"/>
  <c r="AK430" i="71" s="1"/>
  <c r="AM430" i="71" s="1"/>
  <c r="AI429" i="71"/>
  <c r="AK429" i="71" s="1"/>
  <c r="AM429" i="71" s="1"/>
  <c r="AI428" i="71"/>
  <c r="AK428" i="71" s="1"/>
  <c r="AM428" i="71" s="1"/>
  <c r="AI427" i="71"/>
  <c r="AK427" i="71" s="1"/>
  <c r="AM427" i="71" s="1"/>
  <c r="AI426" i="71"/>
  <c r="AK426" i="71" s="1"/>
  <c r="AM426" i="71" s="1"/>
  <c r="AI425" i="71"/>
  <c r="AK425" i="71" s="1"/>
  <c r="AM425" i="71" s="1"/>
  <c r="AI424" i="71"/>
  <c r="AK424" i="71" s="1"/>
  <c r="AM424" i="71" s="1"/>
  <c r="AI423" i="71"/>
  <c r="AK423" i="71" s="1"/>
  <c r="AM423" i="71" s="1"/>
  <c r="AI422" i="71"/>
  <c r="AK422" i="71" s="1"/>
  <c r="AM422" i="71" s="1"/>
  <c r="AI421" i="71"/>
  <c r="AK421" i="71" s="1"/>
  <c r="AM421" i="71" s="1"/>
  <c r="AI420" i="71"/>
  <c r="AK420" i="71" s="1"/>
  <c r="AM420" i="71" s="1"/>
  <c r="AI419" i="71"/>
  <c r="AK419" i="71" s="1"/>
  <c r="AM419" i="71" s="1"/>
  <c r="AI418" i="71"/>
  <c r="AK418" i="71" s="1"/>
  <c r="AM418" i="71" s="1"/>
  <c r="AI417" i="71"/>
  <c r="AK417" i="71" s="1"/>
  <c r="AM417" i="71" s="1"/>
  <c r="AI416" i="71"/>
  <c r="AK416" i="71" s="1"/>
  <c r="AM416" i="71" s="1"/>
  <c r="AI415" i="71"/>
  <c r="AK415" i="71" s="1"/>
  <c r="AM415" i="71" s="1"/>
  <c r="AI414" i="71"/>
  <c r="AK414" i="71" s="1"/>
  <c r="AM414" i="71" s="1"/>
  <c r="AI413" i="71"/>
  <c r="AK413" i="71" s="1"/>
  <c r="AM413" i="71" s="1"/>
  <c r="AI412" i="71"/>
  <c r="AK412" i="71" s="1"/>
  <c r="AM412" i="71" s="1"/>
  <c r="AI411" i="71"/>
  <c r="AK411" i="71" s="1"/>
  <c r="AM411" i="71" s="1"/>
  <c r="AI410" i="71"/>
  <c r="AK410" i="71" s="1"/>
  <c r="AM410" i="71" s="1"/>
  <c r="AI409" i="71"/>
  <c r="AK409" i="71" s="1"/>
  <c r="AM409" i="71" s="1"/>
  <c r="AI408" i="71"/>
  <c r="AK408" i="71" s="1"/>
  <c r="AM408" i="71" s="1"/>
  <c r="AI407" i="71"/>
  <c r="AK407" i="71" s="1"/>
  <c r="AM407" i="71" s="1"/>
  <c r="AI406" i="71"/>
  <c r="AK406" i="71" s="1"/>
  <c r="AM406" i="71" s="1"/>
  <c r="AI405" i="71"/>
  <c r="AK405" i="71" s="1"/>
  <c r="AM405" i="71" s="1"/>
  <c r="AI404" i="71"/>
  <c r="AK404" i="71" s="1"/>
  <c r="AM404" i="71" s="1"/>
  <c r="AI403" i="71"/>
  <c r="AK403" i="71" s="1"/>
  <c r="AM403" i="71" s="1"/>
  <c r="AI402" i="71"/>
  <c r="AK402" i="71" s="1"/>
  <c r="AM402" i="71" s="1"/>
  <c r="AI401" i="71"/>
  <c r="AK401" i="71" s="1"/>
  <c r="AM401" i="71" s="1"/>
  <c r="AI400" i="71"/>
  <c r="AK400" i="71" s="1"/>
  <c r="AM400" i="71" s="1"/>
  <c r="AI399" i="71"/>
  <c r="AK399" i="71" s="1"/>
  <c r="AM399" i="71" s="1"/>
  <c r="AI398" i="71"/>
  <c r="AK398" i="71" s="1"/>
  <c r="AM398" i="71" s="1"/>
  <c r="AI397" i="71"/>
  <c r="AK397" i="71" s="1"/>
  <c r="AM397" i="71" s="1"/>
  <c r="AI396" i="71"/>
  <c r="AK396" i="71" s="1"/>
  <c r="AM396" i="71" s="1"/>
  <c r="AI395" i="71"/>
  <c r="AK395" i="71" s="1"/>
  <c r="AM395" i="71" s="1"/>
  <c r="AI394" i="71"/>
  <c r="AK394" i="71" s="1"/>
  <c r="AM394" i="71" s="1"/>
  <c r="AI393" i="71"/>
  <c r="AK393" i="71" s="1"/>
  <c r="AM393" i="71" s="1"/>
  <c r="AI392" i="71"/>
  <c r="AK392" i="71" s="1"/>
  <c r="AM392" i="71" s="1"/>
  <c r="AI391" i="71"/>
  <c r="AK391" i="71" s="1"/>
  <c r="AM391" i="71" s="1"/>
  <c r="AI390" i="71"/>
  <c r="AK390" i="71" s="1"/>
  <c r="AM390" i="71" s="1"/>
  <c r="AI389" i="71"/>
  <c r="AK389" i="71" s="1"/>
  <c r="AM389" i="71" s="1"/>
  <c r="AI388" i="71"/>
  <c r="AK388" i="71" s="1"/>
  <c r="AM388" i="71" s="1"/>
  <c r="AI387" i="71"/>
  <c r="AK387" i="71" s="1"/>
  <c r="AM387" i="71" s="1"/>
  <c r="AI386" i="71"/>
  <c r="AK386" i="71" s="1"/>
  <c r="AM386" i="71" s="1"/>
  <c r="AI385" i="71"/>
  <c r="AK385" i="71" s="1"/>
  <c r="AM385" i="71" s="1"/>
  <c r="AI384" i="71"/>
  <c r="AK384" i="71" s="1"/>
  <c r="AM384" i="71" s="1"/>
  <c r="AI383" i="71"/>
  <c r="AK383" i="71" s="1"/>
  <c r="AM383" i="71" s="1"/>
  <c r="AI382" i="71"/>
  <c r="AK382" i="71" s="1"/>
  <c r="AM382" i="71" s="1"/>
  <c r="AI381" i="71"/>
  <c r="AK381" i="71" s="1"/>
  <c r="AM381" i="71" s="1"/>
  <c r="AI380" i="71"/>
  <c r="AK380" i="71" s="1"/>
  <c r="AM380" i="71" s="1"/>
  <c r="AI379" i="71"/>
  <c r="AK379" i="71" s="1"/>
  <c r="AM379" i="71" s="1"/>
  <c r="AI378" i="71"/>
  <c r="AK378" i="71" s="1"/>
  <c r="AM378" i="71" s="1"/>
  <c r="AI377" i="71"/>
  <c r="AK377" i="71" s="1"/>
  <c r="AM377" i="71" s="1"/>
  <c r="AI376" i="71"/>
  <c r="AK376" i="71" s="1"/>
  <c r="AM376" i="71" s="1"/>
  <c r="AI375" i="71"/>
  <c r="AK375" i="71" s="1"/>
  <c r="AM375" i="71" s="1"/>
  <c r="AI374" i="71"/>
  <c r="AK374" i="71" s="1"/>
  <c r="AM374" i="71" s="1"/>
  <c r="AI373" i="71"/>
  <c r="AK373" i="71" s="1"/>
  <c r="AM373" i="71" s="1"/>
  <c r="AI372" i="71"/>
  <c r="AK372" i="71" s="1"/>
  <c r="AM372" i="71" s="1"/>
  <c r="AI371" i="71"/>
  <c r="AK371" i="71" s="1"/>
  <c r="AM371" i="71" s="1"/>
  <c r="AI370" i="71"/>
  <c r="AK370" i="71" s="1"/>
  <c r="AM370" i="71" s="1"/>
  <c r="AI369" i="71"/>
  <c r="AK369" i="71" s="1"/>
  <c r="AM369" i="71" s="1"/>
  <c r="AI368" i="71"/>
  <c r="AK368" i="71" s="1"/>
  <c r="AM368" i="71" s="1"/>
  <c r="AI367" i="71"/>
  <c r="AK367" i="71" s="1"/>
  <c r="AM367" i="71" s="1"/>
  <c r="AI366" i="71"/>
  <c r="AK366" i="71" s="1"/>
  <c r="AM366" i="71" s="1"/>
  <c r="AI365" i="71"/>
  <c r="AK365" i="71" s="1"/>
  <c r="AM365" i="71" s="1"/>
  <c r="AI364" i="71"/>
  <c r="AK364" i="71" s="1"/>
  <c r="AM364" i="71" s="1"/>
  <c r="AI363" i="71"/>
  <c r="AK363" i="71" s="1"/>
  <c r="AM363" i="71" s="1"/>
  <c r="AI362" i="71"/>
  <c r="AK362" i="71" s="1"/>
  <c r="AM362" i="71" s="1"/>
  <c r="AI361" i="71"/>
  <c r="AK361" i="71" s="1"/>
  <c r="AM361" i="71" s="1"/>
  <c r="AI360" i="71"/>
  <c r="AK360" i="71" s="1"/>
  <c r="AM360" i="71" s="1"/>
  <c r="AI359" i="71"/>
  <c r="AK359" i="71" s="1"/>
  <c r="AM359" i="71" s="1"/>
  <c r="AI358" i="71"/>
  <c r="AK358" i="71" s="1"/>
  <c r="AM358" i="71" s="1"/>
  <c r="AI357" i="71"/>
  <c r="AK357" i="71" s="1"/>
  <c r="AM357" i="71" s="1"/>
  <c r="AI356" i="71"/>
  <c r="AK356" i="71" s="1"/>
  <c r="AM356" i="71" s="1"/>
  <c r="AI355" i="71"/>
  <c r="AK355" i="71" s="1"/>
  <c r="AM355" i="71" s="1"/>
  <c r="AI354" i="71"/>
  <c r="AK354" i="71" s="1"/>
  <c r="AM354" i="71" s="1"/>
  <c r="AI353" i="71"/>
  <c r="AK353" i="71" s="1"/>
  <c r="AM353" i="71" s="1"/>
  <c r="AI352" i="71"/>
  <c r="AK352" i="71" s="1"/>
  <c r="AM352" i="71" s="1"/>
  <c r="AI351" i="71"/>
  <c r="AK351" i="71" s="1"/>
  <c r="AM351" i="71" s="1"/>
  <c r="AI350" i="71"/>
  <c r="AK350" i="71" s="1"/>
  <c r="AM350" i="71" s="1"/>
  <c r="AI349" i="71"/>
  <c r="AK349" i="71" s="1"/>
  <c r="AM349" i="71" s="1"/>
  <c r="AI348" i="71"/>
  <c r="AK348" i="71" s="1"/>
  <c r="AM348" i="71" s="1"/>
  <c r="AI347" i="71"/>
  <c r="AK347" i="71" s="1"/>
  <c r="AM347" i="71" s="1"/>
  <c r="AI346" i="71"/>
  <c r="AK346" i="71" s="1"/>
  <c r="AM346" i="71" s="1"/>
  <c r="AI345" i="71"/>
  <c r="AK345" i="71" s="1"/>
  <c r="AM345" i="71" s="1"/>
  <c r="AI344" i="71"/>
  <c r="AK344" i="71" s="1"/>
  <c r="AM344" i="71" s="1"/>
  <c r="AI343" i="71"/>
  <c r="AK343" i="71" s="1"/>
  <c r="AM343" i="71" s="1"/>
  <c r="AI342" i="71"/>
  <c r="AK342" i="71" s="1"/>
  <c r="AM342" i="71" s="1"/>
  <c r="AI341" i="71"/>
  <c r="AK341" i="71" s="1"/>
  <c r="AM341" i="71" s="1"/>
  <c r="AI340" i="71"/>
  <c r="AK340" i="71" s="1"/>
  <c r="AM340" i="71" s="1"/>
  <c r="AI339" i="71"/>
  <c r="AK339" i="71" s="1"/>
  <c r="AM339" i="71" s="1"/>
  <c r="AI338" i="71"/>
  <c r="AK338" i="71" s="1"/>
  <c r="AM338" i="71" s="1"/>
  <c r="AI337" i="71"/>
  <c r="AK337" i="71" s="1"/>
  <c r="AM337" i="71" s="1"/>
  <c r="AI336" i="71"/>
  <c r="AK336" i="71" s="1"/>
  <c r="AM336" i="71" s="1"/>
  <c r="AI335" i="71"/>
  <c r="AK335" i="71" s="1"/>
  <c r="AM335" i="71" s="1"/>
  <c r="AI334" i="71"/>
  <c r="AK334" i="71" s="1"/>
  <c r="AM334" i="71" s="1"/>
  <c r="AI333" i="71"/>
  <c r="AK333" i="71" s="1"/>
  <c r="AM333" i="71" s="1"/>
  <c r="AI332" i="71"/>
  <c r="AK332" i="71" s="1"/>
  <c r="AM332" i="71" s="1"/>
  <c r="AI331" i="71"/>
  <c r="AK331" i="71" s="1"/>
  <c r="AM331" i="71" s="1"/>
  <c r="AI330" i="71"/>
  <c r="AK330" i="71" s="1"/>
  <c r="AM330" i="71" s="1"/>
  <c r="AI329" i="71"/>
  <c r="AK329" i="71" s="1"/>
  <c r="AM329" i="71" s="1"/>
  <c r="AI328" i="71"/>
  <c r="AK328" i="71" s="1"/>
  <c r="AM328" i="71" s="1"/>
  <c r="AI327" i="71"/>
  <c r="AK327" i="71" s="1"/>
  <c r="AM327" i="71" s="1"/>
  <c r="AI326" i="71"/>
  <c r="AK326" i="71" s="1"/>
  <c r="AM326" i="71" s="1"/>
  <c r="AI325" i="71"/>
  <c r="AK325" i="71" s="1"/>
  <c r="AM325" i="71" s="1"/>
  <c r="AI324" i="71"/>
  <c r="AK324" i="71" s="1"/>
  <c r="AM324" i="71" s="1"/>
  <c r="AI323" i="71"/>
  <c r="AK323" i="71" s="1"/>
  <c r="AM323" i="71" s="1"/>
  <c r="AI322" i="71"/>
  <c r="AK322" i="71" s="1"/>
  <c r="AM322" i="71" s="1"/>
  <c r="AI321" i="71"/>
  <c r="AK321" i="71" s="1"/>
  <c r="AM321" i="71" s="1"/>
  <c r="AI320" i="71"/>
  <c r="AK320" i="71" s="1"/>
  <c r="AM320" i="71" s="1"/>
  <c r="AI319" i="71"/>
  <c r="AK319" i="71" s="1"/>
  <c r="AM319" i="71" s="1"/>
  <c r="AI318" i="71"/>
  <c r="AK318" i="71" s="1"/>
  <c r="AM318" i="71" s="1"/>
  <c r="AI317" i="71"/>
  <c r="AK317" i="71" s="1"/>
  <c r="AM317" i="71" s="1"/>
  <c r="AI316" i="71"/>
  <c r="AK316" i="71" s="1"/>
  <c r="AM316" i="71" s="1"/>
  <c r="AI315" i="71"/>
  <c r="AK315" i="71" s="1"/>
  <c r="AM315" i="71" s="1"/>
  <c r="AI314" i="71"/>
  <c r="AK314" i="71" s="1"/>
  <c r="AM314" i="71" s="1"/>
  <c r="AI313" i="71"/>
  <c r="AK313" i="71" s="1"/>
  <c r="AM313" i="71" s="1"/>
  <c r="AI312" i="71"/>
  <c r="AK312" i="71" s="1"/>
  <c r="AM312" i="71" s="1"/>
  <c r="AI311" i="71"/>
  <c r="AK311" i="71" s="1"/>
  <c r="AM311" i="71" s="1"/>
  <c r="AI310" i="71"/>
  <c r="AK310" i="71" s="1"/>
  <c r="AM310" i="71" s="1"/>
  <c r="AI309" i="71"/>
  <c r="AK309" i="71" s="1"/>
  <c r="AM309" i="71" s="1"/>
  <c r="AI308" i="71"/>
  <c r="AK308" i="71" s="1"/>
  <c r="AM308" i="71" s="1"/>
  <c r="AI307" i="71"/>
  <c r="AK307" i="71" s="1"/>
  <c r="AM307" i="71" s="1"/>
  <c r="AI306" i="71"/>
  <c r="AK306" i="71" s="1"/>
  <c r="AM306" i="71" s="1"/>
  <c r="AI305" i="71"/>
  <c r="AK305" i="71" s="1"/>
  <c r="AM305" i="71" s="1"/>
  <c r="AI304" i="71"/>
  <c r="AK304" i="71" s="1"/>
  <c r="AM304" i="71" s="1"/>
  <c r="AI303" i="71"/>
  <c r="AK303" i="71" s="1"/>
  <c r="AM303" i="71" s="1"/>
  <c r="AI302" i="71"/>
  <c r="AK302" i="71" s="1"/>
  <c r="AM302" i="71" s="1"/>
  <c r="AI301" i="71"/>
  <c r="AK301" i="71" s="1"/>
  <c r="AM301" i="71" s="1"/>
  <c r="AI300" i="71"/>
  <c r="AK300" i="71" s="1"/>
  <c r="AM300" i="71" s="1"/>
  <c r="AI299" i="71"/>
  <c r="AK299" i="71" s="1"/>
  <c r="AM299" i="71" s="1"/>
  <c r="AI298" i="71"/>
  <c r="AK298" i="71" s="1"/>
  <c r="AM298" i="71" s="1"/>
  <c r="AI297" i="71"/>
  <c r="AK297" i="71" s="1"/>
  <c r="AM297" i="71" s="1"/>
  <c r="AI296" i="71"/>
  <c r="AK296" i="71" s="1"/>
  <c r="AM296" i="71" s="1"/>
  <c r="AI295" i="71"/>
  <c r="AK295" i="71" s="1"/>
  <c r="AM295" i="71" s="1"/>
  <c r="AI294" i="71"/>
  <c r="AK294" i="71" s="1"/>
  <c r="AM294" i="71" s="1"/>
  <c r="AI293" i="71"/>
  <c r="AK293" i="71" s="1"/>
  <c r="AM293" i="71" s="1"/>
  <c r="X292" i="71"/>
  <c r="AI292" i="71" s="1"/>
  <c r="AK292" i="71" s="1"/>
  <c r="AM292" i="71" s="1"/>
  <c r="AI291" i="71"/>
  <c r="AK291" i="71" s="1"/>
  <c r="AM291" i="71" s="1"/>
  <c r="AI290" i="71"/>
  <c r="AK290" i="71" s="1"/>
  <c r="AM290" i="71" s="1"/>
  <c r="AI289" i="71"/>
  <c r="AK289" i="71" s="1"/>
  <c r="AM289" i="71" s="1"/>
  <c r="AI288" i="71"/>
  <c r="AK288" i="71" s="1"/>
  <c r="AM288" i="71" s="1"/>
  <c r="AI287" i="71"/>
  <c r="AK287" i="71" s="1"/>
  <c r="AM287" i="71" s="1"/>
  <c r="AI286" i="71"/>
  <c r="AK286" i="71" s="1"/>
  <c r="AM286" i="71" s="1"/>
  <c r="AI285" i="71"/>
  <c r="AK285" i="71" s="1"/>
  <c r="AM285" i="71" s="1"/>
  <c r="AI284" i="71"/>
  <c r="AK284" i="71" s="1"/>
  <c r="AM284" i="71" s="1"/>
  <c r="AI283" i="71"/>
  <c r="AK283" i="71" s="1"/>
  <c r="AM283" i="71" s="1"/>
  <c r="AI282" i="71"/>
  <c r="AK282" i="71" s="1"/>
  <c r="AM282" i="71" s="1"/>
  <c r="AI281" i="71"/>
  <c r="AK281" i="71" s="1"/>
  <c r="AM281" i="71" s="1"/>
  <c r="AI280" i="71"/>
  <c r="AK280" i="71" s="1"/>
  <c r="AM280" i="71" s="1"/>
  <c r="AI279" i="71"/>
  <c r="AK279" i="71" s="1"/>
  <c r="AM279" i="71" s="1"/>
  <c r="AI278" i="71"/>
  <c r="AK278" i="71" s="1"/>
  <c r="AM278" i="71" s="1"/>
  <c r="AI277" i="71"/>
  <c r="AK277" i="71" s="1"/>
  <c r="AM277" i="71" s="1"/>
  <c r="AI276" i="71"/>
  <c r="AK276" i="71" s="1"/>
  <c r="AM276" i="71" s="1"/>
  <c r="AI275" i="71"/>
  <c r="AK275" i="71" s="1"/>
  <c r="AM275" i="71" s="1"/>
  <c r="AI274" i="71"/>
  <c r="AK274" i="71" s="1"/>
  <c r="AM274" i="71" s="1"/>
  <c r="AI273" i="71"/>
  <c r="AK273" i="71" s="1"/>
  <c r="AM273" i="71" s="1"/>
  <c r="AI272" i="71"/>
  <c r="AK272" i="71" s="1"/>
  <c r="AM272" i="71" s="1"/>
  <c r="AI271" i="71"/>
  <c r="AK271" i="71" s="1"/>
  <c r="AM271" i="71" s="1"/>
  <c r="AI270" i="71"/>
  <c r="AK270" i="71" s="1"/>
  <c r="AM270" i="71" s="1"/>
  <c r="AI269" i="71"/>
  <c r="AK269" i="71" s="1"/>
  <c r="AM269" i="71" s="1"/>
  <c r="W268" i="71"/>
  <c r="Q268" i="71"/>
  <c r="O268" i="71"/>
  <c r="M268" i="71"/>
  <c r="X267" i="71"/>
  <c r="U267" i="71"/>
  <c r="T267" i="71"/>
  <c r="R267" i="71"/>
  <c r="P267" i="71"/>
  <c r="O267" i="71"/>
  <c r="M267" i="71"/>
  <c r="AI266" i="71"/>
  <c r="AK266" i="71" s="1"/>
  <c r="AM266" i="71" s="1"/>
  <c r="AI265" i="71"/>
  <c r="AK265" i="71" s="1"/>
  <c r="AM265" i="71" s="1"/>
  <c r="AI264" i="71"/>
  <c r="AK264" i="71" s="1"/>
  <c r="AM264" i="71" s="1"/>
  <c r="AI263" i="71"/>
  <c r="AK263" i="71" s="1"/>
  <c r="AM263" i="71" s="1"/>
  <c r="AI262" i="71"/>
  <c r="AK262" i="71" s="1"/>
  <c r="AM262" i="71" s="1"/>
  <c r="AI261" i="71"/>
  <c r="AK261" i="71" s="1"/>
  <c r="AM261" i="71" s="1"/>
  <c r="AI260" i="71"/>
  <c r="AK260" i="71" s="1"/>
  <c r="AM260" i="71" s="1"/>
  <c r="AI259" i="71"/>
  <c r="AK259" i="71" s="1"/>
  <c r="AM259" i="71" s="1"/>
  <c r="Z258" i="71"/>
  <c r="AI258" i="71" s="1"/>
  <c r="AK258" i="71" s="1"/>
  <c r="AM258" i="71" s="1"/>
  <c r="AC257" i="71"/>
  <c r="AA257" i="71"/>
  <c r="AD256" i="71"/>
  <c r="AB256" i="71"/>
  <c r="AI255" i="71"/>
  <c r="AK255" i="71" s="1"/>
  <c r="AM255" i="71" s="1"/>
  <c r="AI254" i="71"/>
  <c r="AK254" i="71" s="1"/>
  <c r="AM254" i="71" s="1"/>
  <c r="AI253" i="71"/>
  <c r="AK253" i="71" s="1"/>
  <c r="AM253" i="71" s="1"/>
  <c r="AI252" i="71"/>
  <c r="AK252" i="71" s="1"/>
  <c r="AM252" i="71" s="1"/>
  <c r="AI251" i="71"/>
  <c r="AK251" i="71" s="1"/>
  <c r="AM251" i="71" s="1"/>
  <c r="AI250" i="71"/>
  <c r="AK250" i="71" s="1"/>
  <c r="AM250" i="71" s="1"/>
  <c r="AI249" i="71"/>
  <c r="AK249" i="71" s="1"/>
  <c r="AM249" i="71" s="1"/>
  <c r="AI248" i="71"/>
  <c r="AK248" i="71" s="1"/>
  <c r="AM248" i="71" s="1"/>
  <c r="AB247" i="71"/>
  <c r="AI247" i="71" s="1"/>
  <c r="AK247" i="71" s="1"/>
  <c r="AM247" i="71" s="1"/>
  <c r="AB246" i="71"/>
  <c r="AI246" i="71" s="1"/>
  <c r="AK246" i="71" s="1"/>
  <c r="AM246" i="71" s="1"/>
  <c r="AI245" i="71"/>
  <c r="AK245" i="71" s="1"/>
  <c r="AM245" i="71" s="1"/>
  <c r="AI244" i="71"/>
  <c r="AK244" i="71" s="1"/>
  <c r="AM244" i="71" s="1"/>
  <c r="AI243" i="71"/>
  <c r="AK243" i="71" s="1"/>
  <c r="AM243" i="71" s="1"/>
  <c r="AI242" i="71"/>
  <c r="AK242" i="71" s="1"/>
  <c r="AM242" i="71" s="1"/>
  <c r="AI241" i="71"/>
  <c r="AK241" i="71" s="1"/>
  <c r="AM241" i="71" s="1"/>
  <c r="AD240" i="71"/>
  <c r="AA240" i="71"/>
  <c r="X240" i="71"/>
  <c r="W240" i="71"/>
  <c r="U240" i="71"/>
  <c r="R240" i="71"/>
  <c r="P240" i="71"/>
  <c r="AI239" i="71"/>
  <c r="AK239" i="71" s="1"/>
  <c r="AM239" i="71" s="1"/>
  <c r="AI238" i="71"/>
  <c r="AK238" i="71" s="1"/>
  <c r="AM238" i="71" s="1"/>
  <c r="AI237" i="71"/>
  <c r="AK237" i="71" s="1"/>
  <c r="AM237" i="71" s="1"/>
  <c r="AI236" i="71"/>
  <c r="AK236" i="71" s="1"/>
  <c r="AM236" i="71" s="1"/>
  <c r="AD235" i="71"/>
  <c r="AA235" i="71"/>
  <c r="W235" i="71"/>
  <c r="AI234" i="71"/>
  <c r="AK234" i="71" s="1"/>
  <c r="AM234" i="71" s="1"/>
  <c r="AI233" i="71"/>
  <c r="AK233" i="71" s="1"/>
  <c r="AM233" i="71" s="1"/>
  <c r="AB232" i="71"/>
  <c r="V232" i="71"/>
  <c r="Q232" i="71"/>
  <c r="AI231" i="71"/>
  <c r="AK231" i="71" s="1"/>
  <c r="AM231" i="71" s="1"/>
  <c r="AI230" i="71"/>
  <c r="AK230" i="71" s="1"/>
  <c r="AM230" i="71" s="1"/>
  <c r="AI229" i="71"/>
  <c r="AK229" i="71" s="1"/>
  <c r="AM229" i="71" s="1"/>
  <c r="AI228" i="71"/>
  <c r="AK228" i="71" s="1"/>
  <c r="AM228" i="71" s="1"/>
  <c r="AI227" i="71"/>
  <c r="AK227" i="71" s="1"/>
  <c r="AM227" i="71" s="1"/>
  <c r="AI226" i="71"/>
  <c r="AK226" i="71" s="1"/>
  <c r="AM226" i="71" s="1"/>
  <c r="AI225" i="71"/>
  <c r="AK225" i="71" s="1"/>
  <c r="AM225" i="71" s="1"/>
  <c r="AI224" i="71"/>
  <c r="AK224" i="71" s="1"/>
  <c r="AM224" i="71" s="1"/>
  <c r="AI223" i="71"/>
  <c r="AK223" i="71" s="1"/>
  <c r="AM223" i="71" s="1"/>
  <c r="AI222" i="71"/>
  <c r="AK222" i="71" s="1"/>
  <c r="AM222" i="71" s="1"/>
  <c r="AI221" i="71"/>
  <c r="AK221" i="71" s="1"/>
  <c r="AM221" i="71" s="1"/>
  <c r="AI220" i="71"/>
  <c r="AK220" i="71" s="1"/>
  <c r="AM220" i="71" s="1"/>
  <c r="AI219" i="71"/>
  <c r="AK219" i="71" s="1"/>
  <c r="AM219" i="71" s="1"/>
  <c r="AI218" i="71"/>
  <c r="AK218" i="71" s="1"/>
  <c r="AM218" i="71" s="1"/>
  <c r="AI217" i="71"/>
  <c r="AK217" i="71" s="1"/>
  <c r="AM217" i="71" s="1"/>
  <c r="AI216" i="71"/>
  <c r="AK216" i="71" s="1"/>
  <c r="AM216" i="71" s="1"/>
  <c r="AI215" i="71"/>
  <c r="AK215" i="71" s="1"/>
  <c r="AM215" i="71" s="1"/>
  <c r="AI214" i="71"/>
  <c r="AK214" i="71" s="1"/>
  <c r="AM214" i="71" s="1"/>
  <c r="AI213" i="71"/>
  <c r="AK213" i="71" s="1"/>
  <c r="AM213" i="71" s="1"/>
  <c r="AI212" i="71"/>
  <c r="AK212" i="71" s="1"/>
  <c r="AM212" i="71" s="1"/>
  <c r="AI211" i="71"/>
  <c r="AK211" i="71" s="1"/>
  <c r="AM211" i="71" s="1"/>
  <c r="AI210" i="71"/>
  <c r="AK210" i="71" s="1"/>
  <c r="AM210" i="71" s="1"/>
  <c r="AI209" i="71"/>
  <c r="AK209" i="71" s="1"/>
  <c r="AM209" i="71" s="1"/>
  <c r="AI208" i="71"/>
  <c r="AK208" i="71" s="1"/>
  <c r="AM208" i="71" s="1"/>
  <c r="AI207" i="71"/>
  <c r="AK207" i="71" s="1"/>
  <c r="AM207" i="71" s="1"/>
  <c r="AI206" i="71"/>
  <c r="AK206" i="71" s="1"/>
  <c r="AM206" i="71" s="1"/>
  <c r="AI205" i="71"/>
  <c r="AK205" i="71" s="1"/>
  <c r="AM205" i="71" s="1"/>
  <c r="AI204" i="71"/>
  <c r="AK204" i="71" s="1"/>
  <c r="AM204" i="71" s="1"/>
  <c r="AI203" i="71"/>
  <c r="AK203" i="71" s="1"/>
  <c r="AM203" i="71" s="1"/>
  <c r="AI202" i="71"/>
  <c r="AK202" i="71" s="1"/>
  <c r="AM202" i="71" s="1"/>
  <c r="AI201" i="71"/>
  <c r="AK201" i="71" s="1"/>
  <c r="AM201" i="71" s="1"/>
  <c r="AI200" i="71"/>
  <c r="AK200" i="71" s="1"/>
  <c r="AM200" i="71" s="1"/>
  <c r="AI199" i="71"/>
  <c r="AK199" i="71" s="1"/>
  <c r="AM199" i="71" s="1"/>
  <c r="AI198" i="71"/>
  <c r="AK198" i="71" s="1"/>
  <c r="AM198" i="71" s="1"/>
  <c r="AI197" i="71"/>
  <c r="AK197" i="71" s="1"/>
  <c r="AM197" i="71" s="1"/>
  <c r="AI196" i="71"/>
  <c r="AK196" i="71" s="1"/>
  <c r="AM196" i="71" s="1"/>
  <c r="AI195" i="71"/>
  <c r="AK195" i="71" s="1"/>
  <c r="AM195" i="71" s="1"/>
  <c r="AI194" i="71"/>
  <c r="AK194" i="71" s="1"/>
  <c r="AM194" i="71" s="1"/>
  <c r="AI193" i="71"/>
  <c r="AK193" i="71" s="1"/>
  <c r="AM193" i="71" s="1"/>
  <c r="AI192" i="71"/>
  <c r="AK192" i="71" s="1"/>
  <c r="AM192" i="71" s="1"/>
  <c r="AI191" i="71"/>
  <c r="AK191" i="71" s="1"/>
  <c r="AM191" i="71" s="1"/>
  <c r="AI190" i="71"/>
  <c r="AK190" i="71" s="1"/>
  <c r="AM190" i="71" s="1"/>
  <c r="AI189" i="71"/>
  <c r="AK189" i="71" s="1"/>
  <c r="AM189" i="71" s="1"/>
  <c r="AI188" i="71"/>
  <c r="AK188" i="71" s="1"/>
  <c r="AM188" i="71" s="1"/>
  <c r="AI187" i="71"/>
  <c r="AK187" i="71" s="1"/>
  <c r="AM187" i="71" s="1"/>
  <c r="AI186" i="71"/>
  <c r="AK186" i="71" s="1"/>
  <c r="AM186" i="71" s="1"/>
  <c r="AI185" i="71"/>
  <c r="AK185" i="71" s="1"/>
  <c r="AM185" i="71" s="1"/>
  <c r="AI184" i="71"/>
  <c r="AK184" i="71" s="1"/>
  <c r="AM184" i="71" s="1"/>
  <c r="AI183" i="71"/>
  <c r="AK183" i="71" s="1"/>
  <c r="AM183" i="71" s="1"/>
  <c r="AI182" i="71"/>
  <c r="AK182" i="71" s="1"/>
  <c r="AM182" i="71" s="1"/>
  <c r="AI181" i="71"/>
  <c r="AK181" i="71" s="1"/>
  <c r="AM181" i="71" s="1"/>
  <c r="AI180" i="71"/>
  <c r="AK180" i="71" s="1"/>
  <c r="AM180" i="71" s="1"/>
  <c r="AI179" i="71"/>
  <c r="AK179" i="71" s="1"/>
  <c r="AM179" i="71" s="1"/>
  <c r="AI178" i="71"/>
  <c r="AK178" i="71" s="1"/>
  <c r="AM178" i="71" s="1"/>
  <c r="AI177" i="71"/>
  <c r="AK177" i="71" s="1"/>
  <c r="AM177" i="71" s="1"/>
  <c r="AI176" i="71"/>
  <c r="AK176" i="71" s="1"/>
  <c r="AM176" i="71" s="1"/>
  <c r="AI175" i="71"/>
  <c r="AK175" i="71" s="1"/>
  <c r="AM175" i="71" s="1"/>
  <c r="AI174" i="71"/>
  <c r="AK174" i="71" s="1"/>
  <c r="AM174" i="71" s="1"/>
  <c r="AI173" i="71"/>
  <c r="AK173" i="71" s="1"/>
  <c r="AM173" i="71" s="1"/>
  <c r="AI172" i="71"/>
  <c r="AK172" i="71" s="1"/>
  <c r="AM172" i="71" s="1"/>
  <c r="AI171" i="71"/>
  <c r="AK171" i="71" s="1"/>
  <c r="AM171" i="71" s="1"/>
  <c r="AI170" i="71"/>
  <c r="AK170" i="71" s="1"/>
  <c r="AM170" i="71" s="1"/>
  <c r="AH169" i="71"/>
  <c r="AF169" i="71"/>
  <c r="AD169" i="71"/>
  <c r="AC169" i="71"/>
  <c r="AB169" i="71"/>
  <c r="AI168" i="71"/>
  <c r="AK168" i="71" s="1"/>
  <c r="AM168" i="71" s="1"/>
  <c r="AI167" i="71"/>
  <c r="AK167" i="71" s="1"/>
  <c r="AM167" i="71" s="1"/>
  <c r="AI166" i="71"/>
  <c r="AK166" i="71" s="1"/>
  <c r="AM166" i="71" s="1"/>
  <c r="Y165" i="71"/>
  <c r="X165" i="71"/>
  <c r="W165" i="71"/>
  <c r="U165" i="71"/>
  <c r="W164" i="71"/>
  <c r="AI164" i="71" s="1"/>
  <c r="AK164" i="71" s="1"/>
  <c r="AM164" i="71" s="1"/>
  <c r="AI163" i="71"/>
  <c r="AK163" i="71" s="1"/>
  <c r="AM163" i="71" s="1"/>
  <c r="AI162" i="71"/>
  <c r="AK162" i="71" s="1"/>
  <c r="AM162" i="71" s="1"/>
  <c r="AI161" i="71"/>
  <c r="AK161" i="71" s="1"/>
  <c r="AM161" i="71" s="1"/>
  <c r="AI160" i="71"/>
  <c r="AK160" i="71" s="1"/>
  <c r="AM160" i="71" s="1"/>
  <c r="AI159" i="71"/>
  <c r="AK159" i="71" s="1"/>
  <c r="AM159" i="71" s="1"/>
  <c r="AI158" i="71"/>
  <c r="AK158" i="71" s="1"/>
  <c r="AM158" i="71" s="1"/>
  <c r="X157" i="71"/>
  <c r="Q157" i="71"/>
  <c r="P157" i="71"/>
  <c r="O157" i="71"/>
  <c r="X156" i="71"/>
  <c r="Q156" i="71"/>
  <c r="P156" i="71"/>
  <c r="AI155" i="71"/>
  <c r="AK155" i="71" s="1"/>
  <c r="AM155" i="71" s="1"/>
  <c r="AI154" i="71"/>
  <c r="AK154" i="71" s="1"/>
  <c r="AM154" i="71" s="1"/>
  <c r="F153" i="71"/>
  <c r="AI153" i="71" s="1"/>
  <c r="AK153" i="71" s="1"/>
  <c r="AM153" i="71" s="1"/>
  <c r="G152" i="71"/>
  <c r="AI152" i="71" s="1"/>
  <c r="AK152" i="71" s="1"/>
  <c r="AM152" i="71" s="1"/>
  <c r="AI151" i="71"/>
  <c r="AK151" i="71" s="1"/>
  <c r="AM151" i="71" s="1"/>
  <c r="AI150" i="71"/>
  <c r="AK150" i="71" s="1"/>
  <c r="AM150" i="71" s="1"/>
  <c r="AI149" i="71"/>
  <c r="AK149" i="71" s="1"/>
  <c r="AM149" i="71" s="1"/>
  <c r="AI148" i="71"/>
  <c r="AK148" i="71" s="1"/>
  <c r="AM148" i="71" s="1"/>
  <c r="AI147" i="71"/>
  <c r="AK147" i="71" s="1"/>
  <c r="AM147" i="71" s="1"/>
  <c r="AI146" i="71"/>
  <c r="AK146" i="71" s="1"/>
  <c r="AM146" i="71" s="1"/>
  <c r="AI145" i="71"/>
  <c r="AK145" i="71" s="1"/>
  <c r="AM145" i="71" s="1"/>
  <c r="AI144" i="71"/>
  <c r="AK144" i="71" s="1"/>
  <c r="AM144" i="71" s="1"/>
  <c r="AI143" i="71"/>
  <c r="AK143" i="71" s="1"/>
  <c r="AM143" i="71" s="1"/>
  <c r="AI142" i="71"/>
  <c r="AK142" i="71" s="1"/>
  <c r="AM142" i="71" s="1"/>
  <c r="AI141" i="71"/>
  <c r="AK141" i="71" s="1"/>
  <c r="AM141" i="71" s="1"/>
  <c r="AI140" i="71"/>
  <c r="AK140" i="71" s="1"/>
  <c r="AM140" i="71" s="1"/>
  <c r="H139" i="71"/>
  <c r="AI139" i="71" s="1"/>
  <c r="AK139" i="71" s="1"/>
  <c r="AM139" i="71" s="1"/>
  <c r="H138" i="71"/>
  <c r="AI138" i="71" s="1"/>
  <c r="AK138" i="71" s="1"/>
  <c r="AM138" i="71" s="1"/>
  <c r="H137" i="71"/>
  <c r="AI137" i="71" s="1"/>
  <c r="AK137" i="71" s="1"/>
  <c r="AM137" i="71" s="1"/>
  <c r="AI136" i="71"/>
  <c r="AK136" i="71" s="1"/>
  <c r="AM136" i="71" s="1"/>
  <c r="AI135" i="71"/>
  <c r="AK135" i="71" s="1"/>
  <c r="AM135" i="71" s="1"/>
  <c r="AI134" i="71"/>
  <c r="AK134" i="71" s="1"/>
  <c r="AM134" i="71" s="1"/>
  <c r="AI133" i="71"/>
  <c r="AK133" i="71" s="1"/>
  <c r="AM133" i="71" s="1"/>
  <c r="AI132" i="71"/>
  <c r="AK132" i="71" s="1"/>
  <c r="AM132" i="71" s="1"/>
  <c r="AI131" i="71"/>
  <c r="AK131" i="71" s="1"/>
  <c r="AM131" i="71" s="1"/>
  <c r="AI130" i="71"/>
  <c r="AK130" i="71" s="1"/>
  <c r="AM130" i="71" s="1"/>
  <c r="AI129" i="71"/>
  <c r="AK129" i="71" s="1"/>
  <c r="AM129" i="71" s="1"/>
  <c r="AI128" i="71"/>
  <c r="AK128" i="71" s="1"/>
  <c r="AM128" i="71" s="1"/>
  <c r="AI127" i="71"/>
  <c r="AK127" i="71" s="1"/>
  <c r="AM127" i="71" s="1"/>
  <c r="AI126" i="71"/>
  <c r="AK126" i="71" s="1"/>
  <c r="AM126" i="71" s="1"/>
  <c r="AI125" i="71"/>
  <c r="AK125" i="71" s="1"/>
  <c r="AM125" i="71" s="1"/>
  <c r="AI124" i="71"/>
  <c r="AK124" i="71" s="1"/>
  <c r="AM124" i="71" s="1"/>
  <c r="AI123" i="71"/>
  <c r="AK123" i="71" s="1"/>
  <c r="AM123" i="71" s="1"/>
  <c r="AI122" i="71"/>
  <c r="AK122" i="71" s="1"/>
  <c r="AM122" i="71" s="1"/>
  <c r="AH121" i="71"/>
  <c r="AF121" i="71"/>
  <c r="AD121" i="71"/>
  <c r="AC121" i="71"/>
  <c r="AB121" i="71"/>
  <c r="AI120" i="71"/>
  <c r="AK120" i="71" s="1"/>
  <c r="AM120" i="71" s="1"/>
  <c r="AI119" i="71"/>
  <c r="AK119" i="71" s="1"/>
  <c r="AM119" i="71" s="1"/>
  <c r="AI118" i="71"/>
  <c r="AK118" i="71" s="1"/>
  <c r="AM118" i="71" s="1"/>
  <c r="Y117" i="71"/>
  <c r="X117" i="71"/>
  <c r="W117" i="71"/>
  <c r="AI116" i="71"/>
  <c r="AK116" i="71" s="1"/>
  <c r="AM116" i="71" s="1"/>
  <c r="AI115" i="71"/>
  <c r="AK115" i="71" s="1"/>
  <c r="AM115" i="71" s="1"/>
  <c r="AI114" i="71"/>
  <c r="AK114" i="71" s="1"/>
  <c r="AM114" i="71" s="1"/>
  <c r="AI113" i="71"/>
  <c r="AK113" i="71" s="1"/>
  <c r="AM113" i="71" s="1"/>
  <c r="AI112" i="71"/>
  <c r="AK112" i="71" s="1"/>
  <c r="AM112" i="71" s="1"/>
  <c r="AI111" i="71"/>
  <c r="AK111" i="71" s="1"/>
  <c r="AM111" i="71" s="1"/>
  <c r="AI110" i="71"/>
  <c r="AK110" i="71" s="1"/>
  <c r="AM110" i="71" s="1"/>
  <c r="R109" i="71"/>
  <c r="Q109" i="71"/>
  <c r="T108" i="71"/>
  <c r="Q108" i="71"/>
  <c r="AI107" i="71"/>
  <c r="AK107" i="71" s="1"/>
  <c r="AM107" i="71" s="1"/>
  <c r="AI106" i="71"/>
  <c r="AK106" i="71" s="1"/>
  <c r="AM106" i="71" s="1"/>
  <c r="H105" i="71"/>
  <c r="AI105" i="71" s="1"/>
  <c r="AK105" i="71" s="1"/>
  <c r="AM105" i="71" s="1"/>
  <c r="I104" i="71"/>
  <c r="AI104" i="71" s="1"/>
  <c r="AK104" i="71" s="1"/>
  <c r="AM104" i="71" s="1"/>
  <c r="AI103" i="71"/>
  <c r="AK103" i="71" s="1"/>
  <c r="AM103" i="71" s="1"/>
  <c r="AI102" i="71"/>
  <c r="AK102" i="71" s="1"/>
  <c r="AM102" i="71" s="1"/>
  <c r="AI101" i="71"/>
  <c r="AK101" i="71" s="1"/>
  <c r="AM101" i="71" s="1"/>
  <c r="AI100" i="71"/>
  <c r="AK100" i="71" s="1"/>
  <c r="AM100" i="71" s="1"/>
  <c r="AI99" i="71"/>
  <c r="AK99" i="71" s="1"/>
  <c r="AM99" i="71" s="1"/>
  <c r="AI98" i="71"/>
  <c r="AK98" i="71" s="1"/>
  <c r="AM98" i="71" s="1"/>
  <c r="AI97" i="71"/>
  <c r="AK97" i="71" s="1"/>
  <c r="AM97" i="71" s="1"/>
  <c r="AI96" i="71"/>
  <c r="AK96" i="71" s="1"/>
  <c r="AM96" i="71" s="1"/>
  <c r="AI95" i="71"/>
  <c r="AK95" i="71" s="1"/>
  <c r="AM95" i="71" s="1"/>
  <c r="AI94" i="71"/>
  <c r="AK94" i="71" s="1"/>
  <c r="AM94" i="71" s="1"/>
  <c r="AI93" i="71"/>
  <c r="AK93" i="71" s="1"/>
  <c r="AM93" i="71" s="1"/>
  <c r="AI92" i="71"/>
  <c r="AK92" i="71" s="1"/>
  <c r="AM92" i="71" s="1"/>
  <c r="AI91" i="71"/>
  <c r="AK91" i="71" s="1"/>
  <c r="AM91" i="71" s="1"/>
  <c r="AI90" i="71"/>
  <c r="AK90" i="71" s="1"/>
  <c r="AM90" i="71" s="1"/>
  <c r="AI89" i="71"/>
  <c r="AK89" i="71" s="1"/>
  <c r="AM89" i="71" s="1"/>
  <c r="AI88" i="71"/>
  <c r="AK88" i="71" s="1"/>
  <c r="AM88" i="71" s="1"/>
  <c r="AI87" i="71"/>
  <c r="AK87" i="71" s="1"/>
  <c r="AM87" i="71" s="1"/>
  <c r="AI86" i="71"/>
  <c r="AK86" i="71" s="1"/>
  <c r="AM86" i="71" s="1"/>
  <c r="AI85" i="71"/>
  <c r="AK85" i="71" s="1"/>
  <c r="AM85" i="71" s="1"/>
  <c r="AI84" i="71"/>
  <c r="AK84" i="71" s="1"/>
  <c r="AM84" i="71" s="1"/>
  <c r="AI83" i="71"/>
  <c r="AK83" i="71" s="1"/>
  <c r="AM83" i="71" s="1"/>
  <c r="AI82" i="71"/>
  <c r="AK82" i="71" s="1"/>
  <c r="AM82" i="71" s="1"/>
  <c r="AI81" i="71"/>
  <c r="AK81" i="71" s="1"/>
  <c r="AM81" i="71" s="1"/>
  <c r="AI80" i="71"/>
  <c r="AK80" i="71" s="1"/>
  <c r="AM80" i="71" s="1"/>
  <c r="AI79" i="71"/>
  <c r="AK79" i="71" s="1"/>
  <c r="AM79" i="71" s="1"/>
  <c r="AI78" i="71"/>
  <c r="AK78" i="71" s="1"/>
  <c r="AM78" i="71" s="1"/>
  <c r="AI77" i="71"/>
  <c r="AK77" i="71" s="1"/>
  <c r="AM77" i="71" s="1"/>
  <c r="AI76" i="71"/>
  <c r="AK76" i="71" s="1"/>
  <c r="AM76" i="71" s="1"/>
  <c r="AI75" i="71"/>
  <c r="AK75" i="71" s="1"/>
  <c r="AM75" i="71" s="1"/>
  <c r="AI74" i="71"/>
  <c r="AK74" i="71" s="1"/>
  <c r="AM74" i="71" s="1"/>
  <c r="AI73" i="71"/>
  <c r="AK73" i="71" s="1"/>
  <c r="AM73" i="71" s="1"/>
  <c r="AI72" i="71"/>
  <c r="AK72" i="71" s="1"/>
  <c r="AM72" i="71" s="1"/>
  <c r="AI71" i="71"/>
  <c r="AK71" i="71" s="1"/>
  <c r="AM71" i="71" s="1"/>
  <c r="AI70" i="71"/>
  <c r="AK70" i="71" s="1"/>
  <c r="AM70" i="71" s="1"/>
  <c r="AI69" i="71"/>
  <c r="AK69" i="71" s="1"/>
  <c r="AM69" i="71" s="1"/>
  <c r="AI68" i="71"/>
  <c r="AK68" i="71" s="1"/>
  <c r="AM68" i="71" s="1"/>
  <c r="AI67" i="71"/>
  <c r="AK67" i="71" s="1"/>
  <c r="AM67" i="71" s="1"/>
  <c r="AI66" i="71"/>
  <c r="AK66" i="71" s="1"/>
  <c r="AM66" i="71" s="1"/>
  <c r="AI65" i="71"/>
  <c r="AK65" i="71" s="1"/>
  <c r="AM65" i="71" s="1"/>
  <c r="AI64" i="71"/>
  <c r="AK64" i="71" s="1"/>
  <c r="AM64" i="71" s="1"/>
  <c r="AI63" i="71"/>
  <c r="AK63" i="71" s="1"/>
  <c r="AM63" i="71" s="1"/>
  <c r="AI62" i="71"/>
  <c r="AK62" i="71" s="1"/>
  <c r="AM62" i="71" s="1"/>
  <c r="AI61" i="71"/>
  <c r="AK61" i="71" s="1"/>
  <c r="AM61" i="71" s="1"/>
  <c r="AI60" i="71"/>
  <c r="AK60" i="71" s="1"/>
  <c r="AM60" i="71" s="1"/>
  <c r="AI59" i="71"/>
  <c r="AK59" i="71" s="1"/>
  <c r="AM59" i="71" s="1"/>
  <c r="AI58" i="71"/>
  <c r="AK58" i="71" s="1"/>
  <c r="AM58" i="71" s="1"/>
  <c r="AI57" i="71"/>
  <c r="AK57" i="71" s="1"/>
  <c r="AM57" i="71" s="1"/>
  <c r="AI56" i="71"/>
  <c r="AK56" i="71" s="1"/>
  <c r="AM56" i="71" s="1"/>
  <c r="AI55" i="71"/>
  <c r="AK55" i="71" s="1"/>
  <c r="AM55" i="71" s="1"/>
  <c r="AI54" i="71"/>
  <c r="AK54" i="71" s="1"/>
  <c r="AM54" i="71" s="1"/>
  <c r="AI53" i="71"/>
  <c r="AK53" i="71" s="1"/>
  <c r="AM53" i="71" s="1"/>
  <c r="AI52" i="71"/>
  <c r="AK52" i="71" s="1"/>
  <c r="AM52" i="71" s="1"/>
  <c r="AI51" i="71"/>
  <c r="AK51" i="71" s="1"/>
  <c r="AM51" i="71" s="1"/>
  <c r="AI50" i="71"/>
  <c r="AK50" i="71" s="1"/>
  <c r="AM50" i="71" s="1"/>
  <c r="AI49" i="71"/>
  <c r="AK49" i="71" s="1"/>
  <c r="AM49" i="71" s="1"/>
  <c r="AI48" i="71"/>
  <c r="AK48" i="71" s="1"/>
  <c r="AM48" i="71" s="1"/>
  <c r="AI47" i="71"/>
  <c r="AK47" i="71" s="1"/>
  <c r="AM47" i="71" s="1"/>
  <c r="AI46" i="71"/>
  <c r="AK46" i="71" s="1"/>
  <c r="AM46" i="71" s="1"/>
  <c r="AI45" i="71"/>
  <c r="AK45" i="71" s="1"/>
  <c r="AM45" i="71" s="1"/>
  <c r="AI44" i="71"/>
  <c r="AK44" i="71" s="1"/>
  <c r="AM44" i="71" s="1"/>
  <c r="AI43" i="71"/>
  <c r="AK43" i="71" s="1"/>
  <c r="AM43" i="71" s="1"/>
  <c r="AI42" i="71"/>
  <c r="AK42" i="71" s="1"/>
  <c r="AM42" i="71" s="1"/>
  <c r="AI41" i="71"/>
  <c r="AK41" i="71" s="1"/>
  <c r="AM41" i="71" s="1"/>
  <c r="AI40" i="71"/>
  <c r="AK40" i="71" s="1"/>
  <c r="AM40" i="71" s="1"/>
  <c r="AI39" i="71"/>
  <c r="AK39" i="71" s="1"/>
  <c r="AM39" i="71" s="1"/>
  <c r="AI38" i="71"/>
  <c r="AK38" i="71" s="1"/>
  <c r="AM38" i="71" s="1"/>
  <c r="AI37" i="71"/>
  <c r="AK37" i="71" s="1"/>
  <c r="AM37" i="71" s="1"/>
  <c r="AI36" i="71"/>
  <c r="AK36" i="71" s="1"/>
  <c r="AM36" i="71" s="1"/>
  <c r="AI35" i="71"/>
  <c r="AK35" i="71" s="1"/>
  <c r="AM35" i="71" s="1"/>
  <c r="AI34" i="71"/>
  <c r="AK34" i="71" s="1"/>
  <c r="AM34" i="71" s="1"/>
  <c r="AI33" i="71"/>
  <c r="AK33" i="71" s="1"/>
  <c r="AM33" i="71" s="1"/>
  <c r="AI32" i="71"/>
  <c r="AK32" i="71" s="1"/>
  <c r="AM32" i="71" s="1"/>
  <c r="AI31" i="71"/>
  <c r="AK31" i="71" s="1"/>
  <c r="AM31" i="71" s="1"/>
  <c r="AI30" i="71"/>
  <c r="AK30" i="71" s="1"/>
  <c r="AM30" i="71" s="1"/>
  <c r="AI29" i="71"/>
  <c r="AK29" i="71" s="1"/>
  <c r="AM29" i="71" s="1"/>
  <c r="AI28" i="71"/>
  <c r="AK28" i="71" s="1"/>
  <c r="AM28" i="71" s="1"/>
  <c r="AI27" i="71"/>
  <c r="AK27" i="71" s="1"/>
  <c r="AM27" i="71" s="1"/>
  <c r="AI26" i="71"/>
  <c r="AK26" i="71" s="1"/>
  <c r="AM26" i="71" s="1"/>
  <c r="AI25" i="71"/>
  <c r="AK25" i="71" s="1"/>
  <c r="AM25" i="71" s="1"/>
  <c r="AI24" i="71"/>
  <c r="AK24" i="71" s="1"/>
  <c r="AM24" i="71" s="1"/>
  <c r="AI23" i="71"/>
  <c r="AK23" i="71" s="1"/>
  <c r="AM23" i="71" s="1"/>
  <c r="AI22" i="71"/>
  <c r="AK22" i="71" s="1"/>
  <c r="AM22" i="71" s="1"/>
  <c r="AI21" i="71"/>
  <c r="AK21" i="71" s="1"/>
  <c r="AM21" i="71" s="1"/>
  <c r="AI20" i="71"/>
  <c r="AK20" i="71" s="1"/>
  <c r="AM20" i="71" s="1"/>
  <c r="AI19" i="71"/>
  <c r="AK19" i="71" s="1"/>
  <c r="AM19" i="71" s="1"/>
  <c r="AI18" i="71"/>
  <c r="AK18" i="71" s="1"/>
  <c r="AM18" i="71" s="1"/>
  <c r="AI17" i="71"/>
  <c r="AK17" i="71" s="1"/>
  <c r="AM17" i="71" s="1"/>
  <c r="AI16" i="71"/>
  <c r="AK16" i="71" s="1"/>
  <c r="AM16" i="71" s="1"/>
  <c r="AI15" i="71"/>
  <c r="AK15" i="71" s="1"/>
  <c r="AM15" i="71" s="1"/>
  <c r="AI14" i="71"/>
  <c r="AK14" i="71" s="1"/>
  <c r="AM14" i="71" s="1"/>
  <c r="AI13" i="71"/>
  <c r="AK13" i="71" s="1"/>
  <c r="AM13" i="71" s="1"/>
  <c r="AI12" i="71"/>
  <c r="AI11" i="71"/>
  <c r="E9" i="71"/>
  <c r="F9" i="71" s="1"/>
  <c r="G9" i="71" s="1"/>
  <c r="H9" i="71" s="1"/>
  <c r="I9" i="71" s="1"/>
  <c r="J9" i="71" s="1"/>
  <c r="K9" i="71" s="1"/>
  <c r="L9" i="71" s="1"/>
  <c r="M9" i="71" s="1"/>
  <c r="N9" i="71" s="1"/>
  <c r="O9" i="71" s="1"/>
  <c r="P9" i="71" s="1"/>
  <c r="Q9" i="71" s="1"/>
  <c r="R9" i="71" s="1"/>
  <c r="S9" i="71" s="1"/>
  <c r="T9" i="71" s="1"/>
  <c r="U9" i="71" s="1"/>
  <c r="V9" i="71" s="1"/>
  <c r="W9" i="71" s="1"/>
  <c r="X9" i="71" s="1"/>
  <c r="Y9" i="71" s="1"/>
  <c r="Z9" i="71" s="1"/>
  <c r="AA9" i="71" s="1"/>
  <c r="AB9" i="71" s="1"/>
  <c r="AC9" i="71" s="1"/>
  <c r="AD9" i="71" s="1"/>
  <c r="AE9" i="71" s="1"/>
  <c r="AF9" i="71" s="1"/>
  <c r="AG9" i="71" s="1"/>
  <c r="AH9" i="71" s="1"/>
  <c r="B5" i="71"/>
  <c r="AI256" i="71" l="1"/>
  <c r="AK256" i="71" s="1"/>
  <c r="AM256" i="71" s="1"/>
  <c r="AI232" i="71"/>
  <c r="AK232" i="71" s="1"/>
  <c r="AM232" i="71" s="1"/>
  <c r="AI156" i="71"/>
  <c r="AK156" i="71" s="1"/>
  <c r="AM156" i="71" s="1"/>
  <c r="AI268" i="71"/>
  <c r="AK268" i="71" s="1"/>
  <c r="AM268" i="71" s="1"/>
  <c r="AI235" i="71"/>
  <c r="AK235" i="71" s="1"/>
  <c r="AM235" i="71" s="1"/>
  <c r="AI257" i="71"/>
  <c r="AK257" i="71" s="1"/>
  <c r="AM257" i="71" s="1"/>
  <c r="AI872" i="71"/>
  <c r="AI165" i="71"/>
  <c r="AK165" i="71" s="1"/>
  <c r="AM165" i="71" s="1"/>
  <c r="AI240" i="71"/>
  <c r="AK240" i="71" s="1"/>
  <c r="AM240" i="71" s="1"/>
  <c r="AM834" i="71"/>
  <c r="AO834" i="71" s="1"/>
  <c r="AQ834" i="71" s="1"/>
  <c r="AI267" i="71"/>
  <c r="AK267" i="71" s="1"/>
  <c r="AM267" i="71" s="1"/>
  <c r="AI851" i="71"/>
  <c r="AI855" i="71"/>
  <c r="AI108" i="71"/>
  <c r="AK108" i="71" s="1"/>
  <c r="AM108" i="71" s="1"/>
  <c r="AI117" i="71"/>
  <c r="AK117" i="71" s="1"/>
  <c r="AM117" i="71" s="1"/>
  <c r="AI169" i="71"/>
  <c r="AK169" i="71" s="1"/>
  <c r="AM169" i="71" s="1"/>
  <c r="AM696" i="71"/>
  <c r="AO703" i="71" s="1"/>
  <c r="N695" i="71"/>
  <c r="O695" i="71" s="1"/>
  <c r="AI109" i="71"/>
  <c r="AK109" i="71" s="1"/>
  <c r="AM109" i="71" s="1"/>
  <c r="AI157" i="71"/>
  <c r="AK157" i="71" s="1"/>
  <c r="AM157" i="71" s="1"/>
  <c r="AI121" i="71"/>
  <c r="AK121" i="71" s="1"/>
  <c r="AM121" i="71" s="1"/>
  <c r="F103" i="70" l="1"/>
  <c r="F102" i="70"/>
  <c r="F101" i="70"/>
  <c r="F100" i="70"/>
  <c r="H82" i="70"/>
  <c r="F82" i="70"/>
  <c r="M81" i="70"/>
  <c r="K81" i="70"/>
  <c r="H81" i="70"/>
  <c r="F81" i="70"/>
  <c r="P81" i="70" s="1"/>
  <c r="M80" i="70"/>
  <c r="K80" i="70"/>
  <c r="L80" i="70" s="1"/>
  <c r="H80" i="70"/>
  <c r="F80" i="70"/>
  <c r="P80" i="70" s="1"/>
  <c r="M79" i="70"/>
  <c r="K79" i="70"/>
  <c r="L79" i="70" s="1"/>
  <c r="H79" i="70"/>
  <c r="F79" i="70"/>
  <c r="P79" i="70" s="1"/>
  <c r="I78" i="70"/>
  <c r="H78" i="70"/>
  <c r="F78" i="70"/>
  <c r="H77" i="70"/>
  <c r="F77" i="70"/>
  <c r="M76" i="70"/>
  <c r="K76" i="70"/>
  <c r="N76" i="70" s="1"/>
  <c r="O76" i="70" s="1"/>
  <c r="H76" i="70"/>
  <c r="F76" i="70"/>
  <c r="P76" i="70" s="1"/>
  <c r="M75" i="70"/>
  <c r="K75" i="70"/>
  <c r="N75" i="70" s="1"/>
  <c r="O75" i="70" s="1"/>
  <c r="H75" i="70"/>
  <c r="F75" i="70"/>
  <c r="P75" i="70" s="1"/>
  <c r="I74" i="70"/>
  <c r="H74" i="70"/>
  <c r="F74" i="70"/>
  <c r="H73" i="70"/>
  <c r="F73" i="70"/>
  <c r="H72" i="70"/>
  <c r="F72" i="70"/>
  <c r="M71" i="70"/>
  <c r="K71" i="70"/>
  <c r="N71" i="70" s="1"/>
  <c r="O71" i="70" s="1"/>
  <c r="H71" i="70"/>
  <c r="F71" i="70"/>
  <c r="P71" i="70" s="1"/>
  <c r="M70" i="70"/>
  <c r="K70" i="70"/>
  <c r="N70" i="70" s="1"/>
  <c r="O70" i="70" s="1"/>
  <c r="H70" i="70"/>
  <c r="F70" i="70"/>
  <c r="P70" i="70" s="1"/>
  <c r="H69" i="70"/>
  <c r="F69" i="70"/>
  <c r="H68" i="70"/>
  <c r="F68" i="70"/>
  <c r="H67" i="70"/>
  <c r="F67" i="70"/>
  <c r="M66" i="70"/>
  <c r="K66" i="70"/>
  <c r="N66" i="70" s="1"/>
  <c r="O66" i="70" s="1"/>
  <c r="H66" i="70"/>
  <c r="F66" i="70"/>
  <c r="P66" i="70" s="1"/>
  <c r="H65" i="70"/>
  <c r="F65" i="70"/>
  <c r="M64" i="70"/>
  <c r="K64" i="70"/>
  <c r="N64" i="70" s="1"/>
  <c r="O64" i="70" s="1"/>
  <c r="H64" i="70"/>
  <c r="F64" i="70"/>
  <c r="P64" i="70" s="1"/>
  <c r="M63" i="70"/>
  <c r="K63" i="70"/>
  <c r="N63" i="70" s="1"/>
  <c r="O63" i="70" s="1"/>
  <c r="H63" i="70"/>
  <c r="F63" i="70"/>
  <c r="P63" i="70" s="1"/>
  <c r="H62" i="70"/>
  <c r="F62" i="70"/>
  <c r="M61" i="70"/>
  <c r="K61" i="70"/>
  <c r="L61" i="70" s="1"/>
  <c r="H61" i="70"/>
  <c r="F61" i="70"/>
  <c r="P61" i="70" s="1"/>
  <c r="H60" i="70"/>
  <c r="F60" i="70"/>
  <c r="M59" i="70"/>
  <c r="K59" i="70"/>
  <c r="L59" i="70" s="1"/>
  <c r="H59" i="70"/>
  <c r="F59" i="70"/>
  <c r="P59" i="70" s="1"/>
  <c r="M58" i="70"/>
  <c r="K58" i="70"/>
  <c r="L58" i="70" s="1"/>
  <c r="H58" i="70"/>
  <c r="F58" i="70"/>
  <c r="P58" i="70" s="1"/>
  <c r="H57" i="70"/>
  <c r="F57" i="70"/>
  <c r="M56" i="70"/>
  <c r="H56" i="70"/>
  <c r="F56" i="70"/>
  <c r="P56" i="70" s="1"/>
  <c r="H55" i="70"/>
  <c r="F55" i="70"/>
  <c r="M54" i="70"/>
  <c r="K54" i="70"/>
  <c r="N54" i="70" s="1"/>
  <c r="O54" i="70" s="1"/>
  <c r="H54" i="70"/>
  <c r="F54" i="70"/>
  <c r="P54" i="70" s="1"/>
  <c r="H53" i="70"/>
  <c r="F53" i="70"/>
  <c r="H52" i="70"/>
  <c r="F52" i="70"/>
  <c r="M51" i="70"/>
  <c r="K51" i="70"/>
  <c r="L51" i="70" s="1"/>
  <c r="H51" i="70"/>
  <c r="F51" i="70"/>
  <c r="P51" i="70" s="1"/>
  <c r="H50" i="70"/>
  <c r="F50" i="70"/>
  <c r="H49" i="70"/>
  <c r="F49" i="70"/>
  <c r="H47" i="70"/>
  <c r="F47" i="70"/>
  <c r="H46" i="70"/>
  <c r="F46" i="70"/>
  <c r="M45" i="70"/>
  <c r="K45" i="70"/>
  <c r="H45" i="70"/>
  <c r="F45" i="70"/>
  <c r="P45" i="70" s="1"/>
  <c r="M44" i="70"/>
  <c r="K44" i="70"/>
  <c r="L44" i="70" s="1"/>
  <c r="H44" i="70"/>
  <c r="F44" i="70"/>
  <c r="P44" i="70" s="1"/>
  <c r="M43" i="70"/>
  <c r="K43" i="70"/>
  <c r="L43" i="70" s="1"/>
  <c r="H43" i="70"/>
  <c r="F43" i="70"/>
  <c r="P43" i="70" s="1"/>
  <c r="H42" i="70"/>
  <c r="F42" i="70"/>
  <c r="M41" i="70"/>
  <c r="K41" i="70"/>
  <c r="L41" i="70" s="1"/>
  <c r="H41" i="70"/>
  <c r="F41" i="70"/>
  <c r="P41" i="70" s="1"/>
  <c r="H40" i="70"/>
  <c r="F40" i="70"/>
  <c r="M39" i="70"/>
  <c r="K39" i="70"/>
  <c r="H39" i="70"/>
  <c r="F39" i="70"/>
  <c r="P39" i="70" s="1"/>
  <c r="H38" i="70"/>
  <c r="F38" i="70"/>
  <c r="H37" i="70"/>
  <c r="F37" i="70"/>
  <c r="M36" i="70"/>
  <c r="K36" i="70"/>
  <c r="N36" i="70" s="1"/>
  <c r="O36" i="70" s="1"/>
  <c r="H36" i="70"/>
  <c r="F36" i="70"/>
  <c r="P36" i="70" s="1"/>
  <c r="H35" i="70"/>
  <c r="F35" i="70"/>
  <c r="H34" i="70"/>
  <c r="F34" i="70"/>
  <c r="M33" i="70"/>
  <c r="K33" i="70"/>
  <c r="H33" i="70"/>
  <c r="F33" i="70"/>
  <c r="P33" i="70" s="1"/>
  <c r="H32" i="70"/>
  <c r="F32" i="70"/>
  <c r="H31" i="70"/>
  <c r="F31" i="70"/>
  <c r="M30" i="70"/>
  <c r="K30" i="70"/>
  <c r="N30" i="70" s="1"/>
  <c r="O30" i="70" s="1"/>
  <c r="H30" i="70"/>
  <c r="F30" i="70"/>
  <c r="P30" i="70" s="1"/>
  <c r="M29" i="70"/>
  <c r="K29" i="70"/>
  <c r="N29" i="70" s="1"/>
  <c r="O29" i="70" s="1"/>
  <c r="H29" i="70"/>
  <c r="F29" i="70"/>
  <c r="P29" i="70" s="1"/>
  <c r="M28" i="70"/>
  <c r="K28" i="70"/>
  <c r="N28" i="70" s="1"/>
  <c r="O28" i="70" s="1"/>
  <c r="H28" i="70"/>
  <c r="F28" i="70"/>
  <c r="P28" i="70" s="1"/>
  <c r="M27" i="70"/>
  <c r="K27" i="70"/>
  <c r="H27" i="70"/>
  <c r="F27" i="70"/>
  <c r="P27" i="70" s="1"/>
  <c r="P26" i="70"/>
  <c r="M26" i="70"/>
  <c r="K26" i="70"/>
  <c r="L26" i="70" s="1"/>
  <c r="H26" i="70"/>
  <c r="H25" i="70"/>
  <c r="F25" i="70"/>
  <c r="H24" i="70"/>
  <c r="F24" i="70"/>
  <c r="H23" i="70"/>
  <c r="F23" i="70"/>
  <c r="H22" i="70"/>
  <c r="F22" i="70"/>
  <c r="H21" i="70"/>
  <c r="F21" i="70"/>
  <c r="H20" i="70"/>
  <c r="F20" i="70"/>
  <c r="M19" i="70"/>
  <c r="K19" i="70"/>
  <c r="H19" i="70"/>
  <c r="F19" i="70"/>
  <c r="P19" i="70" s="1"/>
  <c r="H18" i="70"/>
  <c r="F18" i="70"/>
  <c r="H17" i="70"/>
  <c r="F17" i="70"/>
  <c r="H16" i="70"/>
  <c r="F16" i="70"/>
  <c r="M15" i="70"/>
  <c r="N16" i="85" l="1"/>
  <c r="G17" i="85" s="1"/>
  <c r="H17" i="85" s="1"/>
  <c r="I17" i="85" s="1"/>
  <c r="K78" i="70"/>
  <c r="L78" i="70" s="1"/>
  <c r="M78" i="70" s="1"/>
  <c r="K74" i="70"/>
  <c r="L74" i="70" s="1"/>
  <c r="M74" i="70" s="1"/>
  <c r="N80" i="70"/>
  <c r="O80" i="70" s="1"/>
  <c r="L75" i="70"/>
  <c r="N41" i="70"/>
  <c r="O41" i="70" s="1"/>
  <c r="N43" i="70"/>
  <c r="O43" i="70" s="1"/>
  <c r="N44" i="70"/>
  <c r="O44" i="70" s="1"/>
  <c r="L36" i="70"/>
  <c r="N79" i="70"/>
  <c r="O79" i="70" s="1"/>
  <c r="H83" i="70"/>
  <c r="H86" i="70" s="1"/>
  <c r="L28" i="70"/>
  <c r="L76" i="70"/>
  <c r="N27" i="70"/>
  <c r="O27" i="70" s="1"/>
  <c r="L27" i="70"/>
  <c r="N39" i="70"/>
  <c r="O39" i="70" s="1"/>
  <c r="L39" i="70"/>
  <c r="N45" i="70"/>
  <c r="O45" i="70" s="1"/>
  <c r="L45" i="70"/>
  <c r="L19" i="70"/>
  <c r="N19" i="70"/>
  <c r="O19" i="70" s="1"/>
  <c r="N33" i="70"/>
  <c r="O33" i="70" s="1"/>
  <c r="L33" i="70"/>
  <c r="L81" i="70"/>
  <c r="N81" i="70"/>
  <c r="O81" i="70" s="1"/>
  <c r="F83" i="70"/>
  <c r="N26" i="70"/>
  <c r="O26" i="70" s="1"/>
  <c r="L54" i="70"/>
  <c r="L29" i="70"/>
  <c r="L30" i="70"/>
  <c r="N51" i="70"/>
  <c r="O51" i="70" s="1"/>
  <c r="N58" i="70"/>
  <c r="O58" i="70" s="1"/>
  <c r="N59" i="70"/>
  <c r="O59" i="70" s="1"/>
  <c r="N61" i="70"/>
  <c r="O61" i="70" s="1"/>
  <c r="L63" i="70"/>
  <c r="L64" i="70"/>
  <c r="L66" i="70"/>
  <c r="L70" i="70"/>
  <c r="L71" i="70"/>
  <c r="J74" i="70"/>
  <c r="J78" i="70"/>
  <c r="H88" i="70" l="1"/>
  <c r="J17" i="85"/>
  <c r="K17" i="85" s="1"/>
  <c r="N78" i="70"/>
  <c r="O78" i="70" s="1"/>
  <c r="P78" i="70" s="1"/>
  <c r="N74" i="70"/>
  <c r="O74" i="70" s="1"/>
  <c r="P74" i="70" s="1"/>
  <c r="G112" i="70"/>
  <c r="H112" i="70"/>
  <c r="I83" i="70"/>
  <c r="H85" i="70"/>
  <c r="H84" i="70"/>
  <c r="H87" i="70"/>
  <c r="F99" i="70"/>
  <c r="F87" i="70"/>
  <c r="O87" i="70" s="1"/>
  <c r="F85" i="70"/>
  <c r="O85" i="70" s="1"/>
  <c r="F88" i="70"/>
  <c r="O88" i="70" s="1"/>
  <c r="F86" i="70"/>
  <c r="F84" i="70"/>
  <c r="H97" i="70"/>
  <c r="H89" i="70" l="1"/>
  <c r="H94" i="70" s="1"/>
  <c r="F89" i="70"/>
  <c r="F94" i="70" s="1"/>
  <c r="I94" i="70" l="1"/>
  <c r="I16" i="70" l="1"/>
  <c r="I68" i="70"/>
  <c r="I62" i="70"/>
  <c r="I22" i="70"/>
  <c r="I17" i="70"/>
  <c r="I82" i="70"/>
  <c r="I77" i="70"/>
  <c r="I67" i="70"/>
  <c r="I56" i="70"/>
  <c r="I38" i="70"/>
  <c r="I25" i="70"/>
  <c r="I21" i="70"/>
  <c r="I73" i="70"/>
  <c r="I55" i="70"/>
  <c r="I53" i="70"/>
  <c r="I50" i="70"/>
  <c r="I47" i="70"/>
  <c r="I40" i="70"/>
  <c r="I37" i="70"/>
  <c r="I32" i="70"/>
  <c r="I24" i="70"/>
  <c r="I20" i="70"/>
  <c r="I72" i="70"/>
  <c r="I69" i="70"/>
  <c r="I65" i="70"/>
  <c r="I60" i="70"/>
  <c r="I57" i="70"/>
  <c r="I52" i="70"/>
  <c r="I49" i="70"/>
  <c r="I46" i="70"/>
  <c r="I42" i="70"/>
  <c r="I34" i="70"/>
  <c r="I31" i="70"/>
  <c r="I23" i="70"/>
  <c r="I18" i="70"/>
  <c r="I35" i="70"/>
  <c r="J23" i="70" l="1"/>
  <c r="K23" i="70"/>
  <c r="J34" i="70"/>
  <c r="K34" i="70"/>
  <c r="J49" i="70"/>
  <c r="K49" i="70"/>
  <c r="K65" i="70"/>
  <c r="J65" i="70"/>
  <c r="K24" i="70"/>
  <c r="J24" i="70"/>
  <c r="K40" i="70"/>
  <c r="J40" i="70"/>
  <c r="J53" i="70"/>
  <c r="K53" i="70"/>
  <c r="K38" i="70"/>
  <c r="J38" i="70"/>
  <c r="J56" i="70"/>
  <c r="K56" i="70"/>
  <c r="K16" i="70"/>
  <c r="J16" i="70"/>
  <c r="J57" i="70"/>
  <c r="K57" i="70"/>
  <c r="K72" i="70"/>
  <c r="J72" i="70"/>
  <c r="K32" i="70"/>
  <c r="J32" i="70"/>
  <c r="K47" i="70"/>
  <c r="J47" i="70"/>
  <c r="J73" i="70"/>
  <c r="K73" i="70"/>
  <c r="K25" i="70"/>
  <c r="J25" i="70"/>
  <c r="J77" i="70"/>
  <c r="K77" i="70"/>
  <c r="K22" i="70"/>
  <c r="J22" i="70"/>
  <c r="J62" i="70"/>
  <c r="K62" i="70"/>
  <c r="J18" i="70"/>
  <c r="K18" i="70"/>
  <c r="K31" i="70"/>
  <c r="J31" i="70"/>
  <c r="K42" i="70"/>
  <c r="J42" i="70"/>
  <c r="K46" i="70"/>
  <c r="J46" i="70"/>
  <c r="J52" i="70"/>
  <c r="K52" i="70"/>
  <c r="J60" i="70"/>
  <c r="K60" i="70"/>
  <c r="K69" i="70"/>
  <c r="J69" i="70"/>
  <c r="K20" i="70"/>
  <c r="J20" i="70"/>
  <c r="K37" i="70"/>
  <c r="J37" i="70"/>
  <c r="K50" i="70"/>
  <c r="J50" i="70"/>
  <c r="J55" i="70"/>
  <c r="K55" i="70"/>
  <c r="K21" i="70"/>
  <c r="J21" i="70"/>
  <c r="K67" i="70"/>
  <c r="J67" i="70"/>
  <c r="J82" i="70"/>
  <c r="K82" i="70"/>
  <c r="K17" i="70"/>
  <c r="J17" i="70"/>
  <c r="J68" i="70"/>
  <c r="K68" i="70"/>
  <c r="K35" i="70"/>
  <c r="J35" i="70"/>
  <c r="G40" i="85" l="1"/>
  <c r="H40" i="85" s="1"/>
  <c r="N14" i="85"/>
  <c r="G14" i="85" s="1"/>
  <c r="N15" i="85"/>
  <c r="G16" i="85" s="1"/>
  <c r="H16" i="85" s="1"/>
  <c r="J83" i="70"/>
  <c r="K83" i="70" s="1"/>
  <c r="N17" i="70"/>
  <c r="O17" i="70" s="1"/>
  <c r="P17" i="70" s="1"/>
  <c r="L17" i="70"/>
  <c r="M17" i="70" s="1"/>
  <c r="L42" i="70"/>
  <c r="M42" i="70" s="1"/>
  <c r="N42" i="70"/>
  <c r="O42" i="70" s="1"/>
  <c r="P42" i="70" s="1"/>
  <c r="L31" i="70"/>
  <c r="M31" i="70" s="1"/>
  <c r="N31" i="70"/>
  <c r="O31" i="70" s="1"/>
  <c r="P31" i="70" s="1"/>
  <c r="N62" i="70"/>
  <c r="O62" i="70" s="1"/>
  <c r="P62" i="70" s="1"/>
  <c r="L62" i="70"/>
  <c r="M62" i="70" s="1"/>
  <c r="N22" i="70"/>
  <c r="O22" i="70" s="1"/>
  <c r="P22" i="70" s="1"/>
  <c r="L22" i="70"/>
  <c r="M22" i="70" s="1"/>
  <c r="N73" i="70"/>
  <c r="O73" i="70" s="1"/>
  <c r="P73" i="70" s="1"/>
  <c r="L73" i="70"/>
  <c r="M73" i="70" s="1"/>
  <c r="L57" i="70"/>
  <c r="M57" i="70" s="1"/>
  <c r="N57" i="70"/>
  <c r="O57" i="70" s="1"/>
  <c r="P57" i="70" s="1"/>
  <c r="L23" i="70"/>
  <c r="M23" i="70" s="1"/>
  <c r="N23" i="70"/>
  <c r="O23" i="70" s="1"/>
  <c r="P23" i="70" s="1"/>
  <c r="N69" i="70"/>
  <c r="O69" i="70" s="1"/>
  <c r="P69" i="70" s="1"/>
  <c r="L69" i="70"/>
  <c r="M69" i="70" s="1"/>
  <c r="L52" i="70"/>
  <c r="M52" i="70" s="1"/>
  <c r="N52" i="70"/>
  <c r="O52" i="70" s="1"/>
  <c r="P52" i="70" s="1"/>
  <c r="L18" i="70"/>
  <c r="M18" i="70" s="1"/>
  <c r="N18" i="70"/>
  <c r="O18" i="70" s="1"/>
  <c r="P18" i="70" s="1"/>
  <c r="L47" i="70"/>
  <c r="M47" i="70" s="1"/>
  <c r="N47" i="70"/>
  <c r="O47" i="70" s="1"/>
  <c r="P47" i="70" s="1"/>
  <c r="L56" i="70"/>
  <c r="N56" i="70"/>
  <c r="O56" i="70" s="1"/>
  <c r="N38" i="70"/>
  <c r="O38" i="70" s="1"/>
  <c r="P38" i="70" s="1"/>
  <c r="L38" i="70"/>
  <c r="M38" i="70" s="1"/>
  <c r="L65" i="70"/>
  <c r="M65" i="70" s="1"/>
  <c r="N65" i="70"/>
  <c r="O65" i="70" s="1"/>
  <c r="P65" i="70" s="1"/>
  <c r="N34" i="70"/>
  <c r="O34" i="70" s="1"/>
  <c r="P34" i="70" s="1"/>
  <c r="L34" i="70"/>
  <c r="M34" i="70" s="1"/>
  <c r="N68" i="70"/>
  <c r="O68" i="70" s="1"/>
  <c r="P68" i="70" s="1"/>
  <c r="L68" i="70"/>
  <c r="M68" i="70" s="1"/>
  <c r="L82" i="70"/>
  <c r="M82" i="70" s="1"/>
  <c r="N82" i="70"/>
  <c r="O82" i="70" s="1"/>
  <c r="P82" i="70" s="1"/>
  <c r="N21" i="70"/>
  <c r="O21" i="70" s="1"/>
  <c r="P21" i="70" s="1"/>
  <c r="L21" i="70"/>
  <c r="M21" i="70" s="1"/>
  <c r="L20" i="70"/>
  <c r="M20" i="70" s="1"/>
  <c r="N20" i="70"/>
  <c r="O20" i="70" s="1"/>
  <c r="P20" i="70" s="1"/>
  <c r="N60" i="70"/>
  <c r="O60" i="70" s="1"/>
  <c r="P60" i="70" s="1"/>
  <c r="L60" i="70"/>
  <c r="M60" i="70" s="1"/>
  <c r="N46" i="70"/>
  <c r="O46" i="70" s="1"/>
  <c r="P46" i="70" s="1"/>
  <c r="L46" i="70"/>
  <c r="M46" i="70" s="1"/>
  <c r="N77" i="70"/>
  <c r="O77" i="70" s="1"/>
  <c r="P77" i="70" s="1"/>
  <c r="L77" i="70"/>
  <c r="M77" i="70" s="1"/>
  <c r="N16" i="70"/>
  <c r="O16" i="70" s="1"/>
  <c r="P16" i="70" s="1"/>
  <c r="L16" i="70"/>
  <c r="M16" i="70" s="1"/>
  <c r="L53" i="70"/>
  <c r="M53" i="70" s="1"/>
  <c r="N53" i="70"/>
  <c r="O53" i="70" s="1"/>
  <c r="P53" i="70" s="1"/>
  <c r="N24" i="70"/>
  <c r="O24" i="70" s="1"/>
  <c r="P24" i="70" s="1"/>
  <c r="L24" i="70"/>
  <c r="M24" i="70" s="1"/>
  <c r="N49" i="70"/>
  <c r="O49" i="70" s="1"/>
  <c r="P49" i="70" s="1"/>
  <c r="L49" i="70"/>
  <c r="M49" i="70" s="1"/>
  <c r="L67" i="70"/>
  <c r="M67" i="70" s="1"/>
  <c r="N67" i="70"/>
  <c r="O67" i="70" s="1"/>
  <c r="P67" i="70" s="1"/>
  <c r="N55" i="70"/>
  <c r="O55" i="70" s="1"/>
  <c r="P55" i="70" s="1"/>
  <c r="L55" i="70"/>
  <c r="M55" i="70" s="1"/>
  <c r="L50" i="70"/>
  <c r="M50" i="70" s="1"/>
  <c r="N50" i="70"/>
  <c r="O50" i="70" s="1"/>
  <c r="P50" i="70" s="1"/>
  <c r="L37" i="70"/>
  <c r="M37" i="70" s="1"/>
  <c r="N37" i="70"/>
  <c r="O37" i="70" s="1"/>
  <c r="P37" i="70" s="1"/>
  <c r="N25" i="70"/>
  <c r="O25" i="70" s="1"/>
  <c r="P25" i="70" s="1"/>
  <c r="L25" i="70"/>
  <c r="M25" i="70" s="1"/>
  <c r="N32" i="70"/>
  <c r="O32" i="70" s="1"/>
  <c r="P32" i="70" s="1"/>
  <c r="L32" i="70"/>
  <c r="M32" i="70" s="1"/>
  <c r="N72" i="70"/>
  <c r="O72" i="70" s="1"/>
  <c r="P72" i="70" s="1"/>
  <c r="L72" i="70"/>
  <c r="M72" i="70" s="1"/>
  <c r="L40" i="70"/>
  <c r="M40" i="70" s="1"/>
  <c r="N40" i="70"/>
  <c r="O40" i="70" s="1"/>
  <c r="P40" i="70" s="1"/>
  <c r="L35" i="70"/>
  <c r="N35" i="70"/>
  <c r="O35" i="70" s="1"/>
  <c r="I16" i="85" l="1"/>
  <c r="J16" i="85"/>
  <c r="K16" i="85" s="1"/>
  <c r="G20" i="85"/>
  <c r="H14" i="85"/>
  <c r="I40" i="85"/>
  <c r="J40" i="85"/>
  <c r="J86" i="70"/>
  <c r="J97" i="70"/>
  <c r="J84" i="70"/>
  <c r="P35" i="70"/>
  <c r="O83" i="70"/>
  <c r="M35" i="70"/>
  <c r="L83" i="70"/>
  <c r="K40" i="85" l="1"/>
  <c r="J14" i="85"/>
  <c r="H20" i="85"/>
  <c r="I14" i="85"/>
  <c r="G25" i="85"/>
  <c r="G22" i="85"/>
  <c r="G21" i="85"/>
  <c r="G24" i="85"/>
  <c r="G23" i="85"/>
  <c r="J89" i="70"/>
  <c r="J94" i="70" s="1"/>
  <c r="K94" i="70" s="1"/>
  <c r="M97" i="70"/>
  <c r="L86" i="70"/>
  <c r="O86" i="70" s="1"/>
  <c r="M83" i="70"/>
  <c r="L84" i="70"/>
  <c r="O84" i="70" s="1"/>
  <c r="P97" i="70"/>
  <c r="P83" i="70"/>
  <c r="R83" i="70"/>
  <c r="I20" i="85" l="1"/>
  <c r="H21" i="85"/>
  <c r="J21" i="85" s="1"/>
  <c r="K21" i="85" s="1"/>
  <c r="H22" i="85"/>
  <c r="J22" i="85" s="1"/>
  <c r="K22" i="85" s="1"/>
  <c r="H23" i="85"/>
  <c r="J23" i="85" s="1"/>
  <c r="K23" i="85" s="1"/>
  <c r="H24" i="85"/>
  <c r="J24" i="85" s="1"/>
  <c r="K24" i="85" s="1"/>
  <c r="H25" i="85"/>
  <c r="J25" i="85" s="1"/>
  <c r="K25" i="85" s="1"/>
  <c r="J20" i="85"/>
  <c r="K14" i="85"/>
  <c r="G26" i="85"/>
  <c r="G31" i="85" s="1"/>
  <c r="O89" i="70"/>
  <c r="O94" i="70" s="1"/>
  <c r="P94" i="70" s="1"/>
  <c r="L89" i="70"/>
  <c r="L94" i="70" s="1"/>
  <c r="J26" i="85" l="1"/>
  <c r="K20" i="85"/>
  <c r="H26" i="85"/>
  <c r="H31" i="85" s="1"/>
  <c r="I31" i="85" s="1"/>
  <c r="M94" i="70"/>
  <c r="O111" i="70"/>
  <c r="O112" i="70" s="1"/>
  <c r="J31" i="85" l="1"/>
  <c r="K31" i="85" s="1"/>
  <c r="K26" i="85"/>
  <c r="L686" i="64" l="1"/>
  <c r="AI686" i="64" s="1"/>
  <c r="AJ686" i="64" s="1"/>
  <c r="AL680" i="64"/>
  <c r="AM680" i="64" s="1"/>
  <c r="AI679" i="64"/>
  <c r="AK679" i="64" s="1"/>
  <c r="AM679" i="64" s="1"/>
  <c r="AI678" i="64"/>
  <c r="AK678" i="64" s="1"/>
  <c r="AM678" i="64" s="1"/>
  <c r="AI677" i="64"/>
  <c r="AK677" i="64" s="1"/>
  <c r="AM677" i="64" s="1"/>
  <c r="AI676" i="64"/>
  <c r="AK676" i="64" s="1"/>
  <c r="AM676" i="64" s="1"/>
  <c r="AI675" i="64"/>
  <c r="AK675" i="64" s="1"/>
  <c r="AM675" i="64" s="1"/>
  <c r="AI674" i="64"/>
  <c r="AK674" i="64" s="1"/>
  <c r="AM674" i="64" s="1"/>
  <c r="AI673" i="64"/>
  <c r="AK673" i="64" s="1"/>
  <c r="AM673" i="64" s="1"/>
  <c r="AI672" i="64"/>
  <c r="AK672" i="64" s="1"/>
  <c r="AM672" i="64" s="1"/>
  <c r="AI671" i="64"/>
  <c r="AK671" i="64" s="1"/>
  <c r="AM671" i="64" s="1"/>
  <c r="AI670" i="64"/>
  <c r="AK670" i="64" s="1"/>
  <c r="AM670" i="64" s="1"/>
  <c r="AI669" i="64"/>
  <c r="AK669" i="64" s="1"/>
  <c r="AM669" i="64" s="1"/>
  <c r="AI668" i="64"/>
  <c r="AK668" i="64" s="1"/>
  <c r="AM668" i="64" s="1"/>
  <c r="AI667" i="64"/>
  <c r="AK667" i="64" s="1"/>
  <c r="AM667" i="64" s="1"/>
  <c r="AI666" i="64"/>
  <c r="AK666" i="64" s="1"/>
  <c r="AM666" i="64" s="1"/>
  <c r="AI665" i="64"/>
  <c r="AK665" i="64" s="1"/>
  <c r="AM665" i="64" s="1"/>
  <c r="AI664" i="64"/>
  <c r="AK664" i="64" s="1"/>
  <c r="AM664" i="64" s="1"/>
  <c r="AI663" i="64"/>
  <c r="AK663" i="64" s="1"/>
  <c r="AM663" i="64" s="1"/>
  <c r="AI662" i="64"/>
  <c r="AK662" i="64" s="1"/>
  <c r="AM662" i="64" s="1"/>
  <c r="AI661" i="64"/>
  <c r="AK661" i="64" s="1"/>
  <c r="AM661" i="64" s="1"/>
  <c r="AI660" i="64"/>
  <c r="AK660" i="64" s="1"/>
  <c r="AM660" i="64" s="1"/>
  <c r="AI659" i="64"/>
  <c r="AK659" i="64" s="1"/>
  <c r="AM659" i="64" s="1"/>
  <c r="AI658" i="64"/>
  <c r="AK658" i="64" s="1"/>
  <c r="AM658" i="64" s="1"/>
  <c r="AI657" i="64"/>
  <c r="AK657" i="64" s="1"/>
  <c r="AM657" i="64" s="1"/>
  <c r="AI656" i="64"/>
  <c r="AK656" i="64" s="1"/>
  <c r="AM656" i="64" s="1"/>
  <c r="AI655" i="64"/>
  <c r="AK655" i="64" s="1"/>
  <c r="AM655" i="64" s="1"/>
  <c r="AI654" i="64"/>
  <c r="AK654" i="64" s="1"/>
  <c r="AM654" i="64" s="1"/>
  <c r="AI653" i="64"/>
  <c r="AK653" i="64" s="1"/>
  <c r="AM653" i="64" s="1"/>
  <c r="AI652" i="64"/>
  <c r="AK652" i="64" s="1"/>
  <c r="AM652" i="64" s="1"/>
  <c r="AI651" i="64"/>
  <c r="AK651" i="64" s="1"/>
  <c r="AM651" i="64" s="1"/>
  <c r="AI650" i="64"/>
  <c r="AK650" i="64" s="1"/>
  <c r="AM650" i="64" s="1"/>
  <c r="AI649" i="64"/>
  <c r="AK649" i="64" s="1"/>
  <c r="AM649" i="64" s="1"/>
  <c r="AI648" i="64"/>
  <c r="AK648" i="64" s="1"/>
  <c r="AM648" i="64" s="1"/>
  <c r="AI647" i="64"/>
  <c r="AK647" i="64" s="1"/>
  <c r="AM647" i="64" s="1"/>
  <c r="AI646" i="64"/>
  <c r="AK646" i="64" s="1"/>
  <c r="AM646" i="64" s="1"/>
  <c r="AI645" i="64"/>
  <c r="AK645" i="64" s="1"/>
  <c r="AM645" i="64" s="1"/>
  <c r="AI644" i="64"/>
  <c r="AK644" i="64" s="1"/>
  <c r="AM644" i="64" s="1"/>
  <c r="AI643" i="64"/>
  <c r="AK643" i="64" s="1"/>
  <c r="AM643" i="64" s="1"/>
  <c r="AI642" i="64"/>
  <c r="AK642" i="64" s="1"/>
  <c r="AM642" i="64" s="1"/>
  <c r="AI641" i="64"/>
  <c r="AK641" i="64" s="1"/>
  <c r="AM641" i="64" s="1"/>
  <c r="AI640" i="64"/>
  <c r="AK640" i="64" s="1"/>
  <c r="AM640" i="64" s="1"/>
  <c r="AI639" i="64"/>
  <c r="AK639" i="64" s="1"/>
  <c r="AM639" i="64" s="1"/>
  <c r="AI638" i="64"/>
  <c r="AK638" i="64" s="1"/>
  <c r="AM638" i="64" s="1"/>
  <c r="AI637" i="64"/>
  <c r="AK637" i="64" s="1"/>
  <c r="AM637" i="64" s="1"/>
  <c r="AI636" i="64"/>
  <c r="AK636" i="64" s="1"/>
  <c r="AM636" i="64" s="1"/>
  <c r="AI635" i="64"/>
  <c r="AK635" i="64" s="1"/>
  <c r="AM635" i="64" s="1"/>
  <c r="AI634" i="64"/>
  <c r="AK634" i="64" s="1"/>
  <c r="AM634" i="64" s="1"/>
  <c r="AI633" i="64"/>
  <c r="AK633" i="64" s="1"/>
  <c r="AM633" i="64" s="1"/>
  <c r="AI632" i="64"/>
  <c r="AK632" i="64" s="1"/>
  <c r="AM632" i="64" s="1"/>
  <c r="AI631" i="64"/>
  <c r="AK631" i="64" s="1"/>
  <c r="AM631" i="64" s="1"/>
  <c r="AI630" i="64"/>
  <c r="AK630" i="64" s="1"/>
  <c r="AM630" i="64" s="1"/>
  <c r="AI629" i="64"/>
  <c r="AK629" i="64" s="1"/>
  <c r="AM629" i="64" s="1"/>
  <c r="AI628" i="64"/>
  <c r="AK628" i="64" s="1"/>
  <c r="AM628" i="64" s="1"/>
  <c r="AI627" i="64"/>
  <c r="AK627" i="64" s="1"/>
  <c r="AM627" i="64" s="1"/>
  <c r="AI626" i="64"/>
  <c r="AK626" i="64" s="1"/>
  <c r="AM626" i="64" s="1"/>
  <c r="AI625" i="64"/>
  <c r="AK625" i="64" s="1"/>
  <c r="AM625" i="64" s="1"/>
  <c r="AI624" i="64"/>
  <c r="AK624" i="64" s="1"/>
  <c r="AM624" i="64" s="1"/>
  <c r="AI623" i="64"/>
  <c r="AK623" i="64" s="1"/>
  <c r="AM623" i="64" s="1"/>
  <c r="AI622" i="64"/>
  <c r="AK622" i="64" s="1"/>
  <c r="AM622" i="64" s="1"/>
  <c r="AI621" i="64"/>
  <c r="AK621" i="64" s="1"/>
  <c r="AM621" i="64" s="1"/>
  <c r="AI620" i="64"/>
  <c r="AK620" i="64" s="1"/>
  <c r="AM620" i="64" s="1"/>
  <c r="AI619" i="64"/>
  <c r="AK619" i="64" s="1"/>
  <c r="AM619" i="64" s="1"/>
  <c r="AI618" i="64"/>
  <c r="AK618" i="64" s="1"/>
  <c r="AM618" i="64" s="1"/>
  <c r="AI617" i="64"/>
  <c r="AK617" i="64" s="1"/>
  <c r="AM617" i="64" s="1"/>
  <c r="AI616" i="64"/>
  <c r="AK616" i="64" s="1"/>
  <c r="AM616" i="64" s="1"/>
  <c r="AI615" i="64"/>
  <c r="AK615" i="64" s="1"/>
  <c r="AM615" i="64" s="1"/>
  <c r="AI614" i="64"/>
  <c r="AK614" i="64" s="1"/>
  <c r="AM614" i="64" s="1"/>
  <c r="AI613" i="64"/>
  <c r="AK613" i="64" s="1"/>
  <c r="AM613" i="64" s="1"/>
  <c r="AI612" i="64"/>
  <c r="AK612" i="64" s="1"/>
  <c r="AM612" i="64" s="1"/>
  <c r="AI611" i="64"/>
  <c r="AK611" i="64" s="1"/>
  <c r="AM611" i="64" s="1"/>
  <c r="AI610" i="64"/>
  <c r="AK610" i="64" s="1"/>
  <c r="AM610" i="64" s="1"/>
  <c r="AI609" i="64"/>
  <c r="AK609" i="64" s="1"/>
  <c r="AM609" i="64" s="1"/>
  <c r="AI608" i="64"/>
  <c r="AK608" i="64" s="1"/>
  <c r="AM608" i="64" s="1"/>
  <c r="AI607" i="64"/>
  <c r="AK607" i="64" s="1"/>
  <c r="AM607" i="64" s="1"/>
  <c r="AI606" i="64"/>
  <c r="AK606" i="64" s="1"/>
  <c r="AM606" i="64" s="1"/>
  <c r="AI605" i="64"/>
  <c r="AK605" i="64" s="1"/>
  <c r="AM605" i="64" s="1"/>
  <c r="AI604" i="64"/>
  <c r="AK604" i="64" s="1"/>
  <c r="AM604" i="64" s="1"/>
  <c r="AI603" i="64"/>
  <c r="AK603" i="64" s="1"/>
  <c r="AM603" i="64" s="1"/>
  <c r="AI602" i="64"/>
  <c r="AK602" i="64" s="1"/>
  <c r="AM602" i="64" s="1"/>
  <c r="AI601" i="64"/>
  <c r="AK601" i="64" s="1"/>
  <c r="AM601" i="64" s="1"/>
  <c r="AI600" i="64"/>
  <c r="AK600" i="64" s="1"/>
  <c r="AM600" i="64" s="1"/>
  <c r="AI599" i="64"/>
  <c r="AK599" i="64" s="1"/>
  <c r="AM599" i="64" s="1"/>
  <c r="AI598" i="64"/>
  <c r="AK598" i="64" s="1"/>
  <c r="AM598" i="64" s="1"/>
  <c r="AI597" i="64"/>
  <c r="AK597" i="64" s="1"/>
  <c r="AM597" i="64" s="1"/>
  <c r="AI596" i="64"/>
  <c r="AK596" i="64" s="1"/>
  <c r="AM596" i="64" s="1"/>
  <c r="AI595" i="64"/>
  <c r="AK595" i="64" s="1"/>
  <c r="AM595" i="64" s="1"/>
  <c r="AI594" i="64"/>
  <c r="AK594" i="64" s="1"/>
  <c r="AM594" i="64" s="1"/>
  <c r="AI593" i="64"/>
  <c r="AK593" i="64" s="1"/>
  <c r="AM593" i="64" s="1"/>
  <c r="AI592" i="64"/>
  <c r="AK592" i="64" s="1"/>
  <c r="AM592" i="64" s="1"/>
  <c r="AI591" i="64"/>
  <c r="AK591" i="64" s="1"/>
  <c r="AM591" i="64" s="1"/>
  <c r="AI590" i="64"/>
  <c r="AK590" i="64" s="1"/>
  <c r="AM590" i="64" s="1"/>
  <c r="AI589" i="64"/>
  <c r="AK589" i="64" s="1"/>
  <c r="AM589" i="64" s="1"/>
  <c r="AI588" i="64"/>
  <c r="AK588" i="64" s="1"/>
  <c r="AM588" i="64" s="1"/>
  <c r="AI587" i="64"/>
  <c r="AK587" i="64" s="1"/>
  <c r="AM587" i="64" s="1"/>
  <c r="AI586" i="64"/>
  <c r="AK586" i="64" s="1"/>
  <c r="AM586" i="64" s="1"/>
  <c r="AI585" i="64"/>
  <c r="AK585" i="64" s="1"/>
  <c r="AM585" i="64" s="1"/>
  <c r="AI584" i="64"/>
  <c r="AK584" i="64" s="1"/>
  <c r="AM584" i="64" s="1"/>
  <c r="AI583" i="64"/>
  <c r="AK583" i="64" s="1"/>
  <c r="AM583" i="64" s="1"/>
  <c r="AI582" i="64"/>
  <c r="AK582" i="64" s="1"/>
  <c r="AM582" i="64" s="1"/>
  <c r="AI581" i="64"/>
  <c r="AK581" i="64" s="1"/>
  <c r="AM581" i="64" s="1"/>
  <c r="AI580" i="64"/>
  <c r="AK580" i="64" s="1"/>
  <c r="AM580" i="64" s="1"/>
  <c r="AI579" i="64"/>
  <c r="AK579" i="64" s="1"/>
  <c r="AM579" i="64" s="1"/>
  <c r="AI578" i="64"/>
  <c r="AK578" i="64" s="1"/>
  <c r="AM578" i="64" s="1"/>
  <c r="AI577" i="64"/>
  <c r="AK577" i="64" s="1"/>
  <c r="AM577" i="64" s="1"/>
  <c r="AI576" i="64"/>
  <c r="AK576" i="64" s="1"/>
  <c r="AM576" i="64" s="1"/>
  <c r="AI575" i="64"/>
  <c r="AK575" i="64" s="1"/>
  <c r="AM575" i="64" s="1"/>
  <c r="AI574" i="64"/>
  <c r="AK574" i="64" s="1"/>
  <c r="AM574" i="64" s="1"/>
  <c r="AI573" i="64"/>
  <c r="AK573" i="64" s="1"/>
  <c r="AM573" i="64" s="1"/>
  <c r="AI572" i="64"/>
  <c r="AK572" i="64" s="1"/>
  <c r="AM572" i="64" s="1"/>
  <c r="AI571" i="64"/>
  <c r="AK571" i="64" s="1"/>
  <c r="AM571" i="64" s="1"/>
  <c r="AI570" i="64"/>
  <c r="AK570" i="64" s="1"/>
  <c r="AM570" i="64" s="1"/>
  <c r="AI569" i="64"/>
  <c r="AK569" i="64" s="1"/>
  <c r="AM569" i="64" s="1"/>
  <c r="AI568" i="64"/>
  <c r="AK568" i="64" s="1"/>
  <c r="AM568" i="64" s="1"/>
  <c r="AI567" i="64"/>
  <c r="AK567" i="64" s="1"/>
  <c r="AM567" i="64" s="1"/>
  <c r="AI566" i="64"/>
  <c r="AK566" i="64" s="1"/>
  <c r="AM566" i="64" s="1"/>
  <c r="AI565" i="64"/>
  <c r="AK565" i="64" s="1"/>
  <c r="AM565" i="64" s="1"/>
  <c r="AI564" i="64"/>
  <c r="AK564" i="64" s="1"/>
  <c r="AM564" i="64" s="1"/>
  <c r="AI563" i="64"/>
  <c r="AK563" i="64" s="1"/>
  <c r="AM563" i="64" s="1"/>
  <c r="AI562" i="64"/>
  <c r="AK562" i="64" s="1"/>
  <c r="AM562" i="64" s="1"/>
  <c r="AI561" i="64"/>
  <c r="AK561" i="64" s="1"/>
  <c r="AM561" i="64" s="1"/>
  <c r="AI560" i="64"/>
  <c r="AK560" i="64" s="1"/>
  <c r="AM560" i="64" s="1"/>
  <c r="AI559" i="64"/>
  <c r="AK559" i="64" s="1"/>
  <c r="AM559" i="64" s="1"/>
  <c r="AI558" i="64"/>
  <c r="AK558" i="64" s="1"/>
  <c r="AM558" i="64" s="1"/>
  <c r="AI557" i="64"/>
  <c r="AK557" i="64" s="1"/>
  <c r="AM557" i="64" s="1"/>
  <c r="AI556" i="64"/>
  <c r="AK556" i="64" s="1"/>
  <c r="AM556" i="64" s="1"/>
  <c r="AI555" i="64"/>
  <c r="AK555" i="64" s="1"/>
  <c r="AM555" i="64" s="1"/>
  <c r="AI554" i="64"/>
  <c r="AK554" i="64" s="1"/>
  <c r="AM554" i="64" s="1"/>
  <c r="AI553" i="64"/>
  <c r="AK553" i="64" s="1"/>
  <c r="AM553" i="64" s="1"/>
  <c r="AI552" i="64"/>
  <c r="AK552" i="64" s="1"/>
  <c r="AM552" i="64" s="1"/>
  <c r="AI551" i="64"/>
  <c r="AK551" i="64" s="1"/>
  <c r="AM551" i="64" s="1"/>
  <c r="AI550" i="64"/>
  <c r="AK550" i="64" s="1"/>
  <c r="AM550" i="64" s="1"/>
  <c r="AI549" i="64"/>
  <c r="AK549" i="64" s="1"/>
  <c r="AM549" i="64" s="1"/>
  <c r="AI548" i="64"/>
  <c r="AK548" i="64" s="1"/>
  <c r="AM548" i="64" s="1"/>
  <c r="AI547" i="64"/>
  <c r="AK547" i="64" s="1"/>
  <c r="AM547" i="64" s="1"/>
  <c r="AI546" i="64"/>
  <c r="AK546" i="64" s="1"/>
  <c r="AM546" i="64" s="1"/>
  <c r="AI545" i="64"/>
  <c r="AK545" i="64" s="1"/>
  <c r="AM545" i="64" s="1"/>
  <c r="AI544" i="64"/>
  <c r="AK544" i="64" s="1"/>
  <c r="AM544" i="64" s="1"/>
  <c r="AI543" i="64"/>
  <c r="AK543" i="64" s="1"/>
  <c r="AM543" i="64" s="1"/>
  <c r="AI542" i="64"/>
  <c r="AK542" i="64" s="1"/>
  <c r="AM542" i="64" s="1"/>
  <c r="AI541" i="64"/>
  <c r="AK541" i="64" s="1"/>
  <c r="AM541" i="64" s="1"/>
  <c r="AI540" i="64"/>
  <c r="AK540" i="64" s="1"/>
  <c r="AM540" i="64" s="1"/>
  <c r="AI539" i="64"/>
  <c r="AK539" i="64" s="1"/>
  <c r="AM539" i="64" s="1"/>
  <c r="AI538" i="64"/>
  <c r="AK538" i="64" s="1"/>
  <c r="AM538" i="64" s="1"/>
  <c r="AI537" i="64"/>
  <c r="AK537" i="64" s="1"/>
  <c r="AM537" i="64" s="1"/>
  <c r="AI536" i="64"/>
  <c r="AK536" i="64" s="1"/>
  <c r="AM536" i="64" s="1"/>
  <c r="AI535" i="64"/>
  <c r="AK535" i="64" s="1"/>
  <c r="AM535" i="64" s="1"/>
  <c r="AI534" i="64"/>
  <c r="AK534" i="64" s="1"/>
  <c r="AM534" i="64" s="1"/>
  <c r="AI533" i="64"/>
  <c r="AK533" i="64" s="1"/>
  <c r="AM533" i="64" s="1"/>
  <c r="AI532" i="64"/>
  <c r="AK532" i="64" s="1"/>
  <c r="AM532" i="64" s="1"/>
  <c r="AI531" i="64"/>
  <c r="AK531" i="64" s="1"/>
  <c r="AM531" i="64" s="1"/>
  <c r="AI530" i="64"/>
  <c r="AK530" i="64" s="1"/>
  <c r="AM530" i="64" s="1"/>
  <c r="AI529" i="64"/>
  <c r="AK529" i="64" s="1"/>
  <c r="AM529" i="64" s="1"/>
  <c r="AI528" i="64"/>
  <c r="AK528" i="64" s="1"/>
  <c r="AM528" i="64" s="1"/>
  <c r="AI527" i="64"/>
  <c r="AK527" i="64" s="1"/>
  <c r="AM527" i="64" s="1"/>
  <c r="AI526" i="64"/>
  <c r="AK526" i="64" s="1"/>
  <c r="AM526" i="64" s="1"/>
  <c r="AI525" i="64"/>
  <c r="AK525" i="64" s="1"/>
  <c r="AM525" i="64" s="1"/>
  <c r="AI524" i="64"/>
  <c r="AK524" i="64" s="1"/>
  <c r="AM524" i="64" s="1"/>
  <c r="AI523" i="64"/>
  <c r="AK523" i="64" s="1"/>
  <c r="AM523" i="64" s="1"/>
  <c r="AI522" i="64"/>
  <c r="AK522" i="64" s="1"/>
  <c r="AM522" i="64" s="1"/>
  <c r="AI521" i="64"/>
  <c r="AK521" i="64" s="1"/>
  <c r="AM521" i="64" s="1"/>
  <c r="AI520" i="64"/>
  <c r="AK520" i="64" s="1"/>
  <c r="AM520" i="64" s="1"/>
  <c r="AI519" i="64"/>
  <c r="AK519" i="64" s="1"/>
  <c r="AM519" i="64" s="1"/>
  <c r="AI518" i="64"/>
  <c r="AK518" i="64" s="1"/>
  <c r="AM518" i="64" s="1"/>
  <c r="AI517" i="64"/>
  <c r="AK517" i="64" s="1"/>
  <c r="AM517" i="64" s="1"/>
  <c r="AI516" i="64"/>
  <c r="AK516" i="64" s="1"/>
  <c r="AM516" i="64" s="1"/>
  <c r="AI515" i="64"/>
  <c r="AK515" i="64" s="1"/>
  <c r="AM515" i="64" s="1"/>
  <c r="AI514" i="64"/>
  <c r="AK514" i="64" s="1"/>
  <c r="AM514" i="64" s="1"/>
  <c r="AI513" i="64"/>
  <c r="AK513" i="64" s="1"/>
  <c r="AM513" i="64" s="1"/>
  <c r="AI512" i="64"/>
  <c r="AK512" i="64" s="1"/>
  <c r="AM512" i="64" s="1"/>
  <c r="AI511" i="64"/>
  <c r="AK511" i="64" s="1"/>
  <c r="AM511" i="64" s="1"/>
  <c r="AI510" i="64"/>
  <c r="AK510" i="64" s="1"/>
  <c r="AM510" i="64" s="1"/>
  <c r="AI509" i="64"/>
  <c r="AK509" i="64" s="1"/>
  <c r="AM509" i="64" s="1"/>
  <c r="AI508" i="64"/>
  <c r="AK508" i="64" s="1"/>
  <c r="AM508" i="64" s="1"/>
  <c r="AI507" i="64"/>
  <c r="AK507" i="64" s="1"/>
  <c r="AM507" i="64" s="1"/>
  <c r="AI506" i="64"/>
  <c r="AK506" i="64" s="1"/>
  <c r="AM506" i="64" s="1"/>
  <c r="AI505" i="64"/>
  <c r="AK505" i="64" s="1"/>
  <c r="AM505" i="64" s="1"/>
  <c r="AI504" i="64"/>
  <c r="AK504" i="64" s="1"/>
  <c r="AM504" i="64" s="1"/>
  <c r="AI503" i="64"/>
  <c r="AK503" i="64" s="1"/>
  <c r="AM503" i="64" s="1"/>
  <c r="AI502" i="64"/>
  <c r="AK502" i="64" s="1"/>
  <c r="AM502" i="64" s="1"/>
  <c r="AI501" i="64"/>
  <c r="AK501" i="64" s="1"/>
  <c r="AM501" i="64" s="1"/>
  <c r="AI500" i="64"/>
  <c r="AK500" i="64" s="1"/>
  <c r="AM500" i="64" s="1"/>
  <c r="AI499" i="64"/>
  <c r="AK499" i="64" s="1"/>
  <c r="AM499" i="64" s="1"/>
  <c r="AI498" i="64"/>
  <c r="AK498" i="64" s="1"/>
  <c r="AM498" i="64" s="1"/>
  <c r="AI497" i="64"/>
  <c r="AK497" i="64" s="1"/>
  <c r="AM497" i="64" s="1"/>
  <c r="AI496" i="64"/>
  <c r="AK496" i="64" s="1"/>
  <c r="AM496" i="64" s="1"/>
  <c r="AI495" i="64"/>
  <c r="AK495" i="64" s="1"/>
  <c r="AM495" i="64" s="1"/>
  <c r="AI494" i="64"/>
  <c r="AK494" i="64" s="1"/>
  <c r="AM494" i="64" s="1"/>
  <c r="AI493" i="64"/>
  <c r="AK493" i="64" s="1"/>
  <c r="AM493" i="64" s="1"/>
  <c r="AI492" i="64"/>
  <c r="AK492" i="64" s="1"/>
  <c r="AM492" i="64" s="1"/>
  <c r="AI491" i="64"/>
  <c r="AK491" i="64" s="1"/>
  <c r="AM491" i="64" s="1"/>
  <c r="AI490" i="64"/>
  <c r="AK490" i="64" s="1"/>
  <c r="AM490" i="64" s="1"/>
  <c r="AI489" i="64"/>
  <c r="AK489" i="64" s="1"/>
  <c r="AM489" i="64" s="1"/>
  <c r="AI488" i="64"/>
  <c r="AK488" i="64" s="1"/>
  <c r="AM488" i="64" s="1"/>
  <c r="AI487" i="64"/>
  <c r="AK487" i="64" s="1"/>
  <c r="AM487" i="64" s="1"/>
  <c r="AI486" i="64"/>
  <c r="AK486" i="64" s="1"/>
  <c r="AM486" i="64" s="1"/>
  <c r="AI485" i="64"/>
  <c r="AK485" i="64" s="1"/>
  <c r="AM485" i="64" s="1"/>
  <c r="AI484" i="64"/>
  <c r="AK484" i="64" s="1"/>
  <c r="AM484" i="64" s="1"/>
  <c r="AI483" i="64"/>
  <c r="AK483" i="64" s="1"/>
  <c r="AM483" i="64" s="1"/>
  <c r="AI482" i="64"/>
  <c r="AK482" i="64" s="1"/>
  <c r="AM482" i="64" s="1"/>
  <c r="AI481" i="64"/>
  <c r="AK481" i="64" s="1"/>
  <c r="AM481" i="64" s="1"/>
  <c r="AI480" i="64"/>
  <c r="AK480" i="64" s="1"/>
  <c r="AM480" i="64" s="1"/>
  <c r="AI479" i="64"/>
  <c r="AK479" i="64" s="1"/>
  <c r="AM479" i="64" s="1"/>
  <c r="AI478" i="64"/>
  <c r="AK478" i="64" s="1"/>
  <c r="AM478" i="64" s="1"/>
  <c r="AI477" i="64"/>
  <c r="AK477" i="64" s="1"/>
  <c r="AM477" i="64" s="1"/>
  <c r="AI476" i="64"/>
  <c r="AK476" i="64" s="1"/>
  <c r="AM476" i="64" s="1"/>
  <c r="AI475" i="64"/>
  <c r="AK475" i="64" s="1"/>
  <c r="AM475" i="64" s="1"/>
  <c r="AI474" i="64"/>
  <c r="AK474" i="64" s="1"/>
  <c r="AM474" i="64" s="1"/>
  <c r="AI473" i="64"/>
  <c r="AK473" i="64" s="1"/>
  <c r="AM473" i="64" s="1"/>
  <c r="AI472" i="64"/>
  <c r="AK472" i="64" s="1"/>
  <c r="AM472" i="64" s="1"/>
  <c r="AI471" i="64"/>
  <c r="AK471" i="64" s="1"/>
  <c r="AM471" i="64" s="1"/>
  <c r="AI470" i="64"/>
  <c r="AK470" i="64" s="1"/>
  <c r="AM470" i="64" s="1"/>
  <c r="AI469" i="64"/>
  <c r="AK469" i="64" s="1"/>
  <c r="AM469" i="64" s="1"/>
  <c r="AI468" i="64"/>
  <c r="AK468" i="64" s="1"/>
  <c r="AM468" i="64" s="1"/>
  <c r="AI467" i="64"/>
  <c r="AK467" i="64" s="1"/>
  <c r="AM467" i="64" s="1"/>
  <c r="AI466" i="64"/>
  <c r="AK466" i="64" s="1"/>
  <c r="AM466" i="64" s="1"/>
  <c r="AI465" i="64"/>
  <c r="AK465" i="64" s="1"/>
  <c r="AM465" i="64" s="1"/>
  <c r="AI464" i="64"/>
  <c r="AK464" i="64" s="1"/>
  <c r="AM464" i="64" s="1"/>
  <c r="AI463" i="64"/>
  <c r="AK463" i="64" s="1"/>
  <c r="AM463" i="64" s="1"/>
  <c r="AI462" i="64"/>
  <c r="AK462" i="64" s="1"/>
  <c r="AM462" i="64" s="1"/>
  <c r="AI461" i="64"/>
  <c r="AK461" i="64" s="1"/>
  <c r="AM461" i="64" s="1"/>
  <c r="AI460" i="64"/>
  <c r="AK460" i="64" s="1"/>
  <c r="AM460" i="64" s="1"/>
  <c r="AI459" i="64"/>
  <c r="AK459" i="64" s="1"/>
  <c r="AM459" i="64" s="1"/>
  <c r="AI458" i="64"/>
  <c r="AK458" i="64" s="1"/>
  <c r="AM458" i="64" s="1"/>
  <c r="AI457" i="64"/>
  <c r="AK457" i="64" s="1"/>
  <c r="AM457" i="64" s="1"/>
  <c r="AI456" i="64"/>
  <c r="AK456" i="64" s="1"/>
  <c r="AM456" i="64" s="1"/>
  <c r="AI455" i="64"/>
  <c r="AK455" i="64" s="1"/>
  <c r="AM455" i="64" s="1"/>
  <c r="AI454" i="64"/>
  <c r="AK454" i="64" s="1"/>
  <c r="AM454" i="64" s="1"/>
  <c r="AI453" i="64"/>
  <c r="AK453" i="64" s="1"/>
  <c r="AM453" i="64" s="1"/>
  <c r="AI452" i="64"/>
  <c r="AK452" i="64" s="1"/>
  <c r="AM452" i="64" s="1"/>
  <c r="AI451" i="64"/>
  <c r="AK451" i="64" s="1"/>
  <c r="AM451" i="64" s="1"/>
  <c r="AI450" i="64"/>
  <c r="AK450" i="64" s="1"/>
  <c r="AM450" i="64" s="1"/>
  <c r="AI449" i="64"/>
  <c r="AK449" i="64" s="1"/>
  <c r="AM449" i="64" s="1"/>
  <c r="AI448" i="64"/>
  <c r="AK448" i="64" s="1"/>
  <c r="AM448" i="64" s="1"/>
  <c r="AI447" i="64"/>
  <c r="AK447" i="64" s="1"/>
  <c r="AM447" i="64" s="1"/>
  <c r="AI446" i="64"/>
  <c r="AK446" i="64" s="1"/>
  <c r="AM446" i="64" s="1"/>
  <c r="AI445" i="64"/>
  <c r="AK445" i="64" s="1"/>
  <c r="AM445" i="64" s="1"/>
  <c r="AI444" i="64"/>
  <c r="AK444" i="64" s="1"/>
  <c r="AM444" i="64" s="1"/>
  <c r="AI443" i="64"/>
  <c r="AK443" i="64" s="1"/>
  <c r="AM443" i="64" s="1"/>
  <c r="AI442" i="64"/>
  <c r="AK442" i="64" s="1"/>
  <c r="AM442" i="64" s="1"/>
  <c r="AI441" i="64"/>
  <c r="AK441" i="64" s="1"/>
  <c r="AM441" i="64" s="1"/>
  <c r="AI440" i="64"/>
  <c r="AK440" i="64" s="1"/>
  <c r="AM440" i="64" s="1"/>
  <c r="AI439" i="64"/>
  <c r="AK439" i="64" s="1"/>
  <c r="AM439" i="64" s="1"/>
  <c r="AI438" i="64"/>
  <c r="AK438" i="64" s="1"/>
  <c r="AM438" i="64" s="1"/>
  <c r="AI437" i="64"/>
  <c r="AK437" i="64" s="1"/>
  <c r="AM437" i="64" s="1"/>
  <c r="AI436" i="64"/>
  <c r="AK436" i="64" s="1"/>
  <c r="AM436" i="64" s="1"/>
  <c r="AI435" i="64"/>
  <c r="AK435" i="64" s="1"/>
  <c r="AM435" i="64" s="1"/>
  <c r="AI434" i="64"/>
  <c r="AK434" i="64" s="1"/>
  <c r="AM434" i="64" s="1"/>
  <c r="AI433" i="64"/>
  <c r="AK433" i="64" s="1"/>
  <c r="AM433" i="64" s="1"/>
  <c r="AI432" i="64"/>
  <c r="AK432" i="64" s="1"/>
  <c r="AM432" i="64" s="1"/>
  <c r="AI431" i="64"/>
  <c r="AK431" i="64" s="1"/>
  <c r="AM431" i="64" s="1"/>
  <c r="AI430" i="64"/>
  <c r="AK430" i="64" s="1"/>
  <c r="AM430" i="64" s="1"/>
  <c r="AI429" i="64"/>
  <c r="AK429" i="64" s="1"/>
  <c r="AM429" i="64" s="1"/>
  <c r="AI428" i="64"/>
  <c r="AK428" i="64" s="1"/>
  <c r="AM428" i="64" s="1"/>
  <c r="AI427" i="64"/>
  <c r="AK427" i="64" s="1"/>
  <c r="AM427" i="64" s="1"/>
  <c r="AI426" i="64"/>
  <c r="AK426" i="64" s="1"/>
  <c r="AM426" i="64" s="1"/>
  <c r="AI425" i="64"/>
  <c r="AK425" i="64" s="1"/>
  <c r="AM425" i="64" s="1"/>
  <c r="AI424" i="64"/>
  <c r="AK424" i="64" s="1"/>
  <c r="AM424" i="64" s="1"/>
  <c r="AI423" i="64"/>
  <c r="AK423" i="64" s="1"/>
  <c r="AM423" i="64" s="1"/>
  <c r="AI422" i="64"/>
  <c r="AK422" i="64" s="1"/>
  <c r="AM422" i="64" s="1"/>
  <c r="AI421" i="64"/>
  <c r="AK421" i="64" s="1"/>
  <c r="AM421" i="64" s="1"/>
  <c r="AI420" i="64"/>
  <c r="AK420" i="64" s="1"/>
  <c r="AM420" i="64" s="1"/>
  <c r="AI419" i="64"/>
  <c r="AK419" i="64" s="1"/>
  <c r="AM419" i="64" s="1"/>
  <c r="AI418" i="64"/>
  <c r="AK418" i="64" s="1"/>
  <c r="AM418" i="64" s="1"/>
  <c r="AI417" i="64"/>
  <c r="AK417" i="64" s="1"/>
  <c r="AM417" i="64" s="1"/>
  <c r="AI416" i="64"/>
  <c r="AK416" i="64" s="1"/>
  <c r="AM416" i="64" s="1"/>
  <c r="AI415" i="64"/>
  <c r="AK415" i="64" s="1"/>
  <c r="AM415" i="64" s="1"/>
  <c r="AI414" i="64"/>
  <c r="AK414" i="64" s="1"/>
  <c r="AM414" i="64" s="1"/>
  <c r="AI413" i="64"/>
  <c r="AK413" i="64" s="1"/>
  <c r="AM413" i="64" s="1"/>
  <c r="AI412" i="64"/>
  <c r="AK412" i="64" s="1"/>
  <c r="AM412" i="64" s="1"/>
  <c r="AI411" i="64"/>
  <c r="AK411" i="64" s="1"/>
  <c r="AM411" i="64" s="1"/>
  <c r="AI410" i="64"/>
  <c r="AK410" i="64" s="1"/>
  <c r="AM410" i="64" s="1"/>
  <c r="AI409" i="64"/>
  <c r="AK409" i="64" s="1"/>
  <c r="AM409" i="64" s="1"/>
  <c r="AI408" i="64"/>
  <c r="AK408" i="64" s="1"/>
  <c r="AM408" i="64" s="1"/>
  <c r="AI407" i="64"/>
  <c r="AK407" i="64" s="1"/>
  <c r="AM407" i="64" s="1"/>
  <c r="AI406" i="64"/>
  <c r="AK406" i="64" s="1"/>
  <c r="AM406" i="64" s="1"/>
  <c r="AI405" i="64"/>
  <c r="AK405" i="64" s="1"/>
  <c r="AM405" i="64" s="1"/>
  <c r="AI404" i="64"/>
  <c r="AK404" i="64" s="1"/>
  <c r="AM404" i="64" s="1"/>
  <c r="AI403" i="64"/>
  <c r="AK403" i="64" s="1"/>
  <c r="AM403" i="64" s="1"/>
  <c r="AI402" i="64"/>
  <c r="AK402" i="64" s="1"/>
  <c r="AM402" i="64" s="1"/>
  <c r="AI401" i="64"/>
  <c r="AK401" i="64" s="1"/>
  <c r="AM401" i="64" s="1"/>
  <c r="AI400" i="64"/>
  <c r="AK400" i="64" s="1"/>
  <c r="AM400" i="64" s="1"/>
  <c r="AI399" i="64"/>
  <c r="AK399" i="64" s="1"/>
  <c r="AM399" i="64" s="1"/>
  <c r="AI398" i="64"/>
  <c r="AK398" i="64" s="1"/>
  <c r="AM398" i="64" s="1"/>
  <c r="AI397" i="64"/>
  <c r="AK397" i="64" s="1"/>
  <c r="AM397" i="64" s="1"/>
  <c r="AI396" i="64"/>
  <c r="AK396" i="64" s="1"/>
  <c r="AM396" i="64" s="1"/>
  <c r="AI395" i="64"/>
  <c r="AK395" i="64" s="1"/>
  <c r="AM395" i="64" s="1"/>
  <c r="AI394" i="64"/>
  <c r="AK394" i="64" s="1"/>
  <c r="AM394" i="64" s="1"/>
  <c r="AI393" i="64"/>
  <c r="AK393" i="64" s="1"/>
  <c r="AM393" i="64" s="1"/>
  <c r="AI392" i="64"/>
  <c r="AK392" i="64" s="1"/>
  <c r="AM392" i="64" s="1"/>
  <c r="AI391" i="64"/>
  <c r="AK391" i="64" s="1"/>
  <c r="AM391" i="64" s="1"/>
  <c r="AI390" i="64"/>
  <c r="AK390" i="64" s="1"/>
  <c r="AM390" i="64" s="1"/>
  <c r="AI389" i="64"/>
  <c r="AK389" i="64" s="1"/>
  <c r="AM389" i="64" s="1"/>
  <c r="AI388" i="64"/>
  <c r="AK388" i="64" s="1"/>
  <c r="AM388" i="64" s="1"/>
  <c r="AI387" i="64"/>
  <c r="AK387" i="64" s="1"/>
  <c r="AM387" i="64" s="1"/>
  <c r="AI386" i="64"/>
  <c r="AK386" i="64" s="1"/>
  <c r="AM386" i="64" s="1"/>
  <c r="AI385" i="64"/>
  <c r="AK385" i="64" s="1"/>
  <c r="AM385" i="64" s="1"/>
  <c r="AI384" i="64"/>
  <c r="AK384" i="64" s="1"/>
  <c r="AM384" i="64" s="1"/>
  <c r="AI383" i="64"/>
  <c r="AK383" i="64" s="1"/>
  <c r="AM383" i="64" s="1"/>
  <c r="AI382" i="64"/>
  <c r="AK382" i="64" s="1"/>
  <c r="AM382" i="64" s="1"/>
  <c r="AI381" i="64"/>
  <c r="AK381" i="64" s="1"/>
  <c r="AM381" i="64" s="1"/>
  <c r="AI380" i="64"/>
  <c r="AK380" i="64" s="1"/>
  <c r="AM380" i="64" s="1"/>
  <c r="AI379" i="64"/>
  <c r="AK379" i="64" s="1"/>
  <c r="AM379" i="64" s="1"/>
  <c r="AI378" i="64"/>
  <c r="AK378" i="64" s="1"/>
  <c r="AM378" i="64" s="1"/>
  <c r="AI377" i="64"/>
  <c r="AK377" i="64" s="1"/>
  <c r="AM377" i="64" s="1"/>
  <c r="AI376" i="64"/>
  <c r="AK376" i="64" s="1"/>
  <c r="AM376" i="64" s="1"/>
  <c r="AI375" i="64"/>
  <c r="AK375" i="64" s="1"/>
  <c r="AM375" i="64" s="1"/>
  <c r="AI374" i="64"/>
  <c r="AK374" i="64" s="1"/>
  <c r="AM374" i="64" s="1"/>
  <c r="AI373" i="64"/>
  <c r="AK373" i="64" s="1"/>
  <c r="AM373" i="64" s="1"/>
  <c r="AI372" i="64"/>
  <c r="AK372" i="64" s="1"/>
  <c r="AM372" i="64" s="1"/>
  <c r="AI371" i="64"/>
  <c r="AK371" i="64" s="1"/>
  <c r="AM371" i="64" s="1"/>
  <c r="AI370" i="64"/>
  <c r="AK370" i="64" s="1"/>
  <c r="AM370" i="64" s="1"/>
  <c r="AI369" i="64"/>
  <c r="AK369" i="64" s="1"/>
  <c r="AM369" i="64" s="1"/>
  <c r="AI368" i="64"/>
  <c r="AK368" i="64" s="1"/>
  <c r="AM368" i="64" s="1"/>
  <c r="AI367" i="64"/>
  <c r="AK367" i="64" s="1"/>
  <c r="AM367" i="64" s="1"/>
  <c r="AI366" i="64"/>
  <c r="AK366" i="64" s="1"/>
  <c r="AM366" i="64" s="1"/>
  <c r="AI365" i="64"/>
  <c r="AK365" i="64" s="1"/>
  <c r="AM365" i="64" s="1"/>
  <c r="AI364" i="64"/>
  <c r="AK364" i="64" s="1"/>
  <c r="AM364" i="64" s="1"/>
  <c r="AI363" i="64"/>
  <c r="AK363" i="64" s="1"/>
  <c r="AM363" i="64" s="1"/>
  <c r="AI362" i="64"/>
  <c r="AK362" i="64" s="1"/>
  <c r="AM362" i="64" s="1"/>
  <c r="AI361" i="64"/>
  <c r="AK361" i="64" s="1"/>
  <c r="AM361" i="64" s="1"/>
  <c r="AI360" i="64"/>
  <c r="AK360" i="64" s="1"/>
  <c r="AM360" i="64" s="1"/>
  <c r="AI359" i="64"/>
  <c r="AK359" i="64" s="1"/>
  <c r="AM359" i="64" s="1"/>
  <c r="AI358" i="64"/>
  <c r="AK358" i="64" s="1"/>
  <c r="AM358" i="64" s="1"/>
  <c r="AI357" i="64"/>
  <c r="AK357" i="64" s="1"/>
  <c r="AM357" i="64" s="1"/>
  <c r="AI356" i="64"/>
  <c r="AK356" i="64" s="1"/>
  <c r="AM356" i="64" s="1"/>
  <c r="AI355" i="64"/>
  <c r="AK355" i="64" s="1"/>
  <c r="AM355" i="64" s="1"/>
  <c r="AI354" i="64"/>
  <c r="AK354" i="64" s="1"/>
  <c r="AM354" i="64" s="1"/>
  <c r="AI353" i="64"/>
  <c r="AK353" i="64" s="1"/>
  <c r="AM353" i="64" s="1"/>
  <c r="AI352" i="64"/>
  <c r="AK352" i="64" s="1"/>
  <c r="AM352" i="64" s="1"/>
  <c r="AI351" i="64"/>
  <c r="AK351" i="64" s="1"/>
  <c r="AM351" i="64" s="1"/>
  <c r="AI350" i="64"/>
  <c r="AK350" i="64" s="1"/>
  <c r="AM350" i="64" s="1"/>
  <c r="AI349" i="64"/>
  <c r="AK349" i="64" s="1"/>
  <c r="AM349" i="64" s="1"/>
  <c r="AI348" i="64"/>
  <c r="AK348" i="64" s="1"/>
  <c r="AM348" i="64" s="1"/>
  <c r="AI347" i="64"/>
  <c r="AK347" i="64" s="1"/>
  <c r="AM347" i="64" s="1"/>
  <c r="AI346" i="64"/>
  <c r="AK346" i="64" s="1"/>
  <c r="AM346" i="64" s="1"/>
  <c r="AI345" i="64"/>
  <c r="AK345" i="64" s="1"/>
  <c r="AM345" i="64" s="1"/>
  <c r="AI344" i="64"/>
  <c r="AK344" i="64" s="1"/>
  <c r="AM344" i="64" s="1"/>
  <c r="AI343" i="64"/>
  <c r="AK343" i="64" s="1"/>
  <c r="AM343" i="64" s="1"/>
  <c r="AI342" i="64"/>
  <c r="AK342" i="64" s="1"/>
  <c r="AM342" i="64" s="1"/>
  <c r="AI341" i="64"/>
  <c r="AK341" i="64" s="1"/>
  <c r="AM341" i="64" s="1"/>
  <c r="AI340" i="64"/>
  <c r="AK340" i="64" s="1"/>
  <c r="AM340" i="64" s="1"/>
  <c r="AI339" i="64"/>
  <c r="AK339" i="64" s="1"/>
  <c r="AM339" i="64" s="1"/>
  <c r="AI338" i="64"/>
  <c r="AK338" i="64" s="1"/>
  <c r="AM338" i="64" s="1"/>
  <c r="AI337" i="64"/>
  <c r="AK337" i="64" s="1"/>
  <c r="AM337" i="64" s="1"/>
  <c r="AI336" i="64"/>
  <c r="AK336" i="64" s="1"/>
  <c r="AM336" i="64" s="1"/>
  <c r="AI335" i="64"/>
  <c r="AK335" i="64" s="1"/>
  <c r="AM335" i="64" s="1"/>
  <c r="AI334" i="64"/>
  <c r="AK334" i="64" s="1"/>
  <c r="AM334" i="64" s="1"/>
  <c r="AI333" i="64"/>
  <c r="AK333" i="64" s="1"/>
  <c r="AM333" i="64" s="1"/>
  <c r="AI332" i="64"/>
  <c r="AK332" i="64" s="1"/>
  <c r="AM332" i="64" s="1"/>
  <c r="AI331" i="64"/>
  <c r="AK331" i="64" s="1"/>
  <c r="AM331" i="64" s="1"/>
  <c r="AI330" i="64"/>
  <c r="AK330" i="64" s="1"/>
  <c r="AM330" i="64" s="1"/>
  <c r="AI329" i="64"/>
  <c r="AK329" i="64" s="1"/>
  <c r="AM329" i="64" s="1"/>
  <c r="AI328" i="64"/>
  <c r="AK328" i="64" s="1"/>
  <c r="AM328" i="64" s="1"/>
  <c r="AI327" i="64"/>
  <c r="AK327" i="64" s="1"/>
  <c r="AM327" i="64" s="1"/>
  <c r="AI326" i="64"/>
  <c r="AK326" i="64" s="1"/>
  <c r="AM326" i="64" s="1"/>
  <c r="AI325" i="64"/>
  <c r="AK325" i="64" s="1"/>
  <c r="AM325" i="64" s="1"/>
  <c r="AI324" i="64"/>
  <c r="AK324" i="64" s="1"/>
  <c r="AM324" i="64" s="1"/>
  <c r="AI323" i="64"/>
  <c r="AK323" i="64" s="1"/>
  <c r="AM323" i="64" s="1"/>
  <c r="AI322" i="64"/>
  <c r="AK322" i="64" s="1"/>
  <c r="AM322" i="64" s="1"/>
  <c r="AI321" i="64"/>
  <c r="AK321" i="64" s="1"/>
  <c r="AM321" i="64" s="1"/>
  <c r="AI320" i="64"/>
  <c r="AK320" i="64" s="1"/>
  <c r="AM320" i="64" s="1"/>
  <c r="AI319" i="64"/>
  <c r="AK319" i="64" s="1"/>
  <c r="AM319" i="64" s="1"/>
  <c r="AI318" i="64"/>
  <c r="AK318" i="64" s="1"/>
  <c r="AM318" i="64" s="1"/>
  <c r="AI317" i="64"/>
  <c r="AK317" i="64" s="1"/>
  <c r="AM317" i="64" s="1"/>
  <c r="AI316" i="64"/>
  <c r="AK316" i="64" s="1"/>
  <c r="AM316" i="64" s="1"/>
  <c r="AI315" i="64"/>
  <c r="AK315" i="64" s="1"/>
  <c r="AM315" i="64" s="1"/>
  <c r="AI314" i="64"/>
  <c r="AK314" i="64" s="1"/>
  <c r="AM314" i="64" s="1"/>
  <c r="AI313" i="64"/>
  <c r="AK313" i="64" s="1"/>
  <c r="AM313" i="64" s="1"/>
  <c r="AI312" i="64"/>
  <c r="AK312" i="64" s="1"/>
  <c r="AM312" i="64" s="1"/>
  <c r="AI311" i="64"/>
  <c r="AK311" i="64" s="1"/>
  <c r="AM311" i="64" s="1"/>
  <c r="AI310" i="64"/>
  <c r="AK310" i="64" s="1"/>
  <c r="AM310" i="64" s="1"/>
  <c r="AI309" i="64"/>
  <c r="AK309" i="64" s="1"/>
  <c r="AM309" i="64" s="1"/>
  <c r="AI308" i="64"/>
  <c r="AK308" i="64" s="1"/>
  <c r="AM308" i="64" s="1"/>
  <c r="AI307" i="64"/>
  <c r="AK307" i="64" s="1"/>
  <c r="AM307" i="64" s="1"/>
  <c r="AI306" i="64"/>
  <c r="AK306" i="64" s="1"/>
  <c r="AM306" i="64" s="1"/>
  <c r="AI305" i="64"/>
  <c r="AK305" i="64" s="1"/>
  <c r="AM305" i="64" s="1"/>
  <c r="AI304" i="64"/>
  <c r="AK304" i="64" s="1"/>
  <c r="AM304" i="64" s="1"/>
  <c r="AI303" i="64"/>
  <c r="AK303" i="64" s="1"/>
  <c r="AM303" i="64" s="1"/>
  <c r="AI302" i="64"/>
  <c r="AK302" i="64" s="1"/>
  <c r="AM302" i="64" s="1"/>
  <c r="AI301" i="64"/>
  <c r="AK301" i="64" s="1"/>
  <c r="AM301" i="64" s="1"/>
  <c r="AI300" i="64"/>
  <c r="AK300" i="64" s="1"/>
  <c r="AM300" i="64" s="1"/>
  <c r="AI299" i="64"/>
  <c r="AK299" i="64" s="1"/>
  <c r="AM299" i="64" s="1"/>
  <c r="AI298" i="64"/>
  <c r="AK298" i="64" s="1"/>
  <c r="AM298" i="64" s="1"/>
  <c r="AI297" i="64"/>
  <c r="AK297" i="64" s="1"/>
  <c r="AM297" i="64" s="1"/>
  <c r="AI296" i="64"/>
  <c r="AK296" i="64" s="1"/>
  <c r="AM296" i="64" s="1"/>
  <c r="AI295" i="64"/>
  <c r="AK295" i="64" s="1"/>
  <c r="AM295" i="64" s="1"/>
  <c r="AI294" i="64"/>
  <c r="AK294" i="64" s="1"/>
  <c r="AM294" i="64" s="1"/>
  <c r="AI293" i="64"/>
  <c r="AK293" i="64" s="1"/>
  <c r="AM293" i="64" s="1"/>
  <c r="AI292" i="64"/>
  <c r="AK292" i="64" s="1"/>
  <c r="AM292" i="64" s="1"/>
  <c r="AI291" i="64"/>
  <c r="AK291" i="64" s="1"/>
  <c r="AM291" i="64" s="1"/>
  <c r="AI290" i="64"/>
  <c r="AK290" i="64" s="1"/>
  <c r="AM290" i="64" s="1"/>
  <c r="AI289" i="64"/>
  <c r="AK289" i="64" s="1"/>
  <c r="AM289" i="64" s="1"/>
  <c r="AI288" i="64"/>
  <c r="AK288" i="64" s="1"/>
  <c r="AM288" i="64" s="1"/>
  <c r="AI287" i="64"/>
  <c r="AK287" i="64" s="1"/>
  <c r="AM287" i="64" s="1"/>
  <c r="AI286" i="64"/>
  <c r="AK286" i="64" s="1"/>
  <c r="AM286" i="64" s="1"/>
  <c r="AI285" i="64"/>
  <c r="AK285" i="64" s="1"/>
  <c r="AM285" i="64" s="1"/>
  <c r="AI284" i="64"/>
  <c r="AK284" i="64" s="1"/>
  <c r="AM284" i="64" s="1"/>
  <c r="AI283" i="64"/>
  <c r="AK283" i="64" s="1"/>
  <c r="AM283" i="64" s="1"/>
  <c r="AI282" i="64"/>
  <c r="AK282" i="64" s="1"/>
  <c r="AM282" i="64" s="1"/>
  <c r="AI281" i="64"/>
  <c r="AK281" i="64" s="1"/>
  <c r="AM281" i="64" s="1"/>
  <c r="AI280" i="64"/>
  <c r="AK280" i="64" s="1"/>
  <c r="AM280" i="64" s="1"/>
  <c r="AI279" i="64"/>
  <c r="AK279" i="64" s="1"/>
  <c r="AM279" i="64" s="1"/>
  <c r="AI278" i="64"/>
  <c r="AK278" i="64" s="1"/>
  <c r="AM278" i="64" s="1"/>
  <c r="AI277" i="64"/>
  <c r="AK277" i="64" s="1"/>
  <c r="AM277" i="64" s="1"/>
  <c r="AI276" i="64"/>
  <c r="AK276" i="64" s="1"/>
  <c r="AM276" i="64" s="1"/>
  <c r="AI275" i="64"/>
  <c r="AK275" i="64" s="1"/>
  <c r="AM275" i="64" s="1"/>
  <c r="AI274" i="64"/>
  <c r="AK274" i="64" s="1"/>
  <c r="AM274" i="64" s="1"/>
  <c r="AI273" i="64"/>
  <c r="AK273" i="64" s="1"/>
  <c r="AM273" i="64" s="1"/>
  <c r="AI272" i="64"/>
  <c r="AK272" i="64" s="1"/>
  <c r="AM272" i="64" s="1"/>
  <c r="AI271" i="64"/>
  <c r="AK271" i="64" s="1"/>
  <c r="AM271" i="64" s="1"/>
  <c r="AI270" i="64"/>
  <c r="AK270" i="64" s="1"/>
  <c r="AM270" i="64" s="1"/>
  <c r="AI269" i="64"/>
  <c r="AK269" i="64" s="1"/>
  <c r="AM269" i="64" s="1"/>
  <c r="AI268" i="64"/>
  <c r="AK268" i="64" s="1"/>
  <c r="AM268" i="64" s="1"/>
  <c r="W268" i="64"/>
  <c r="Q268" i="64"/>
  <c r="O268" i="64"/>
  <c r="M268" i="64"/>
  <c r="AI267" i="64"/>
  <c r="AK267" i="64" s="1"/>
  <c r="AM267" i="64" s="1"/>
  <c r="X267" i="64"/>
  <c r="U267" i="64"/>
  <c r="T267" i="64"/>
  <c r="R267" i="64"/>
  <c r="P267" i="64"/>
  <c r="O267" i="64"/>
  <c r="M267" i="64"/>
  <c r="AI266" i="64"/>
  <c r="AK266" i="64" s="1"/>
  <c r="AM266" i="64" s="1"/>
  <c r="AI265" i="64"/>
  <c r="AK265" i="64" s="1"/>
  <c r="AM265" i="64" s="1"/>
  <c r="AI264" i="64"/>
  <c r="AK264" i="64" s="1"/>
  <c r="AM264" i="64" s="1"/>
  <c r="AI263" i="64"/>
  <c r="AK263" i="64" s="1"/>
  <c r="AM263" i="64" s="1"/>
  <c r="AI262" i="64"/>
  <c r="AK262" i="64" s="1"/>
  <c r="AM262" i="64" s="1"/>
  <c r="AI261" i="64"/>
  <c r="AK261" i="64" s="1"/>
  <c r="AM261" i="64" s="1"/>
  <c r="AI260" i="64"/>
  <c r="AK260" i="64" s="1"/>
  <c r="AM260" i="64" s="1"/>
  <c r="AI259" i="64"/>
  <c r="AK259" i="64" s="1"/>
  <c r="AM259" i="64" s="1"/>
  <c r="AI258" i="64"/>
  <c r="AK258" i="64" s="1"/>
  <c r="AM258" i="64" s="1"/>
  <c r="AI257" i="64"/>
  <c r="AK257" i="64" s="1"/>
  <c r="AM257" i="64" s="1"/>
  <c r="AI256" i="64"/>
  <c r="AK256" i="64" s="1"/>
  <c r="AM256" i="64" s="1"/>
  <c r="AD256" i="64"/>
  <c r="AB256" i="64"/>
  <c r="AI255" i="64"/>
  <c r="AK255" i="64" s="1"/>
  <c r="AM255" i="64" s="1"/>
  <c r="AI254" i="64"/>
  <c r="AK254" i="64" s="1"/>
  <c r="AM254" i="64" s="1"/>
  <c r="AI253" i="64"/>
  <c r="AK253" i="64" s="1"/>
  <c r="AM253" i="64" s="1"/>
  <c r="AI252" i="64"/>
  <c r="AK252" i="64" s="1"/>
  <c r="AM252" i="64" s="1"/>
  <c r="AI251" i="64"/>
  <c r="AK251" i="64" s="1"/>
  <c r="AM251" i="64" s="1"/>
  <c r="AI250" i="64"/>
  <c r="AK250" i="64" s="1"/>
  <c r="AM250" i="64" s="1"/>
  <c r="AI249" i="64"/>
  <c r="AK249" i="64" s="1"/>
  <c r="AM249" i="64" s="1"/>
  <c r="AI248" i="64"/>
  <c r="AK248" i="64" s="1"/>
  <c r="AM248" i="64" s="1"/>
  <c r="AI247" i="64"/>
  <c r="AK247" i="64" s="1"/>
  <c r="AM247" i="64" s="1"/>
  <c r="AB247" i="64"/>
  <c r="AI246" i="64"/>
  <c r="AK246" i="64" s="1"/>
  <c r="AM246" i="64" s="1"/>
  <c r="AB246" i="64"/>
  <c r="AI245" i="64"/>
  <c r="AK245" i="64" s="1"/>
  <c r="AM245" i="64" s="1"/>
  <c r="AI244" i="64"/>
  <c r="AK244" i="64" s="1"/>
  <c r="AM244" i="64" s="1"/>
  <c r="AI243" i="64"/>
  <c r="AK243" i="64" s="1"/>
  <c r="AM243" i="64" s="1"/>
  <c r="AI242" i="64"/>
  <c r="AK242" i="64" s="1"/>
  <c r="AM242" i="64" s="1"/>
  <c r="AI241" i="64"/>
  <c r="AK241" i="64" s="1"/>
  <c r="AM241" i="64" s="1"/>
  <c r="AI240" i="64"/>
  <c r="AK240" i="64" s="1"/>
  <c r="AM240" i="64" s="1"/>
  <c r="AI239" i="64"/>
  <c r="AK239" i="64" s="1"/>
  <c r="AM239" i="64" s="1"/>
  <c r="AI238" i="64"/>
  <c r="AK238" i="64" s="1"/>
  <c r="AM238" i="64" s="1"/>
  <c r="AI237" i="64"/>
  <c r="AK237" i="64" s="1"/>
  <c r="AM237" i="64" s="1"/>
  <c r="AI236" i="64"/>
  <c r="AK236" i="64" s="1"/>
  <c r="AM236" i="64" s="1"/>
  <c r="AI235" i="64"/>
  <c r="AK235" i="64" s="1"/>
  <c r="AM235" i="64" s="1"/>
  <c r="AD235" i="64"/>
  <c r="AA235" i="64"/>
  <c r="W235" i="64"/>
  <c r="AI234" i="64"/>
  <c r="AK234" i="64" s="1"/>
  <c r="AM234" i="64" s="1"/>
  <c r="AI233" i="64"/>
  <c r="AK233" i="64" s="1"/>
  <c r="AM233" i="64" s="1"/>
  <c r="AI232" i="64"/>
  <c r="AK232" i="64" s="1"/>
  <c r="AM232" i="64" s="1"/>
  <c r="AI231" i="64"/>
  <c r="AK231" i="64" s="1"/>
  <c r="AM231" i="64" s="1"/>
  <c r="AI230" i="64"/>
  <c r="AK230" i="64" s="1"/>
  <c r="AM230" i="64" s="1"/>
  <c r="AI229" i="64"/>
  <c r="AK229" i="64" s="1"/>
  <c r="AM229" i="64" s="1"/>
  <c r="AI228" i="64"/>
  <c r="AK228" i="64" s="1"/>
  <c r="AM228" i="64" s="1"/>
  <c r="AI227" i="64"/>
  <c r="AK227" i="64" s="1"/>
  <c r="AM227" i="64" s="1"/>
  <c r="AI226" i="64"/>
  <c r="AK226" i="64" s="1"/>
  <c r="AM226" i="64" s="1"/>
  <c r="AI225" i="64"/>
  <c r="AK225" i="64" s="1"/>
  <c r="AM225" i="64" s="1"/>
  <c r="AI224" i="64"/>
  <c r="AK224" i="64" s="1"/>
  <c r="AM224" i="64" s="1"/>
  <c r="AI223" i="64"/>
  <c r="AK223" i="64" s="1"/>
  <c r="AM223" i="64" s="1"/>
  <c r="AI222" i="64"/>
  <c r="AK222" i="64" s="1"/>
  <c r="AM222" i="64" s="1"/>
  <c r="AI221" i="64"/>
  <c r="AK221" i="64" s="1"/>
  <c r="AM221" i="64" s="1"/>
  <c r="AI220" i="64"/>
  <c r="AK220" i="64" s="1"/>
  <c r="AM220" i="64" s="1"/>
  <c r="AI219" i="64"/>
  <c r="AK219" i="64" s="1"/>
  <c r="AM219" i="64" s="1"/>
  <c r="AI218" i="64"/>
  <c r="AK218" i="64" s="1"/>
  <c r="AM218" i="64" s="1"/>
  <c r="AI217" i="64"/>
  <c r="AK217" i="64" s="1"/>
  <c r="AM217" i="64" s="1"/>
  <c r="AI216" i="64"/>
  <c r="AK216" i="64" s="1"/>
  <c r="AM216" i="64" s="1"/>
  <c r="AI215" i="64"/>
  <c r="AK215" i="64" s="1"/>
  <c r="AM215" i="64" s="1"/>
  <c r="AI214" i="64"/>
  <c r="AK214" i="64" s="1"/>
  <c r="AM214" i="64" s="1"/>
  <c r="AI213" i="64"/>
  <c r="AK213" i="64" s="1"/>
  <c r="AM213" i="64" s="1"/>
  <c r="AI212" i="64"/>
  <c r="AK212" i="64" s="1"/>
  <c r="AM212" i="64" s="1"/>
  <c r="AI211" i="64"/>
  <c r="AK211" i="64" s="1"/>
  <c r="AM211" i="64" s="1"/>
  <c r="AI210" i="64"/>
  <c r="AK210" i="64" s="1"/>
  <c r="AM210" i="64" s="1"/>
  <c r="AI209" i="64"/>
  <c r="AK209" i="64" s="1"/>
  <c r="AM209" i="64" s="1"/>
  <c r="AI208" i="64"/>
  <c r="AK208" i="64" s="1"/>
  <c r="AM208" i="64" s="1"/>
  <c r="AI207" i="64"/>
  <c r="AK207" i="64" s="1"/>
  <c r="AM207" i="64" s="1"/>
  <c r="AI206" i="64"/>
  <c r="AK206" i="64" s="1"/>
  <c r="AM206" i="64" s="1"/>
  <c r="AI205" i="64"/>
  <c r="AK205" i="64" s="1"/>
  <c r="AM205" i="64" s="1"/>
  <c r="AI204" i="64"/>
  <c r="AK204" i="64" s="1"/>
  <c r="AM204" i="64" s="1"/>
  <c r="AI203" i="64"/>
  <c r="AK203" i="64" s="1"/>
  <c r="AM203" i="64" s="1"/>
  <c r="AI202" i="64"/>
  <c r="AK202" i="64" s="1"/>
  <c r="AM202" i="64" s="1"/>
  <c r="AI201" i="64"/>
  <c r="AK201" i="64" s="1"/>
  <c r="AM201" i="64" s="1"/>
  <c r="AI200" i="64"/>
  <c r="AK200" i="64" s="1"/>
  <c r="AM200" i="64" s="1"/>
  <c r="AI199" i="64"/>
  <c r="AK199" i="64" s="1"/>
  <c r="AM199" i="64" s="1"/>
  <c r="AI198" i="64"/>
  <c r="AK198" i="64" s="1"/>
  <c r="AM198" i="64" s="1"/>
  <c r="AI197" i="64"/>
  <c r="AK197" i="64" s="1"/>
  <c r="AM197" i="64" s="1"/>
  <c r="AI196" i="64"/>
  <c r="AK196" i="64" s="1"/>
  <c r="AM196" i="64" s="1"/>
  <c r="AI195" i="64"/>
  <c r="AK195" i="64" s="1"/>
  <c r="AM195" i="64" s="1"/>
  <c r="AI194" i="64"/>
  <c r="AK194" i="64" s="1"/>
  <c r="AM194" i="64" s="1"/>
  <c r="AI193" i="64"/>
  <c r="AK193" i="64" s="1"/>
  <c r="AM193" i="64" s="1"/>
  <c r="AI192" i="64"/>
  <c r="AK192" i="64" s="1"/>
  <c r="AM192" i="64" s="1"/>
  <c r="AI191" i="64"/>
  <c r="AK191" i="64" s="1"/>
  <c r="AM191" i="64" s="1"/>
  <c r="AI190" i="64"/>
  <c r="AK190" i="64" s="1"/>
  <c r="AM190" i="64" s="1"/>
  <c r="AI189" i="64"/>
  <c r="AK189" i="64" s="1"/>
  <c r="AM189" i="64" s="1"/>
  <c r="AI188" i="64"/>
  <c r="AK188" i="64" s="1"/>
  <c r="AM188" i="64" s="1"/>
  <c r="AI187" i="64"/>
  <c r="AK187" i="64" s="1"/>
  <c r="AM187" i="64" s="1"/>
  <c r="AI186" i="64"/>
  <c r="AK186" i="64" s="1"/>
  <c r="AM186" i="64" s="1"/>
  <c r="AI185" i="64"/>
  <c r="AK185" i="64" s="1"/>
  <c r="AM185" i="64" s="1"/>
  <c r="AI184" i="64"/>
  <c r="AK184" i="64" s="1"/>
  <c r="AM184" i="64" s="1"/>
  <c r="AI183" i="64"/>
  <c r="AK183" i="64" s="1"/>
  <c r="AM183" i="64" s="1"/>
  <c r="AI182" i="64"/>
  <c r="AK182" i="64" s="1"/>
  <c r="AM182" i="64" s="1"/>
  <c r="AI181" i="64"/>
  <c r="AK181" i="64" s="1"/>
  <c r="AM181" i="64" s="1"/>
  <c r="AI180" i="64"/>
  <c r="AK180" i="64" s="1"/>
  <c r="AM180" i="64" s="1"/>
  <c r="AI179" i="64"/>
  <c r="AK179" i="64" s="1"/>
  <c r="AM179" i="64" s="1"/>
  <c r="AI178" i="64"/>
  <c r="AK178" i="64" s="1"/>
  <c r="AM178" i="64" s="1"/>
  <c r="AI177" i="64"/>
  <c r="AK177" i="64" s="1"/>
  <c r="AM177" i="64" s="1"/>
  <c r="AI176" i="64"/>
  <c r="AK176" i="64" s="1"/>
  <c r="AM176" i="64" s="1"/>
  <c r="AI175" i="64"/>
  <c r="AK175" i="64" s="1"/>
  <c r="AM175" i="64" s="1"/>
  <c r="AI174" i="64"/>
  <c r="AK174" i="64" s="1"/>
  <c r="AM174" i="64" s="1"/>
  <c r="AI173" i="64"/>
  <c r="AK173" i="64" s="1"/>
  <c r="AM173" i="64" s="1"/>
  <c r="AI172" i="64"/>
  <c r="AK172" i="64" s="1"/>
  <c r="AM172" i="64" s="1"/>
  <c r="AI171" i="64"/>
  <c r="AK171" i="64" s="1"/>
  <c r="AM171" i="64" s="1"/>
  <c r="AI170" i="64"/>
  <c r="AK170" i="64" s="1"/>
  <c r="AM170" i="64" s="1"/>
  <c r="AH169" i="64"/>
  <c r="AF169" i="64"/>
  <c r="AD169" i="64"/>
  <c r="AC169" i="64"/>
  <c r="AB169" i="64"/>
  <c r="AI168" i="64"/>
  <c r="AK168" i="64" s="1"/>
  <c r="AM168" i="64" s="1"/>
  <c r="AI167" i="64"/>
  <c r="AK167" i="64" s="1"/>
  <c r="AM167" i="64" s="1"/>
  <c r="AI166" i="64"/>
  <c r="AK166" i="64" s="1"/>
  <c r="AM166" i="64" s="1"/>
  <c r="Y165" i="64"/>
  <c r="X165" i="64"/>
  <c r="W165" i="64"/>
  <c r="U165" i="64"/>
  <c r="AI164" i="64"/>
  <c r="AK164" i="64" s="1"/>
  <c r="AM164" i="64" s="1"/>
  <c r="AI163" i="64"/>
  <c r="AK163" i="64" s="1"/>
  <c r="AM163" i="64" s="1"/>
  <c r="AI162" i="64"/>
  <c r="AK162" i="64" s="1"/>
  <c r="AM162" i="64" s="1"/>
  <c r="AI161" i="64"/>
  <c r="AK161" i="64" s="1"/>
  <c r="AM161" i="64" s="1"/>
  <c r="AI160" i="64"/>
  <c r="AK160" i="64" s="1"/>
  <c r="AM160" i="64" s="1"/>
  <c r="AI159" i="64"/>
  <c r="AK159" i="64" s="1"/>
  <c r="AM159" i="64" s="1"/>
  <c r="AI158" i="64"/>
  <c r="AK158" i="64" s="1"/>
  <c r="AM158" i="64" s="1"/>
  <c r="Q157" i="64"/>
  <c r="P157" i="64"/>
  <c r="O157" i="64"/>
  <c r="Q156" i="64"/>
  <c r="P156" i="64"/>
  <c r="AI155" i="64"/>
  <c r="AK155" i="64" s="1"/>
  <c r="AM155" i="64" s="1"/>
  <c r="AI154" i="64"/>
  <c r="AK154" i="64" s="1"/>
  <c r="AM154" i="64" s="1"/>
  <c r="F153" i="64"/>
  <c r="AI153" i="64" s="1"/>
  <c r="AK153" i="64" s="1"/>
  <c r="AM153" i="64" s="1"/>
  <c r="G152" i="64"/>
  <c r="AI152" i="64" s="1"/>
  <c r="AK152" i="64" s="1"/>
  <c r="AM152" i="64" s="1"/>
  <c r="AI151" i="64"/>
  <c r="AK151" i="64" s="1"/>
  <c r="AM151" i="64" s="1"/>
  <c r="AI150" i="64"/>
  <c r="AK150" i="64" s="1"/>
  <c r="AM150" i="64" s="1"/>
  <c r="AI149" i="64"/>
  <c r="AK149" i="64" s="1"/>
  <c r="AM149" i="64" s="1"/>
  <c r="AI148" i="64"/>
  <c r="AK148" i="64" s="1"/>
  <c r="AM148" i="64" s="1"/>
  <c r="AI147" i="64"/>
  <c r="AK147" i="64" s="1"/>
  <c r="AM147" i="64" s="1"/>
  <c r="AI146" i="64"/>
  <c r="AK146" i="64" s="1"/>
  <c r="AM146" i="64" s="1"/>
  <c r="AI145" i="64"/>
  <c r="AK145" i="64" s="1"/>
  <c r="AM145" i="64" s="1"/>
  <c r="AI144" i="64"/>
  <c r="AK144" i="64" s="1"/>
  <c r="AM144" i="64" s="1"/>
  <c r="AI143" i="64"/>
  <c r="AK143" i="64" s="1"/>
  <c r="AM143" i="64" s="1"/>
  <c r="AI142" i="64"/>
  <c r="AK142" i="64" s="1"/>
  <c r="AM142" i="64" s="1"/>
  <c r="AI141" i="64"/>
  <c r="AK141" i="64" s="1"/>
  <c r="AM141" i="64" s="1"/>
  <c r="AI140" i="64"/>
  <c r="AK140" i="64" s="1"/>
  <c r="AM140" i="64" s="1"/>
  <c r="AI139" i="64"/>
  <c r="AK139" i="64" s="1"/>
  <c r="AM139" i="64" s="1"/>
  <c r="AI138" i="64"/>
  <c r="AK138" i="64" s="1"/>
  <c r="AM138" i="64" s="1"/>
  <c r="AI137" i="64"/>
  <c r="AK137" i="64" s="1"/>
  <c r="AM137" i="64" s="1"/>
  <c r="AI136" i="64"/>
  <c r="AK136" i="64" s="1"/>
  <c r="AM136" i="64" s="1"/>
  <c r="AI135" i="64"/>
  <c r="AK135" i="64" s="1"/>
  <c r="AM135" i="64" s="1"/>
  <c r="AI134" i="64"/>
  <c r="AK134" i="64" s="1"/>
  <c r="AM134" i="64" s="1"/>
  <c r="AI133" i="64"/>
  <c r="AK133" i="64" s="1"/>
  <c r="AM133" i="64" s="1"/>
  <c r="AI132" i="64"/>
  <c r="AK132" i="64" s="1"/>
  <c r="AM132" i="64" s="1"/>
  <c r="AI131" i="64"/>
  <c r="AK131" i="64" s="1"/>
  <c r="AM131" i="64" s="1"/>
  <c r="AI130" i="64"/>
  <c r="AK130" i="64" s="1"/>
  <c r="AM130" i="64" s="1"/>
  <c r="AI129" i="64"/>
  <c r="AK129" i="64" s="1"/>
  <c r="AM129" i="64" s="1"/>
  <c r="AI128" i="64"/>
  <c r="AK128" i="64" s="1"/>
  <c r="AM128" i="64" s="1"/>
  <c r="AI127" i="64"/>
  <c r="AK127" i="64" s="1"/>
  <c r="AM127" i="64" s="1"/>
  <c r="AI126" i="64"/>
  <c r="AK126" i="64" s="1"/>
  <c r="AM126" i="64" s="1"/>
  <c r="AI125" i="64"/>
  <c r="AK125" i="64" s="1"/>
  <c r="AM125" i="64" s="1"/>
  <c r="AI124" i="64"/>
  <c r="AK124" i="64" s="1"/>
  <c r="AM124" i="64" s="1"/>
  <c r="AI123" i="64"/>
  <c r="AK123" i="64" s="1"/>
  <c r="AM123" i="64" s="1"/>
  <c r="AI122" i="64"/>
  <c r="AK122" i="64" s="1"/>
  <c r="AM122" i="64" s="1"/>
  <c r="AH121" i="64"/>
  <c r="AF121" i="64"/>
  <c r="AD121" i="64"/>
  <c r="AC121" i="64"/>
  <c r="AB121" i="64"/>
  <c r="AI120" i="64"/>
  <c r="AK120" i="64" s="1"/>
  <c r="AM120" i="64" s="1"/>
  <c r="AI119" i="64"/>
  <c r="AK119" i="64" s="1"/>
  <c r="AM119" i="64" s="1"/>
  <c r="AI118" i="64"/>
  <c r="AK118" i="64" s="1"/>
  <c r="AM118" i="64" s="1"/>
  <c r="Y117" i="64"/>
  <c r="X117" i="64"/>
  <c r="W117" i="64"/>
  <c r="AI116" i="64"/>
  <c r="AK116" i="64" s="1"/>
  <c r="AM116" i="64" s="1"/>
  <c r="AI115" i="64"/>
  <c r="AK115" i="64" s="1"/>
  <c r="AM115" i="64" s="1"/>
  <c r="AI114" i="64"/>
  <c r="AK114" i="64" s="1"/>
  <c r="AM114" i="64" s="1"/>
  <c r="AI113" i="64"/>
  <c r="AK113" i="64" s="1"/>
  <c r="AM113" i="64" s="1"/>
  <c r="AI112" i="64"/>
  <c r="AK112" i="64" s="1"/>
  <c r="AM112" i="64" s="1"/>
  <c r="AI111" i="64"/>
  <c r="AK111" i="64" s="1"/>
  <c r="AM111" i="64" s="1"/>
  <c r="AI110" i="64"/>
  <c r="AK110" i="64" s="1"/>
  <c r="AM110" i="64" s="1"/>
  <c r="R109" i="64"/>
  <c r="Q109" i="64"/>
  <c r="T108" i="64"/>
  <c r="Q108" i="64"/>
  <c r="AI107" i="64"/>
  <c r="AK107" i="64" s="1"/>
  <c r="AM107" i="64" s="1"/>
  <c r="AI106" i="64"/>
  <c r="AK106" i="64" s="1"/>
  <c r="AM106" i="64" s="1"/>
  <c r="H105" i="64"/>
  <c r="AI105" i="64" s="1"/>
  <c r="AK105" i="64" s="1"/>
  <c r="AM105" i="64" s="1"/>
  <c r="I104" i="64"/>
  <c r="AI104" i="64" s="1"/>
  <c r="AK104" i="64" s="1"/>
  <c r="AM104" i="64" s="1"/>
  <c r="AI103" i="64"/>
  <c r="AK103" i="64" s="1"/>
  <c r="AM103" i="64" s="1"/>
  <c r="AI102" i="64"/>
  <c r="AK102" i="64" s="1"/>
  <c r="AM102" i="64" s="1"/>
  <c r="AI101" i="64"/>
  <c r="AK101" i="64" s="1"/>
  <c r="AM101" i="64" s="1"/>
  <c r="AI100" i="64"/>
  <c r="AK100" i="64" s="1"/>
  <c r="AM100" i="64" s="1"/>
  <c r="AI99" i="64"/>
  <c r="AK99" i="64" s="1"/>
  <c r="AM99" i="64" s="1"/>
  <c r="AI98" i="64"/>
  <c r="AK98" i="64" s="1"/>
  <c r="AM98" i="64" s="1"/>
  <c r="AI97" i="64"/>
  <c r="AK97" i="64" s="1"/>
  <c r="AM97" i="64" s="1"/>
  <c r="AI96" i="64"/>
  <c r="AK96" i="64" s="1"/>
  <c r="AM96" i="64" s="1"/>
  <c r="AI95" i="64"/>
  <c r="AK95" i="64" s="1"/>
  <c r="AM95" i="64" s="1"/>
  <c r="AI94" i="64"/>
  <c r="AK94" i="64" s="1"/>
  <c r="AM94" i="64" s="1"/>
  <c r="AI93" i="64"/>
  <c r="AK93" i="64" s="1"/>
  <c r="AM93" i="64" s="1"/>
  <c r="AI92" i="64"/>
  <c r="AK92" i="64" s="1"/>
  <c r="AM92" i="64" s="1"/>
  <c r="AI91" i="64"/>
  <c r="AK91" i="64" s="1"/>
  <c r="AM91" i="64" s="1"/>
  <c r="AI90" i="64"/>
  <c r="AK90" i="64" s="1"/>
  <c r="AM90" i="64" s="1"/>
  <c r="AI89" i="64"/>
  <c r="AK89" i="64" s="1"/>
  <c r="AM89" i="64" s="1"/>
  <c r="AI88" i="64"/>
  <c r="AK88" i="64" s="1"/>
  <c r="AM88" i="64" s="1"/>
  <c r="AI87" i="64"/>
  <c r="AK87" i="64" s="1"/>
  <c r="AM87" i="64" s="1"/>
  <c r="AI86" i="64"/>
  <c r="AK86" i="64" s="1"/>
  <c r="AM86" i="64" s="1"/>
  <c r="AI85" i="64"/>
  <c r="AK85" i="64" s="1"/>
  <c r="AM85" i="64" s="1"/>
  <c r="AI84" i="64"/>
  <c r="AK84" i="64" s="1"/>
  <c r="AM84" i="64" s="1"/>
  <c r="AI83" i="64"/>
  <c r="AK83" i="64" s="1"/>
  <c r="AM83" i="64" s="1"/>
  <c r="AI82" i="64"/>
  <c r="AK82" i="64" s="1"/>
  <c r="AM82" i="64" s="1"/>
  <c r="AI81" i="64"/>
  <c r="AK81" i="64" s="1"/>
  <c r="AM81" i="64" s="1"/>
  <c r="AI80" i="64"/>
  <c r="AK80" i="64" s="1"/>
  <c r="AM80" i="64" s="1"/>
  <c r="AI79" i="64"/>
  <c r="AK79" i="64" s="1"/>
  <c r="AM79" i="64" s="1"/>
  <c r="AI78" i="64"/>
  <c r="AK78" i="64" s="1"/>
  <c r="AM78" i="64" s="1"/>
  <c r="AI77" i="64"/>
  <c r="AK77" i="64" s="1"/>
  <c r="AM77" i="64" s="1"/>
  <c r="AI76" i="64"/>
  <c r="AK76" i="64" s="1"/>
  <c r="AM76" i="64" s="1"/>
  <c r="AI75" i="64"/>
  <c r="AK75" i="64" s="1"/>
  <c r="AM75" i="64" s="1"/>
  <c r="AI74" i="64"/>
  <c r="AK74" i="64" s="1"/>
  <c r="AM74" i="64" s="1"/>
  <c r="AI73" i="64"/>
  <c r="AK73" i="64" s="1"/>
  <c r="AM73" i="64" s="1"/>
  <c r="AI72" i="64"/>
  <c r="AK72" i="64" s="1"/>
  <c r="AM72" i="64" s="1"/>
  <c r="AI71" i="64"/>
  <c r="AK71" i="64" s="1"/>
  <c r="AM71" i="64" s="1"/>
  <c r="AI70" i="64"/>
  <c r="AK70" i="64" s="1"/>
  <c r="AM70" i="64" s="1"/>
  <c r="AI69" i="64"/>
  <c r="AK69" i="64" s="1"/>
  <c r="AM69" i="64" s="1"/>
  <c r="AI68" i="64"/>
  <c r="AK68" i="64" s="1"/>
  <c r="AM68" i="64" s="1"/>
  <c r="AI67" i="64"/>
  <c r="AK67" i="64" s="1"/>
  <c r="AM67" i="64" s="1"/>
  <c r="AI66" i="64"/>
  <c r="AK66" i="64" s="1"/>
  <c r="AM66" i="64" s="1"/>
  <c r="AI65" i="64"/>
  <c r="AK65" i="64" s="1"/>
  <c r="AM65" i="64" s="1"/>
  <c r="AI64" i="64"/>
  <c r="AK64" i="64" s="1"/>
  <c r="AM64" i="64" s="1"/>
  <c r="AI63" i="64"/>
  <c r="AK63" i="64" s="1"/>
  <c r="AM63" i="64" s="1"/>
  <c r="AI62" i="64"/>
  <c r="AK62" i="64" s="1"/>
  <c r="AM62" i="64" s="1"/>
  <c r="AI61" i="64"/>
  <c r="AK61" i="64" s="1"/>
  <c r="AM61" i="64" s="1"/>
  <c r="AI60" i="64"/>
  <c r="AK60" i="64" s="1"/>
  <c r="AM60" i="64" s="1"/>
  <c r="AI59" i="64"/>
  <c r="AK59" i="64" s="1"/>
  <c r="AM59" i="64" s="1"/>
  <c r="AI58" i="64"/>
  <c r="AK58" i="64" s="1"/>
  <c r="AM58" i="64" s="1"/>
  <c r="AI57" i="64"/>
  <c r="AK57" i="64" s="1"/>
  <c r="AM57" i="64" s="1"/>
  <c r="AI56" i="64"/>
  <c r="AK56" i="64" s="1"/>
  <c r="AM56" i="64" s="1"/>
  <c r="AI55" i="64"/>
  <c r="AK55" i="64" s="1"/>
  <c r="AM55" i="64" s="1"/>
  <c r="AI54" i="64"/>
  <c r="AK54" i="64" s="1"/>
  <c r="AM54" i="64" s="1"/>
  <c r="AI53" i="64"/>
  <c r="AK53" i="64" s="1"/>
  <c r="AM53" i="64" s="1"/>
  <c r="AI52" i="64"/>
  <c r="AK52" i="64" s="1"/>
  <c r="AM52" i="64" s="1"/>
  <c r="AI51" i="64"/>
  <c r="AK51" i="64" s="1"/>
  <c r="AM51" i="64" s="1"/>
  <c r="AI50" i="64"/>
  <c r="AK50" i="64" s="1"/>
  <c r="AM50" i="64" s="1"/>
  <c r="AI49" i="64"/>
  <c r="AK49" i="64" s="1"/>
  <c r="AM49" i="64" s="1"/>
  <c r="AI48" i="64"/>
  <c r="AK48" i="64" s="1"/>
  <c r="AM48" i="64" s="1"/>
  <c r="AI47" i="64"/>
  <c r="AK47" i="64" s="1"/>
  <c r="AM47" i="64" s="1"/>
  <c r="AI46" i="64"/>
  <c r="AK46" i="64" s="1"/>
  <c r="AM46" i="64" s="1"/>
  <c r="AI45" i="64"/>
  <c r="AK45" i="64" s="1"/>
  <c r="AM45" i="64" s="1"/>
  <c r="AI44" i="64"/>
  <c r="AK44" i="64" s="1"/>
  <c r="AM44" i="64" s="1"/>
  <c r="AI43" i="64"/>
  <c r="AK43" i="64" s="1"/>
  <c r="AM43" i="64" s="1"/>
  <c r="AI42" i="64"/>
  <c r="AK42" i="64" s="1"/>
  <c r="AM42" i="64" s="1"/>
  <c r="AI41" i="64"/>
  <c r="AK41" i="64" s="1"/>
  <c r="AM41" i="64" s="1"/>
  <c r="AI40" i="64"/>
  <c r="AK40" i="64" s="1"/>
  <c r="AM40" i="64" s="1"/>
  <c r="AI39" i="64"/>
  <c r="AK39" i="64" s="1"/>
  <c r="AM39" i="64" s="1"/>
  <c r="AI38" i="64"/>
  <c r="AK38" i="64" s="1"/>
  <c r="AM38" i="64" s="1"/>
  <c r="AI37" i="64"/>
  <c r="AK37" i="64" s="1"/>
  <c r="AM37" i="64" s="1"/>
  <c r="AI36" i="64"/>
  <c r="AK36" i="64" s="1"/>
  <c r="AM36" i="64" s="1"/>
  <c r="AI35" i="64"/>
  <c r="AK35" i="64" s="1"/>
  <c r="AM35" i="64" s="1"/>
  <c r="AI34" i="64"/>
  <c r="AK34" i="64" s="1"/>
  <c r="AM34" i="64" s="1"/>
  <c r="AI33" i="64"/>
  <c r="AK33" i="64" s="1"/>
  <c r="AM33" i="64" s="1"/>
  <c r="AI32" i="64"/>
  <c r="AK32" i="64" s="1"/>
  <c r="AM32" i="64" s="1"/>
  <c r="AI31" i="64"/>
  <c r="AK31" i="64" s="1"/>
  <c r="AM31" i="64" s="1"/>
  <c r="AI30" i="64"/>
  <c r="AK30" i="64" s="1"/>
  <c r="AM30" i="64" s="1"/>
  <c r="AI29" i="64"/>
  <c r="AK29" i="64" s="1"/>
  <c r="AM29" i="64" s="1"/>
  <c r="AI28" i="64"/>
  <c r="AK28" i="64" s="1"/>
  <c r="AM28" i="64" s="1"/>
  <c r="AI27" i="64"/>
  <c r="AK27" i="64" s="1"/>
  <c r="AM27" i="64" s="1"/>
  <c r="AI26" i="64"/>
  <c r="AK26" i="64" s="1"/>
  <c r="AM26" i="64" s="1"/>
  <c r="AI25" i="64"/>
  <c r="AK25" i="64" s="1"/>
  <c r="AM25" i="64" s="1"/>
  <c r="AI24" i="64"/>
  <c r="AK24" i="64" s="1"/>
  <c r="AM24" i="64" s="1"/>
  <c r="AI23" i="64"/>
  <c r="AK23" i="64" s="1"/>
  <c r="AM23" i="64" s="1"/>
  <c r="AI22" i="64"/>
  <c r="AK22" i="64" s="1"/>
  <c r="AM22" i="64" s="1"/>
  <c r="AI21" i="64"/>
  <c r="AK21" i="64" s="1"/>
  <c r="AM21" i="64" s="1"/>
  <c r="AI20" i="64"/>
  <c r="AK20" i="64" s="1"/>
  <c r="AM20" i="64" s="1"/>
  <c r="AI19" i="64"/>
  <c r="AK19" i="64" s="1"/>
  <c r="AM19" i="64" s="1"/>
  <c r="AI18" i="64"/>
  <c r="AK18" i="64" s="1"/>
  <c r="AM18" i="64" s="1"/>
  <c r="AI17" i="64"/>
  <c r="AK17" i="64" s="1"/>
  <c r="AM17" i="64" s="1"/>
  <c r="AI16" i="64"/>
  <c r="AK16" i="64" s="1"/>
  <c r="AM16" i="64" s="1"/>
  <c r="AI15" i="64"/>
  <c r="AK15" i="64" s="1"/>
  <c r="AM15" i="64" s="1"/>
  <c r="AI14" i="64"/>
  <c r="AK14" i="64" s="1"/>
  <c r="AM14" i="64" s="1"/>
  <c r="AI13" i="64"/>
  <c r="AK13" i="64" s="1"/>
  <c r="AM13" i="64" s="1"/>
  <c r="AI12" i="64"/>
  <c r="AI11" i="64"/>
  <c r="E9" i="64"/>
  <c r="F9" i="64" s="1"/>
  <c r="G9" i="64" s="1"/>
  <c r="H9" i="64" s="1"/>
  <c r="I9" i="64" s="1"/>
  <c r="J9" i="64" s="1"/>
  <c r="K9" i="64" s="1"/>
  <c r="L9" i="64" s="1"/>
  <c r="M9" i="64" s="1"/>
  <c r="N9" i="64" s="1"/>
  <c r="O9" i="64" s="1"/>
  <c r="P9" i="64" s="1"/>
  <c r="Q9" i="64" s="1"/>
  <c r="R9" i="64" s="1"/>
  <c r="S9" i="64" s="1"/>
  <c r="T9" i="64" s="1"/>
  <c r="U9" i="64" s="1"/>
  <c r="V9" i="64" s="1"/>
  <c r="W9" i="64" s="1"/>
  <c r="X9" i="64" s="1"/>
  <c r="Y9" i="64" s="1"/>
  <c r="Z9" i="64" s="1"/>
  <c r="AA9" i="64" s="1"/>
  <c r="AB9" i="64" s="1"/>
  <c r="AC9" i="64" s="1"/>
  <c r="AD9" i="64" s="1"/>
  <c r="AE9" i="64" s="1"/>
  <c r="AF9" i="64" s="1"/>
  <c r="AG9" i="64" s="1"/>
  <c r="AH9" i="64" s="1"/>
  <c r="B5" i="64"/>
  <c r="AI156" i="64" l="1"/>
  <c r="AK156" i="64" s="1"/>
  <c r="AM156" i="64" s="1"/>
  <c r="AI109" i="64"/>
  <c r="AK109" i="64" s="1"/>
  <c r="AM109" i="64" s="1"/>
  <c r="AI108" i="64"/>
  <c r="AK108" i="64" s="1"/>
  <c r="AM108" i="64" s="1"/>
  <c r="AI169" i="64"/>
  <c r="AK169" i="64" s="1"/>
  <c r="AM169" i="64" s="1"/>
  <c r="AI117" i="64"/>
  <c r="AK117" i="64" s="1"/>
  <c r="AM117" i="64" s="1"/>
  <c r="AI121" i="64"/>
  <c r="AK121" i="64" s="1"/>
  <c r="AM121" i="64" s="1"/>
  <c r="AI157" i="64"/>
  <c r="AK157" i="64" s="1"/>
  <c r="AM157" i="64" s="1"/>
  <c r="AI165" i="64"/>
  <c r="AK165" i="64" s="1"/>
  <c r="AM165" i="64" s="1"/>
  <c r="Q63" i="63" l="1"/>
  <c r="Q59" i="63"/>
  <c r="Q67" i="63" l="1"/>
  <c r="Q68" i="63"/>
  <c r="Q51" i="63" l="1"/>
  <c r="Q47" i="63"/>
  <c r="Q50" i="63"/>
  <c r="Q46" i="63"/>
  <c r="Q62" i="63"/>
  <c r="Q58" i="63"/>
  <c r="Q60" i="63"/>
  <c r="Q48" i="63"/>
  <c r="Q23" i="63" l="1"/>
  <c r="Q22" i="63"/>
  <c r="Q16" i="63" l="1"/>
  <c r="Q71" i="63"/>
  <c r="K67" i="63"/>
  <c r="H67" i="63"/>
  <c r="J64" i="63"/>
  <c r="H64" i="63"/>
  <c r="I24" i="63"/>
  <c r="K24" i="63" s="1"/>
  <c r="H24" i="63"/>
  <c r="I23" i="63"/>
  <c r="J23" i="63" s="1"/>
  <c r="H23" i="63"/>
  <c r="I22" i="63"/>
  <c r="K22" i="63" s="1"/>
  <c r="H22" i="63"/>
  <c r="I21" i="63"/>
  <c r="J21" i="63" s="1"/>
  <c r="H21" i="63"/>
  <c r="I20" i="63"/>
  <c r="K20" i="63" s="1"/>
  <c r="H20" i="63"/>
  <c r="K19" i="63"/>
  <c r="H19" i="63"/>
  <c r="K18" i="63"/>
  <c r="H18" i="63"/>
  <c r="I17" i="63"/>
  <c r="H17" i="63"/>
  <c r="I16" i="63"/>
  <c r="K16" i="63" s="1"/>
  <c r="R16" i="63" s="1"/>
  <c r="H16" i="63"/>
  <c r="H69" i="63" s="1"/>
  <c r="P15" i="63"/>
  <c r="M15" i="63"/>
  <c r="P7" i="63"/>
  <c r="P6" i="63"/>
  <c r="D6" i="63"/>
  <c r="P5" i="63"/>
  <c r="D5" i="63"/>
  <c r="D4" i="63"/>
  <c r="A3" i="63"/>
  <c r="K21" i="63" l="1"/>
  <c r="D21" i="63" s="1"/>
  <c r="F21" i="63" s="1"/>
  <c r="J17" i="63"/>
  <c r="K17" i="63"/>
  <c r="D17" i="63" s="1"/>
  <c r="N17" i="63" s="1"/>
  <c r="O17" i="63" s="1"/>
  <c r="H84" i="63"/>
  <c r="H75" i="63"/>
  <c r="K64" i="63"/>
  <c r="D64" i="63" s="1"/>
  <c r="F64" i="63" s="1"/>
  <c r="J20" i="63"/>
  <c r="J24" i="63"/>
  <c r="L20" i="63"/>
  <c r="D20" i="63"/>
  <c r="F20" i="63" s="1"/>
  <c r="L24" i="63"/>
  <c r="D24" i="63"/>
  <c r="F24" i="63" s="1"/>
  <c r="L16" i="63"/>
  <c r="L69" i="63" s="1"/>
  <c r="D16" i="63"/>
  <c r="F16" i="63" s="1"/>
  <c r="J16" i="63"/>
  <c r="L19" i="63"/>
  <c r="D19" i="63"/>
  <c r="D18" i="63"/>
  <c r="L18" i="63"/>
  <c r="D22" i="63"/>
  <c r="L22" i="63"/>
  <c r="L67" i="63"/>
  <c r="D67" i="63"/>
  <c r="J19" i="63"/>
  <c r="H70" i="63"/>
  <c r="H72" i="63"/>
  <c r="J18" i="63"/>
  <c r="J22" i="63"/>
  <c r="K23" i="63"/>
  <c r="J67" i="63"/>
  <c r="H71" i="63"/>
  <c r="H73" i="63"/>
  <c r="H74" i="63"/>
  <c r="N24" i="63" l="1"/>
  <c r="O24" i="63" s="1"/>
  <c r="P24" i="63" s="1"/>
  <c r="N21" i="63"/>
  <c r="O21" i="63" s="1"/>
  <c r="P21" i="63" s="1"/>
  <c r="M16" i="63"/>
  <c r="M20" i="63"/>
  <c r="L21" i="63"/>
  <c r="M21" i="63" s="1"/>
  <c r="M24" i="63"/>
  <c r="N64" i="63"/>
  <c r="O64" i="63" s="1"/>
  <c r="N16" i="63"/>
  <c r="O16" i="63" s="1"/>
  <c r="O69" i="63" s="1"/>
  <c r="O76" i="63" s="1"/>
  <c r="F69" i="63"/>
  <c r="H79" i="63" s="1"/>
  <c r="H76" i="63"/>
  <c r="F17" i="63"/>
  <c r="P17" i="63" s="1"/>
  <c r="L64" i="63"/>
  <c r="M64" i="63" s="1"/>
  <c r="P64" i="63"/>
  <c r="L17" i="63"/>
  <c r="N20" i="63"/>
  <c r="O20" i="63" s="1"/>
  <c r="P20" i="63" s="1"/>
  <c r="J69" i="63"/>
  <c r="F18" i="63"/>
  <c r="M18" i="63" s="1"/>
  <c r="N18" i="63"/>
  <c r="O18" i="63" s="1"/>
  <c r="L76" i="63"/>
  <c r="L72" i="63"/>
  <c r="L70" i="63"/>
  <c r="L81" i="63"/>
  <c r="L75" i="63"/>
  <c r="L74" i="63"/>
  <c r="L73" i="63"/>
  <c r="L71" i="63"/>
  <c r="F22" i="63"/>
  <c r="N22" i="63"/>
  <c r="O22" i="63" s="1"/>
  <c r="N19" i="63"/>
  <c r="O19" i="63" s="1"/>
  <c r="F19" i="63"/>
  <c r="M19" i="63" s="1"/>
  <c r="L23" i="63"/>
  <c r="D23" i="63"/>
  <c r="F67" i="63"/>
  <c r="N67" i="63"/>
  <c r="O67" i="63" s="1"/>
  <c r="F70" i="63" l="1"/>
  <c r="O70" i="63" s="1"/>
  <c r="P69" i="63"/>
  <c r="F74" i="63"/>
  <c r="O74" i="63" s="1"/>
  <c r="M79" i="63"/>
  <c r="M69" i="63"/>
  <c r="F76" i="63"/>
  <c r="M76" i="63" s="1"/>
  <c r="Q69" i="63"/>
  <c r="F72" i="63"/>
  <c r="O72" i="63" s="1"/>
  <c r="F73" i="63"/>
  <c r="O73" i="63" s="1"/>
  <c r="P79" i="63"/>
  <c r="P16" i="63"/>
  <c r="F71" i="63"/>
  <c r="O71" i="63" s="1"/>
  <c r="F75" i="63"/>
  <c r="O75" i="63" s="1"/>
  <c r="J79" i="63"/>
  <c r="M17" i="63"/>
  <c r="P18" i="63"/>
  <c r="J75" i="63"/>
  <c r="J74" i="63"/>
  <c r="J70" i="63"/>
  <c r="J71" i="63"/>
  <c r="J72" i="63"/>
  <c r="J73" i="63"/>
  <c r="P19" i="63"/>
  <c r="J76" i="63"/>
  <c r="P67" i="63"/>
  <c r="P22" i="63"/>
  <c r="N23" i="63"/>
  <c r="O23" i="63" s="1"/>
  <c r="F23" i="63"/>
  <c r="M23" i="63" s="1"/>
  <c r="M22" i="63"/>
  <c r="M67" i="63"/>
  <c r="M71" i="63" l="1"/>
  <c r="P23" i="63"/>
  <c r="AL66" i="62" l="1"/>
  <c r="AI64" i="62"/>
  <c r="AI63" i="62"/>
  <c r="AI62" i="62"/>
  <c r="AI52" i="62"/>
  <c r="AI51" i="62"/>
  <c r="AI50" i="62"/>
  <c r="AI40" i="62"/>
  <c r="AI39" i="62"/>
  <c r="AI38" i="62"/>
  <c r="AI23" i="62"/>
  <c r="AI22" i="62"/>
  <c r="AI21" i="62"/>
  <c r="AI20" i="62"/>
  <c r="AI19" i="62"/>
  <c r="AI18" i="62"/>
  <c r="AK18" i="62" s="1"/>
  <c r="AM18" i="62" s="1"/>
  <c r="AO18" i="62" s="1"/>
  <c r="AQ18" i="62" s="1"/>
  <c r="AI17" i="62"/>
  <c r="AK17" i="62" s="1"/>
  <c r="AM17" i="62" s="1"/>
  <c r="AO17" i="62" s="1"/>
  <c r="AQ17" i="62" s="1"/>
  <c r="AI16" i="62"/>
  <c r="AK16" i="62" s="1"/>
  <c r="AM16" i="62" s="1"/>
  <c r="AO16" i="62" s="1"/>
  <c r="AQ16" i="62" s="1"/>
  <c r="AI15" i="62"/>
  <c r="AK15" i="62" s="1"/>
  <c r="AM15" i="62" s="1"/>
  <c r="AO15" i="62" s="1"/>
  <c r="AQ15" i="62" s="1"/>
  <c r="AI14" i="62"/>
  <c r="AK14" i="62" s="1"/>
  <c r="AM14" i="62" s="1"/>
  <c r="AO14" i="62" s="1"/>
  <c r="AQ14" i="62" s="1"/>
  <c r="AP13" i="62"/>
  <c r="AL13" i="62"/>
  <c r="AI13" i="62"/>
  <c r="AK13" i="62" s="1"/>
  <c r="AO12" i="62"/>
  <c r="AI12" i="62"/>
  <c r="AK12" i="62" s="1"/>
  <c r="AO11" i="62"/>
  <c r="AI11" i="62"/>
  <c r="AK11" i="62" s="1"/>
  <c r="E9" i="62"/>
  <c r="F9" i="62" s="1"/>
  <c r="G9" i="62" s="1"/>
  <c r="H9" i="62" s="1"/>
  <c r="I9" i="62" s="1"/>
  <c r="J9" i="62" s="1"/>
  <c r="K9" i="62" s="1"/>
  <c r="L9" i="62" s="1"/>
  <c r="M9" i="62" s="1"/>
  <c r="N9" i="62" s="1"/>
  <c r="O9" i="62" s="1"/>
  <c r="P9" i="62" s="1"/>
  <c r="Q9" i="62" s="1"/>
  <c r="R9" i="62" s="1"/>
  <c r="S9" i="62" s="1"/>
  <c r="T9" i="62" s="1"/>
  <c r="U9" i="62" s="1"/>
  <c r="V9" i="62" s="1"/>
  <c r="W9" i="62" s="1"/>
  <c r="X9" i="62" s="1"/>
  <c r="Y9" i="62" s="1"/>
  <c r="Z9" i="62" s="1"/>
  <c r="AA9" i="62" s="1"/>
  <c r="AB9" i="62" s="1"/>
  <c r="AC9" i="62" s="1"/>
  <c r="AD9" i="62" s="1"/>
  <c r="AE9" i="62" s="1"/>
  <c r="AF9" i="62" s="1"/>
  <c r="AG9" i="62" s="1"/>
  <c r="AH9" i="62" s="1"/>
  <c r="B5" i="62"/>
  <c r="AM13" i="62" l="1"/>
  <c r="AO13" i="62" s="1"/>
  <c r="AQ13" i="62" s="1"/>
  <c r="G41" i="85" l="1"/>
  <c r="H41" i="85" s="1"/>
  <c r="E41" i="85" s="1"/>
  <c r="J41" i="85" s="1"/>
  <c r="K41" i="85" s="1"/>
  <c r="I41" i="85" l="1"/>
  <c r="AA582" i="58" l="1"/>
  <c r="Z582" i="58"/>
  <c r="X582" i="58"/>
  <c r="V582" i="58"/>
  <c r="AI581" i="58"/>
  <c r="AI580" i="58"/>
  <c r="R579" i="58"/>
  <c r="AI579" i="58" s="1"/>
  <c r="AI578" i="58"/>
  <c r="AI577" i="58"/>
  <c r="Q576" i="58"/>
  <c r="AI576" i="58" s="1"/>
  <c r="AI575" i="58"/>
  <c r="AI574" i="58"/>
  <c r="S573" i="58"/>
  <c r="AI573" i="58" s="1"/>
  <c r="X572" i="58"/>
  <c r="AI572" i="58" s="1"/>
  <c r="AI571" i="58"/>
  <c r="AI570" i="58"/>
  <c r="AG569" i="58"/>
  <c r="E569" i="58"/>
  <c r="AI568" i="58"/>
  <c r="AI566" i="58"/>
  <c r="AI565" i="58"/>
  <c r="AI564" i="58"/>
  <c r="AI562" i="58"/>
  <c r="AI560" i="58"/>
  <c r="AI558" i="58"/>
  <c r="AK558" i="58" s="1"/>
  <c r="AM558" i="58" s="1"/>
  <c r="AI557" i="58"/>
  <c r="AK557" i="58" s="1"/>
  <c r="AM557" i="58" s="1"/>
  <c r="AI556" i="58"/>
  <c r="AK556" i="58" s="1"/>
  <c r="AM556" i="58" s="1"/>
  <c r="AI555" i="58"/>
  <c r="AK555" i="58" s="1"/>
  <c r="AM555" i="58" s="1"/>
  <c r="AI554" i="58"/>
  <c r="AK554" i="58" s="1"/>
  <c r="AM554" i="58" s="1"/>
  <c r="AI553" i="58"/>
  <c r="AK553" i="58" s="1"/>
  <c r="AM553" i="58" s="1"/>
  <c r="AI552" i="58"/>
  <c r="AK552" i="58" s="1"/>
  <c r="AM552" i="58" s="1"/>
  <c r="AI551" i="58"/>
  <c r="AK551" i="58" s="1"/>
  <c r="AM551" i="58" s="1"/>
  <c r="AI550" i="58"/>
  <c r="AK550" i="58" s="1"/>
  <c r="AM550" i="58" s="1"/>
  <c r="AI549" i="58"/>
  <c r="AK549" i="58" s="1"/>
  <c r="AM549" i="58" s="1"/>
  <c r="AI548" i="58"/>
  <c r="AK548" i="58" s="1"/>
  <c r="AM548" i="58" s="1"/>
  <c r="AI547" i="58"/>
  <c r="AK547" i="58" s="1"/>
  <c r="AM547" i="58" s="1"/>
  <c r="AI546" i="58"/>
  <c r="AK546" i="58" s="1"/>
  <c r="AM546" i="58" s="1"/>
  <c r="AI545" i="58"/>
  <c r="AK545" i="58" s="1"/>
  <c r="AM545" i="58" s="1"/>
  <c r="AI544" i="58"/>
  <c r="AK544" i="58" s="1"/>
  <c r="AM544" i="58" s="1"/>
  <c r="AI543" i="58"/>
  <c r="AK543" i="58" s="1"/>
  <c r="AM543" i="58" s="1"/>
  <c r="AI542" i="58"/>
  <c r="AK542" i="58" s="1"/>
  <c r="AM542" i="58" s="1"/>
  <c r="AI541" i="58"/>
  <c r="AK541" i="58" s="1"/>
  <c r="AM541" i="58" s="1"/>
  <c r="AI540" i="58"/>
  <c r="AK540" i="58" s="1"/>
  <c r="AM540" i="58" s="1"/>
  <c r="AI539" i="58"/>
  <c r="AK539" i="58" s="1"/>
  <c r="AM539" i="58" s="1"/>
  <c r="AI538" i="58"/>
  <c r="AK538" i="58" s="1"/>
  <c r="AM538" i="58" s="1"/>
  <c r="AI537" i="58"/>
  <c r="AK537" i="58" s="1"/>
  <c r="AM537" i="58" s="1"/>
  <c r="AI536" i="58"/>
  <c r="AK536" i="58" s="1"/>
  <c r="AM536" i="58" s="1"/>
  <c r="AI535" i="58"/>
  <c r="AK535" i="58" s="1"/>
  <c r="AM535" i="58" s="1"/>
  <c r="AI534" i="58"/>
  <c r="AK534" i="58" s="1"/>
  <c r="AM534" i="58" s="1"/>
  <c r="AI533" i="58"/>
  <c r="AK533" i="58" s="1"/>
  <c r="AM533" i="58" s="1"/>
  <c r="AI532" i="58"/>
  <c r="AK532" i="58" s="1"/>
  <c r="AM532" i="58" s="1"/>
  <c r="AI531" i="58"/>
  <c r="AK531" i="58" s="1"/>
  <c r="AM531" i="58" s="1"/>
  <c r="AI530" i="58"/>
  <c r="AK530" i="58" s="1"/>
  <c r="AM530" i="58" s="1"/>
  <c r="AI529" i="58"/>
  <c r="AK529" i="58" s="1"/>
  <c r="AM529" i="58" s="1"/>
  <c r="AI528" i="58"/>
  <c r="AK528" i="58" s="1"/>
  <c r="AM528" i="58" s="1"/>
  <c r="AI527" i="58"/>
  <c r="AK527" i="58" s="1"/>
  <c r="AM527" i="58" s="1"/>
  <c r="AI526" i="58"/>
  <c r="AK526" i="58" s="1"/>
  <c r="AM526" i="58" s="1"/>
  <c r="AI525" i="58"/>
  <c r="AK525" i="58" s="1"/>
  <c r="AM525" i="58" s="1"/>
  <c r="AI524" i="58"/>
  <c r="AK524" i="58" s="1"/>
  <c r="AM524" i="58" s="1"/>
  <c r="AI523" i="58"/>
  <c r="AK523" i="58" s="1"/>
  <c r="AM523" i="58" s="1"/>
  <c r="AI522" i="58"/>
  <c r="AK522" i="58" s="1"/>
  <c r="AM522" i="58" s="1"/>
  <c r="AI521" i="58"/>
  <c r="AK521" i="58" s="1"/>
  <c r="AM521" i="58" s="1"/>
  <c r="AI520" i="58"/>
  <c r="AK520" i="58" s="1"/>
  <c r="AM520" i="58" s="1"/>
  <c r="AI519" i="58"/>
  <c r="AK519" i="58" s="1"/>
  <c r="AM519" i="58" s="1"/>
  <c r="AI518" i="58"/>
  <c r="AK518" i="58" s="1"/>
  <c r="AM518" i="58" s="1"/>
  <c r="AI517" i="58"/>
  <c r="AK517" i="58" s="1"/>
  <c r="AM517" i="58" s="1"/>
  <c r="AI516" i="58"/>
  <c r="AK516" i="58" s="1"/>
  <c r="AM516" i="58" s="1"/>
  <c r="AI515" i="58"/>
  <c r="AK515" i="58" s="1"/>
  <c r="AM515" i="58" s="1"/>
  <c r="AI514" i="58"/>
  <c r="AK514" i="58" s="1"/>
  <c r="AM514" i="58" s="1"/>
  <c r="AI513" i="58"/>
  <c r="AK513" i="58" s="1"/>
  <c r="AM513" i="58" s="1"/>
  <c r="AI512" i="58"/>
  <c r="AK512" i="58" s="1"/>
  <c r="AM512" i="58" s="1"/>
  <c r="AI511" i="58"/>
  <c r="AK511" i="58" s="1"/>
  <c r="AM511" i="58" s="1"/>
  <c r="AI510" i="58"/>
  <c r="AK510" i="58" s="1"/>
  <c r="AM510" i="58" s="1"/>
  <c r="AI509" i="58"/>
  <c r="AK509" i="58" s="1"/>
  <c r="AM509" i="58" s="1"/>
  <c r="AI508" i="58"/>
  <c r="AK508" i="58" s="1"/>
  <c r="AM508" i="58" s="1"/>
  <c r="AI507" i="58"/>
  <c r="AK507" i="58" s="1"/>
  <c r="AM507" i="58" s="1"/>
  <c r="AI506" i="58"/>
  <c r="AK506" i="58" s="1"/>
  <c r="AM506" i="58" s="1"/>
  <c r="AI505" i="58"/>
  <c r="AK505" i="58" s="1"/>
  <c r="AM505" i="58" s="1"/>
  <c r="AI504" i="58"/>
  <c r="AK504" i="58" s="1"/>
  <c r="AM504" i="58" s="1"/>
  <c r="AI503" i="58"/>
  <c r="AK503" i="58" s="1"/>
  <c r="AM503" i="58" s="1"/>
  <c r="AI502" i="58"/>
  <c r="AK502" i="58" s="1"/>
  <c r="AM502" i="58" s="1"/>
  <c r="AI501" i="58"/>
  <c r="AK501" i="58" s="1"/>
  <c r="AM501" i="58" s="1"/>
  <c r="AI500" i="58"/>
  <c r="AK500" i="58" s="1"/>
  <c r="AM500" i="58" s="1"/>
  <c r="AI499" i="58"/>
  <c r="AK499" i="58" s="1"/>
  <c r="AM499" i="58" s="1"/>
  <c r="AI498" i="58"/>
  <c r="AK498" i="58" s="1"/>
  <c r="AM498" i="58" s="1"/>
  <c r="AI497" i="58"/>
  <c r="AK497" i="58" s="1"/>
  <c r="AM497" i="58" s="1"/>
  <c r="AI496" i="58"/>
  <c r="AK496" i="58" s="1"/>
  <c r="AM496" i="58" s="1"/>
  <c r="AI495" i="58"/>
  <c r="AK495" i="58" s="1"/>
  <c r="AM495" i="58" s="1"/>
  <c r="AI494" i="58"/>
  <c r="AK494" i="58" s="1"/>
  <c r="AM494" i="58" s="1"/>
  <c r="AI493" i="58"/>
  <c r="AK493" i="58" s="1"/>
  <c r="AM493" i="58" s="1"/>
  <c r="AI492" i="58"/>
  <c r="AK492" i="58" s="1"/>
  <c r="AM492" i="58" s="1"/>
  <c r="AI491" i="58"/>
  <c r="AK491" i="58" s="1"/>
  <c r="AM491" i="58" s="1"/>
  <c r="AI490" i="58"/>
  <c r="AK490" i="58" s="1"/>
  <c r="AM490" i="58" s="1"/>
  <c r="AI489" i="58"/>
  <c r="AK489" i="58" s="1"/>
  <c r="AM489" i="58" s="1"/>
  <c r="AI488" i="58"/>
  <c r="AK488" i="58" s="1"/>
  <c r="AM488" i="58" s="1"/>
  <c r="AI487" i="58"/>
  <c r="AK487" i="58" s="1"/>
  <c r="AM487" i="58" s="1"/>
  <c r="AI486" i="58"/>
  <c r="AK486" i="58" s="1"/>
  <c r="AM486" i="58" s="1"/>
  <c r="AI485" i="58"/>
  <c r="AK485" i="58" s="1"/>
  <c r="AM485" i="58" s="1"/>
  <c r="AI484" i="58"/>
  <c r="AK484" i="58" s="1"/>
  <c r="AM484" i="58" s="1"/>
  <c r="AI483" i="58"/>
  <c r="AK483" i="58" s="1"/>
  <c r="AM483" i="58" s="1"/>
  <c r="AI482" i="58"/>
  <c r="AK482" i="58" s="1"/>
  <c r="AM482" i="58" s="1"/>
  <c r="AI481" i="58"/>
  <c r="AK481" i="58" s="1"/>
  <c r="AM481" i="58" s="1"/>
  <c r="AI480" i="58"/>
  <c r="AK480" i="58" s="1"/>
  <c r="AM480" i="58" s="1"/>
  <c r="AI479" i="58"/>
  <c r="AK479" i="58" s="1"/>
  <c r="AM479" i="58" s="1"/>
  <c r="AI478" i="58"/>
  <c r="AK478" i="58" s="1"/>
  <c r="AM478" i="58" s="1"/>
  <c r="AI477" i="58"/>
  <c r="AK477" i="58" s="1"/>
  <c r="AM477" i="58" s="1"/>
  <c r="AI476" i="58"/>
  <c r="AK476" i="58" s="1"/>
  <c r="AM476" i="58" s="1"/>
  <c r="AI475" i="58"/>
  <c r="AK475" i="58" s="1"/>
  <c r="AM475" i="58" s="1"/>
  <c r="AI474" i="58"/>
  <c r="AK474" i="58" s="1"/>
  <c r="AM474" i="58" s="1"/>
  <c r="AI473" i="58"/>
  <c r="AK473" i="58" s="1"/>
  <c r="AM473" i="58" s="1"/>
  <c r="AI472" i="58"/>
  <c r="AK472" i="58" s="1"/>
  <c r="AM472" i="58" s="1"/>
  <c r="AI471" i="58"/>
  <c r="AK471" i="58" s="1"/>
  <c r="AM471" i="58" s="1"/>
  <c r="AI470" i="58"/>
  <c r="AK470" i="58" s="1"/>
  <c r="AM470" i="58" s="1"/>
  <c r="AI469" i="58"/>
  <c r="AK469" i="58" s="1"/>
  <c r="AM469" i="58" s="1"/>
  <c r="AI468" i="58"/>
  <c r="AK468" i="58" s="1"/>
  <c r="AM468" i="58" s="1"/>
  <c r="AI467" i="58"/>
  <c r="AK467" i="58" s="1"/>
  <c r="AM467" i="58" s="1"/>
  <c r="AI466" i="58"/>
  <c r="AK466" i="58" s="1"/>
  <c r="AM466" i="58" s="1"/>
  <c r="AI465" i="58"/>
  <c r="AK465" i="58" s="1"/>
  <c r="AM465" i="58" s="1"/>
  <c r="AI464" i="58"/>
  <c r="AK464" i="58" s="1"/>
  <c r="AM464" i="58" s="1"/>
  <c r="AI463" i="58"/>
  <c r="AK463" i="58" s="1"/>
  <c r="AM463" i="58" s="1"/>
  <c r="AI462" i="58"/>
  <c r="AK462" i="58" s="1"/>
  <c r="AM462" i="58" s="1"/>
  <c r="AI461" i="58"/>
  <c r="AK461" i="58" s="1"/>
  <c r="AM461" i="58" s="1"/>
  <c r="AI460" i="58"/>
  <c r="AK460" i="58" s="1"/>
  <c r="AM460" i="58" s="1"/>
  <c r="AI459" i="58"/>
  <c r="AK459" i="58" s="1"/>
  <c r="AM459" i="58" s="1"/>
  <c r="AI458" i="58"/>
  <c r="AK458" i="58" s="1"/>
  <c r="AM458" i="58" s="1"/>
  <c r="AI457" i="58"/>
  <c r="AK457" i="58" s="1"/>
  <c r="AM457" i="58" s="1"/>
  <c r="AI456" i="58"/>
  <c r="AK456" i="58" s="1"/>
  <c r="AM456" i="58" s="1"/>
  <c r="AI455" i="58"/>
  <c r="AK455" i="58" s="1"/>
  <c r="AM455" i="58" s="1"/>
  <c r="AI454" i="58"/>
  <c r="AK454" i="58" s="1"/>
  <c r="AM454" i="58" s="1"/>
  <c r="AI453" i="58"/>
  <c r="AK453" i="58" s="1"/>
  <c r="AM453" i="58" s="1"/>
  <c r="AI452" i="58"/>
  <c r="AK452" i="58" s="1"/>
  <c r="AM452" i="58" s="1"/>
  <c r="AI451" i="58"/>
  <c r="AK451" i="58" s="1"/>
  <c r="AM451" i="58" s="1"/>
  <c r="AI450" i="58"/>
  <c r="AK450" i="58" s="1"/>
  <c r="AM450" i="58" s="1"/>
  <c r="AI449" i="58"/>
  <c r="AK449" i="58" s="1"/>
  <c r="AM449" i="58" s="1"/>
  <c r="AI448" i="58"/>
  <c r="AK448" i="58" s="1"/>
  <c r="AM448" i="58" s="1"/>
  <c r="AI447" i="58"/>
  <c r="AK447" i="58" s="1"/>
  <c r="AM447" i="58" s="1"/>
  <c r="AI446" i="58"/>
  <c r="AK446" i="58" s="1"/>
  <c r="AM446" i="58" s="1"/>
  <c r="AI445" i="58"/>
  <c r="AK445" i="58" s="1"/>
  <c r="AM445" i="58" s="1"/>
  <c r="AI444" i="58"/>
  <c r="AK444" i="58" s="1"/>
  <c r="AM444" i="58" s="1"/>
  <c r="AI443" i="58"/>
  <c r="AK443" i="58" s="1"/>
  <c r="AM443" i="58" s="1"/>
  <c r="AI442" i="58"/>
  <c r="AK442" i="58" s="1"/>
  <c r="AM442" i="58" s="1"/>
  <c r="AI441" i="58"/>
  <c r="AK441" i="58" s="1"/>
  <c r="AM441" i="58" s="1"/>
  <c r="AI440" i="58"/>
  <c r="AK440" i="58" s="1"/>
  <c r="AM440" i="58" s="1"/>
  <c r="AI439" i="58"/>
  <c r="AK439" i="58" s="1"/>
  <c r="AM439" i="58" s="1"/>
  <c r="AI438" i="58"/>
  <c r="AK438" i="58" s="1"/>
  <c r="AM438" i="58" s="1"/>
  <c r="AI437" i="58"/>
  <c r="AK437" i="58" s="1"/>
  <c r="AM437" i="58" s="1"/>
  <c r="AI436" i="58"/>
  <c r="AK436" i="58" s="1"/>
  <c r="AM436" i="58" s="1"/>
  <c r="AI435" i="58"/>
  <c r="AK435" i="58" s="1"/>
  <c r="AM435" i="58" s="1"/>
  <c r="AI434" i="58"/>
  <c r="AK434" i="58" s="1"/>
  <c r="AM434" i="58" s="1"/>
  <c r="AI433" i="58"/>
  <c r="AK433" i="58" s="1"/>
  <c r="AM433" i="58" s="1"/>
  <c r="AI432" i="58"/>
  <c r="AK432" i="58" s="1"/>
  <c r="AM432" i="58" s="1"/>
  <c r="AI431" i="58"/>
  <c r="AK431" i="58" s="1"/>
  <c r="AM431" i="58" s="1"/>
  <c r="AI430" i="58"/>
  <c r="AK430" i="58" s="1"/>
  <c r="AM430" i="58" s="1"/>
  <c r="AI429" i="58"/>
  <c r="AK429" i="58" s="1"/>
  <c r="AM429" i="58" s="1"/>
  <c r="AI428" i="58"/>
  <c r="AK428" i="58" s="1"/>
  <c r="AM428" i="58" s="1"/>
  <c r="AI427" i="58"/>
  <c r="AK427" i="58" s="1"/>
  <c r="AM427" i="58" s="1"/>
  <c r="AI426" i="58"/>
  <c r="AK426" i="58" s="1"/>
  <c r="AM426" i="58" s="1"/>
  <c r="AI425" i="58"/>
  <c r="AK425" i="58" s="1"/>
  <c r="AM425" i="58" s="1"/>
  <c r="AI424" i="58"/>
  <c r="AK424" i="58" s="1"/>
  <c r="AM424" i="58" s="1"/>
  <c r="AI423" i="58"/>
  <c r="AK423" i="58" s="1"/>
  <c r="AM423" i="58" s="1"/>
  <c r="AI422" i="58"/>
  <c r="AK422" i="58" s="1"/>
  <c r="AM422" i="58" s="1"/>
  <c r="AI421" i="58"/>
  <c r="AK421" i="58" s="1"/>
  <c r="AM421" i="58" s="1"/>
  <c r="AI420" i="58"/>
  <c r="AK420" i="58" s="1"/>
  <c r="AM420" i="58" s="1"/>
  <c r="AI419" i="58"/>
  <c r="AK419" i="58" s="1"/>
  <c r="AM419" i="58" s="1"/>
  <c r="AI418" i="58"/>
  <c r="AK418" i="58" s="1"/>
  <c r="AM418" i="58" s="1"/>
  <c r="AI417" i="58"/>
  <c r="AK417" i="58" s="1"/>
  <c r="AM417" i="58" s="1"/>
  <c r="AI416" i="58"/>
  <c r="AK416" i="58" s="1"/>
  <c r="AM416" i="58" s="1"/>
  <c r="AI415" i="58"/>
  <c r="AK415" i="58" s="1"/>
  <c r="AM415" i="58" s="1"/>
  <c r="AI414" i="58"/>
  <c r="AK414" i="58" s="1"/>
  <c r="AM414" i="58" s="1"/>
  <c r="AI413" i="58"/>
  <c r="AK413" i="58" s="1"/>
  <c r="AM413" i="58" s="1"/>
  <c r="AI412" i="58"/>
  <c r="AK412" i="58" s="1"/>
  <c r="AM412" i="58" s="1"/>
  <c r="AI411" i="58"/>
  <c r="AK411" i="58" s="1"/>
  <c r="AM411" i="58" s="1"/>
  <c r="AI410" i="58"/>
  <c r="AK410" i="58" s="1"/>
  <c r="AM410" i="58" s="1"/>
  <c r="AI409" i="58"/>
  <c r="AK409" i="58" s="1"/>
  <c r="AM409" i="58" s="1"/>
  <c r="AI408" i="58"/>
  <c r="AK408" i="58" s="1"/>
  <c r="AM408" i="58" s="1"/>
  <c r="AI407" i="58"/>
  <c r="AK407" i="58" s="1"/>
  <c r="AM407" i="58" s="1"/>
  <c r="AI406" i="58"/>
  <c r="AK406" i="58" s="1"/>
  <c r="AM406" i="58" s="1"/>
  <c r="AI405" i="58"/>
  <c r="AK405" i="58" s="1"/>
  <c r="AM405" i="58" s="1"/>
  <c r="AI404" i="58"/>
  <c r="AK404" i="58" s="1"/>
  <c r="AM404" i="58" s="1"/>
  <c r="AI403" i="58"/>
  <c r="AK403" i="58" s="1"/>
  <c r="AM403" i="58" s="1"/>
  <c r="AI402" i="58"/>
  <c r="AK402" i="58" s="1"/>
  <c r="AM402" i="58" s="1"/>
  <c r="AI401" i="58"/>
  <c r="AK401" i="58" s="1"/>
  <c r="AM401" i="58" s="1"/>
  <c r="AI400" i="58"/>
  <c r="AK400" i="58" s="1"/>
  <c r="AM400" i="58" s="1"/>
  <c r="AI399" i="58"/>
  <c r="AK399" i="58" s="1"/>
  <c r="AM399" i="58" s="1"/>
  <c r="AI398" i="58"/>
  <c r="AK398" i="58" s="1"/>
  <c r="AM398" i="58" s="1"/>
  <c r="AI397" i="58"/>
  <c r="AK397" i="58" s="1"/>
  <c r="AM397" i="58" s="1"/>
  <c r="AI396" i="58"/>
  <c r="AK396" i="58" s="1"/>
  <c r="AM396" i="58" s="1"/>
  <c r="AI395" i="58"/>
  <c r="AK395" i="58" s="1"/>
  <c r="AM395" i="58" s="1"/>
  <c r="AI394" i="58"/>
  <c r="AK394" i="58" s="1"/>
  <c r="AM394" i="58" s="1"/>
  <c r="AI393" i="58"/>
  <c r="AK393" i="58" s="1"/>
  <c r="AM393" i="58" s="1"/>
  <c r="AI392" i="58"/>
  <c r="AK392" i="58" s="1"/>
  <c r="AM392" i="58" s="1"/>
  <c r="AI391" i="58"/>
  <c r="AK391" i="58" s="1"/>
  <c r="AM391" i="58" s="1"/>
  <c r="AI390" i="58"/>
  <c r="AK390" i="58" s="1"/>
  <c r="AM390" i="58" s="1"/>
  <c r="AI389" i="58"/>
  <c r="AK389" i="58" s="1"/>
  <c r="AM389" i="58" s="1"/>
  <c r="AI388" i="58"/>
  <c r="AK388" i="58" s="1"/>
  <c r="AM388" i="58" s="1"/>
  <c r="AI387" i="58"/>
  <c r="AK387" i="58" s="1"/>
  <c r="AM387" i="58" s="1"/>
  <c r="AI386" i="58"/>
  <c r="AK386" i="58" s="1"/>
  <c r="AM386" i="58" s="1"/>
  <c r="AI385" i="58"/>
  <c r="AK385" i="58" s="1"/>
  <c r="AM385" i="58" s="1"/>
  <c r="AI384" i="58"/>
  <c r="AK384" i="58" s="1"/>
  <c r="AM384" i="58" s="1"/>
  <c r="AI383" i="58"/>
  <c r="AK383" i="58" s="1"/>
  <c r="AM383" i="58" s="1"/>
  <c r="AI382" i="58"/>
  <c r="AK382" i="58" s="1"/>
  <c r="AM382" i="58" s="1"/>
  <c r="AI381" i="58"/>
  <c r="AK381" i="58" s="1"/>
  <c r="AM381" i="58" s="1"/>
  <c r="AI380" i="58"/>
  <c r="AK380" i="58" s="1"/>
  <c r="AM380" i="58" s="1"/>
  <c r="AI379" i="58"/>
  <c r="AK379" i="58" s="1"/>
  <c r="AM379" i="58" s="1"/>
  <c r="AI378" i="58"/>
  <c r="AK378" i="58" s="1"/>
  <c r="AM378" i="58" s="1"/>
  <c r="AI377" i="58"/>
  <c r="AK377" i="58" s="1"/>
  <c r="AM377" i="58" s="1"/>
  <c r="AI376" i="58"/>
  <c r="AK376" i="58" s="1"/>
  <c r="AM376" i="58" s="1"/>
  <c r="AI375" i="58"/>
  <c r="AK375" i="58" s="1"/>
  <c r="AM375" i="58" s="1"/>
  <c r="AI374" i="58"/>
  <c r="AK374" i="58" s="1"/>
  <c r="AM374" i="58" s="1"/>
  <c r="AI373" i="58"/>
  <c r="AK373" i="58" s="1"/>
  <c r="AM373" i="58" s="1"/>
  <c r="AI372" i="58"/>
  <c r="AK372" i="58" s="1"/>
  <c r="AM372" i="58" s="1"/>
  <c r="AI371" i="58"/>
  <c r="AK371" i="58" s="1"/>
  <c r="AM371" i="58" s="1"/>
  <c r="AI370" i="58"/>
  <c r="AK370" i="58" s="1"/>
  <c r="AM370" i="58" s="1"/>
  <c r="AI369" i="58"/>
  <c r="AK369" i="58" s="1"/>
  <c r="AM369" i="58" s="1"/>
  <c r="AI368" i="58"/>
  <c r="AK368" i="58" s="1"/>
  <c r="AM368" i="58" s="1"/>
  <c r="AI367" i="58"/>
  <c r="AK367" i="58" s="1"/>
  <c r="AM367" i="58" s="1"/>
  <c r="AI366" i="58"/>
  <c r="AK366" i="58" s="1"/>
  <c r="AM366" i="58" s="1"/>
  <c r="AI365" i="58"/>
  <c r="AK365" i="58" s="1"/>
  <c r="AM365" i="58" s="1"/>
  <c r="AI364" i="58"/>
  <c r="AK364" i="58" s="1"/>
  <c r="AM364" i="58" s="1"/>
  <c r="AI363" i="58"/>
  <c r="AK363" i="58" s="1"/>
  <c r="AM363" i="58" s="1"/>
  <c r="AI362" i="58"/>
  <c r="AK362" i="58" s="1"/>
  <c r="AM362" i="58" s="1"/>
  <c r="AI361" i="58"/>
  <c r="AK361" i="58" s="1"/>
  <c r="AM361" i="58" s="1"/>
  <c r="AI360" i="58"/>
  <c r="AK360" i="58" s="1"/>
  <c r="AM360" i="58" s="1"/>
  <c r="AI359" i="58"/>
  <c r="AK359" i="58" s="1"/>
  <c r="AM359" i="58" s="1"/>
  <c r="AI358" i="58"/>
  <c r="AK358" i="58" s="1"/>
  <c r="AM358" i="58" s="1"/>
  <c r="AI357" i="58"/>
  <c r="AK357" i="58" s="1"/>
  <c r="AM357" i="58" s="1"/>
  <c r="AI356" i="58"/>
  <c r="AK356" i="58" s="1"/>
  <c r="AM356" i="58" s="1"/>
  <c r="AI355" i="58"/>
  <c r="AK355" i="58" s="1"/>
  <c r="AM355" i="58" s="1"/>
  <c r="AI354" i="58"/>
  <c r="AK354" i="58" s="1"/>
  <c r="AM354" i="58" s="1"/>
  <c r="AI353" i="58"/>
  <c r="AK353" i="58" s="1"/>
  <c r="AM353" i="58" s="1"/>
  <c r="AI352" i="58"/>
  <c r="AK352" i="58" s="1"/>
  <c r="AM352" i="58" s="1"/>
  <c r="AI351" i="58"/>
  <c r="AK351" i="58" s="1"/>
  <c r="AM351" i="58" s="1"/>
  <c r="AI350" i="58"/>
  <c r="AK350" i="58" s="1"/>
  <c r="AM350" i="58" s="1"/>
  <c r="AI349" i="58"/>
  <c r="AK349" i="58" s="1"/>
  <c r="AM349" i="58" s="1"/>
  <c r="AI348" i="58"/>
  <c r="AK348" i="58" s="1"/>
  <c r="AM348" i="58" s="1"/>
  <c r="AI347" i="58"/>
  <c r="AK347" i="58" s="1"/>
  <c r="AM347" i="58" s="1"/>
  <c r="AI346" i="58"/>
  <c r="AK346" i="58" s="1"/>
  <c r="AM346" i="58" s="1"/>
  <c r="AI345" i="58"/>
  <c r="AK345" i="58" s="1"/>
  <c r="AM345" i="58" s="1"/>
  <c r="AI344" i="58"/>
  <c r="AK344" i="58" s="1"/>
  <c r="AM344" i="58" s="1"/>
  <c r="AI343" i="58"/>
  <c r="AK343" i="58" s="1"/>
  <c r="AM343" i="58" s="1"/>
  <c r="AI342" i="58"/>
  <c r="AK342" i="58" s="1"/>
  <c r="AM342" i="58" s="1"/>
  <c r="AI341" i="58"/>
  <c r="AK341" i="58" s="1"/>
  <c r="AM341" i="58" s="1"/>
  <c r="AI340" i="58"/>
  <c r="AK340" i="58" s="1"/>
  <c r="AM340" i="58" s="1"/>
  <c r="AI339" i="58"/>
  <c r="AK339" i="58" s="1"/>
  <c r="AM339" i="58" s="1"/>
  <c r="AI338" i="58"/>
  <c r="AK338" i="58" s="1"/>
  <c r="AM338" i="58" s="1"/>
  <c r="AI337" i="58"/>
  <c r="AK337" i="58" s="1"/>
  <c r="AM337" i="58" s="1"/>
  <c r="AI336" i="58"/>
  <c r="AK336" i="58" s="1"/>
  <c r="AM336" i="58" s="1"/>
  <c r="AI335" i="58"/>
  <c r="AK335" i="58" s="1"/>
  <c r="AM335" i="58" s="1"/>
  <c r="AI334" i="58"/>
  <c r="AK334" i="58" s="1"/>
  <c r="AM334" i="58" s="1"/>
  <c r="AI333" i="58"/>
  <c r="AK333" i="58" s="1"/>
  <c r="AM333" i="58" s="1"/>
  <c r="AI332" i="58"/>
  <c r="AK332" i="58" s="1"/>
  <c r="AM332" i="58" s="1"/>
  <c r="AI331" i="58"/>
  <c r="AK331" i="58" s="1"/>
  <c r="AM331" i="58" s="1"/>
  <c r="AI330" i="58"/>
  <c r="AK330" i="58" s="1"/>
  <c r="AM330" i="58" s="1"/>
  <c r="AI329" i="58"/>
  <c r="AK329" i="58" s="1"/>
  <c r="AM329" i="58" s="1"/>
  <c r="AI328" i="58"/>
  <c r="AK328" i="58" s="1"/>
  <c r="AM328" i="58" s="1"/>
  <c r="AI327" i="58"/>
  <c r="AK327" i="58" s="1"/>
  <c r="AM327" i="58" s="1"/>
  <c r="AI326" i="58"/>
  <c r="AK326" i="58" s="1"/>
  <c r="AM326" i="58" s="1"/>
  <c r="AI325" i="58"/>
  <c r="AK325" i="58" s="1"/>
  <c r="AM325" i="58" s="1"/>
  <c r="AI324" i="58"/>
  <c r="AK324" i="58" s="1"/>
  <c r="AM324" i="58" s="1"/>
  <c r="AI323" i="58"/>
  <c r="AK323" i="58" s="1"/>
  <c r="AM323" i="58" s="1"/>
  <c r="AI322" i="58"/>
  <c r="AK322" i="58" s="1"/>
  <c r="AM322" i="58" s="1"/>
  <c r="AI321" i="58"/>
  <c r="AK321" i="58" s="1"/>
  <c r="AM321" i="58" s="1"/>
  <c r="AI320" i="58"/>
  <c r="AK320" i="58" s="1"/>
  <c r="AM320" i="58" s="1"/>
  <c r="AI319" i="58"/>
  <c r="AK319" i="58" s="1"/>
  <c r="AM319" i="58" s="1"/>
  <c r="AI318" i="58"/>
  <c r="AK318" i="58" s="1"/>
  <c r="AM318" i="58" s="1"/>
  <c r="AI317" i="58"/>
  <c r="AK317" i="58" s="1"/>
  <c r="AM317" i="58" s="1"/>
  <c r="AI316" i="58"/>
  <c r="AK316" i="58" s="1"/>
  <c r="AM316" i="58" s="1"/>
  <c r="AI315" i="58"/>
  <c r="AK315" i="58" s="1"/>
  <c r="AM315" i="58" s="1"/>
  <c r="AI314" i="58"/>
  <c r="AK314" i="58" s="1"/>
  <c r="AM314" i="58" s="1"/>
  <c r="AI313" i="58"/>
  <c r="AK313" i="58" s="1"/>
  <c r="AM313" i="58" s="1"/>
  <c r="AI312" i="58"/>
  <c r="AK312" i="58" s="1"/>
  <c r="AM312" i="58" s="1"/>
  <c r="AI311" i="58"/>
  <c r="AK311" i="58" s="1"/>
  <c r="AM311" i="58" s="1"/>
  <c r="AI310" i="58"/>
  <c r="AK310" i="58" s="1"/>
  <c r="AM310" i="58" s="1"/>
  <c r="AI309" i="58"/>
  <c r="AK309" i="58" s="1"/>
  <c r="AM309" i="58" s="1"/>
  <c r="AI308" i="58"/>
  <c r="AK308" i="58" s="1"/>
  <c r="AM308" i="58" s="1"/>
  <c r="AI307" i="58"/>
  <c r="AK307" i="58" s="1"/>
  <c r="AM307" i="58" s="1"/>
  <c r="AI306" i="58"/>
  <c r="AK306" i="58" s="1"/>
  <c r="AM306" i="58" s="1"/>
  <c r="AI305" i="58"/>
  <c r="AK305" i="58" s="1"/>
  <c r="AM305" i="58" s="1"/>
  <c r="AI304" i="58"/>
  <c r="AK304" i="58" s="1"/>
  <c r="AM304" i="58" s="1"/>
  <c r="AI303" i="58"/>
  <c r="AK303" i="58" s="1"/>
  <c r="AM303" i="58" s="1"/>
  <c r="AI302" i="58"/>
  <c r="AK302" i="58" s="1"/>
  <c r="AM302" i="58" s="1"/>
  <c r="AI301" i="58"/>
  <c r="AK301" i="58" s="1"/>
  <c r="AM301" i="58" s="1"/>
  <c r="AI300" i="58"/>
  <c r="AK300" i="58" s="1"/>
  <c r="AM300" i="58" s="1"/>
  <c r="AI299" i="58"/>
  <c r="AK299" i="58" s="1"/>
  <c r="AM299" i="58" s="1"/>
  <c r="AI298" i="58"/>
  <c r="AK298" i="58" s="1"/>
  <c r="AM298" i="58" s="1"/>
  <c r="AI297" i="58"/>
  <c r="AK297" i="58" s="1"/>
  <c r="AM297" i="58" s="1"/>
  <c r="AI296" i="58"/>
  <c r="AK296" i="58" s="1"/>
  <c r="AM296" i="58" s="1"/>
  <c r="AI295" i="58"/>
  <c r="AK295" i="58" s="1"/>
  <c r="AM295" i="58" s="1"/>
  <c r="AI294" i="58"/>
  <c r="AK294" i="58" s="1"/>
  <c r="AM294" i="58" s="1"/>
  <c r="AI293" i="58"/>
  <c r="AK293" i="58" s="1"/>
  <c r="AM293" i="58" s="1"/>
  <c r="AI292" i="58"/>
  <c r="AK292" i="58" s="1"/>
  <c r="AM292" i="58" s="1"/>
  <c r="AI291" i="58"/>
  <c r="AK291" i="58" s="1"/>
  <c r="AM291" i="58" s="1"/>
  <c r="AI290" i="58"/>
  <c r="AK290" i="58" s="1"/>
  <c r="AM290" i="58" s="1"/>
  <c r="AI289" i="58"/>
  <c r="AK289" i="58" s="1"/>
  <c r="AM289" i="58" s="1"/>
  <c r="AI288" i="58"/>
  <c r="AK288" i="58" s="1"/>
  <c r="AM288" i="58" s="1"/>
  <c r="AI287" i="58"/>
  <c r="AK287" i="58" s="1"/>
  <c r="AM287" i="58" s="1"/>
  <c r="AI286" i="58"/>
  <c r="AK286" i="58" s="1"/>
  <c r="AM286" i="58" s="1"/>
  <c r="AI285" i="58"/>
  <c r="AK285" i="58" s="1"/>
  <c r="AM285" i="58" s="1"/>
  <c r="AI284" i="58"/>
  <c r="AK284" i="58" s="1"/>
  <c r="AM284" i="58" s="1"/>
  <c r="AI283" i="58"/>
  <c r="AK283" i="58" s="1"/>
  <c r="AM283" i="58" s="1"/>
  <c r="AI282" i="58"/>
  <c r="AK282" i="58" s="1"/>
  <c r="AM282" i="58" s="1"/>
  <c r="AI281" i="58"/>
  <c r="AK281" i="58" s="1"/>
  <c r="AM281" i="58" s="1"/>
  <c r="AI280" i="58"/>
  <c r="AK280" i="58" s="1"/>
  <c r="AM280" i="58" s="1"/>
  <c r="AI279" i="58"/>
  <c r="AK279" i="58" s="1"/>
  <c r="AM279" i="58" s="1"/>
  <c r="AI278" i="58"/>
  <c r="AK278" i="58" s="1"/>
  <c r="AM278" i="58" s="1"/>
  <c r="AI277" i="58"/>
  <c r="AK277" i="58" s="1"/>
  <c r="AM277" i="58" s="1"/>
  <c r="AI276" i="58"/>
  <c r="AK276" i="58" s="1"/>
  <c r="AM276" i="58" s="1"/>
  <c r="AI275" i="58"/>
  <c r="AK275" i="58" s="1"/>
  <c r="AM275" i="58" s="1"/>
  <c r="AI274" i="58"/>
  <c r="AK274" i="58" s="1"/>
  <c r="AM274" i="58" s="1"/>
  <c r="AI273" i="58"/>
  <c r="AK273" i="58" s="1"/>
  <c r="AM273" i="58" s="1"/>
  <c r="AI272" i="58"/>
  <c r="AK272" i="58" s="1"/>
  <c r="AM272" i="58" s="1"/>
  <c r="AI271" i="58"/>
  <c r="AK271" i="58" s="1"/>
  <c r="AM271" i="58" s="1"/>
  <c r="AI270" i="58"/>
  <c r="AK270" i="58" s="1"/>
  <c r="AM270" i="58" s="1"/>
  <c r="AI269" i="58"/>
  <c r="AK269" i="58" s="1"/>
  <c r="AM269" i="58" s="1"/>
  <c r="AI268" i="58"/>
  <c r="AK268" i="58" s="1"/>
  <c r="AM268" i="58" s="1"/>
  <c r="AI267" i="58"/>
  <c r="AK267" i="58" s="1"/>
  <c r="AM267" i="58" s="1"/>
  <c r="AI266" i="58"/>
  <c r="AK266" i="58" s="1"/>
  <c r="AM266" i="58" s="1"/>
  <c r="AI265" i="58"/>
  <c r="AK265" i="58" s="1"/>
  <c r="AM265" i="58" s="1"/>
  <c r="AI264" i="58"/>
  <c r="AK264" i="58" s="1"/>
  <c r="AM264" i="58" s="1"/>
  <c r="AI263" i="58"/>
  <c r="AK263" i="58" s="1"/>
  <c r="AM263" i="58" s="1"/>
  <c r="AI262" i="58"/>
  <c r="AK262" i="58" s="1"/>
  <c r="AM262" i="58" s="1"/>
  <c r="AI261" i="58"/>
  <c r="AK261" i="58" s="1"/>
  <c r="AM261" i="58" s="1"/>
  <c r="AI260" i="58"/>
  <c r="AK260" i="58" s="1"/>
  <c r="AM260" i="58" s="1"/>
  <c r="AI259" i="58"/>
  <c r="AK259" i="58" s="1"/>
  <c r="AM259" i="58" s="1"/>
  <c r="AI258" i="58"/>
  <c r="AK258" i="58" s="1"/>
  <c r="AM258" i="58" s="1"/>
  <c r="AI257" i="58"/>
  <c r="AK257" i="58" s="1"/>
  <c r="AM257" i="58" s="1"/>
  <c r="AI256" i="58"/>
  <c r="AK256" i="58" s="1"/>
  <c r="AM256" i="58" s="1"/>
  <c r="AI255" i="58"/>
  <c r="AK255" i="58" s="1"/>
  <c r="AM255" i="58" s="1"/>
  <c r="AI254" i="58"/>
  <c r="AK254" i="58" s="1"/>
  <c r="AM254" i="58" s="1"/>
  <c r="AI253" i="58"/>
  <c r="AK253" i="58" s="1"/>
  <c r="AM253" i="58" s="1"/>
  <c r="AI252" i="58"/>
  <c r="AK252" i="58" s="1"/>
  <c r="AM252" i="58" s="1"/>
  <c r="AI251" i="58"/>
  <c r="AK251" i="58" s="1"/>
  <c r="AM251" i="58" s="1"/>
  <c r="AI250" i="58"/>
  <c r="AK250" i="58" s="1"/>
  <c r="AM250" i="58" s="1"/>
  <c r="AI249" i="58"/>
  <c r="AK249" i="58" s="1"/>
  <c r="AM249" i="58" s="1"/>
  <c r="AI248" i="58"/>
  <c r="AK248" i="58" s="1"/>
  <c r="AM248" i="58" s="1"/>
  <c r="AI247" i="58"/>
  <c r="AK247" i="58" s="1"/>
  <c r="AM247" i="58" s="1"/>
  <c r="AI246" i="58"/>
  <c r="AK246" i="58" s="1"/>
  <c r="AM246" i="58" s="1"/>
  <c r="AI245" i="58"/>
  <c r="AK245" i="58" s="1"/>
  <c r="AM245" i="58" s="1"/>
  <c r="AI244" i="58"/>
  <c r="AK244" i="58" s="1"/>
  <c r="AM244" i="58" s="1"/>
  <c r="AI243" i="58"/>
  <c r="AK243" i="58" s="1"/>
  <c r="AM243" i="58" s="1"/>
  <c r="AI242" i="58"/>
  <c r="AK242" i="58" s="1"/>
  <c r="AM242" i="58" s="1"/>
  <c r="AI241" i="58"/>
  <c r="AK241" i="58" s="1"/>
  <c r="AM241" i="58" s="1"/>
  <c r="AI240" i="58"/>
  <c r="AK240" i="58" s="1"/>
  <c r="AM240" i="58" s="1"/>
  <c r="AI239" i="58"/>
  <c r="AK239" i="58" s="1"/>
  <c r="AM239" i="58" s="1"/>
  <c r="AI238" i="58"/>
  <c r="AK238" i="58" s="1"/>
  <c r="AM238" i="58" s="1"/>
  <c r="AI237" i="58"/>
  <c r="AK237" i="58" s="1"/>
  <c r="AM237" i="58" s="1"/>
  <c r="AI236" i="58"/>
  <c r="AK236" i="58" s="1"/>
  <c r="AM236" i="58" s="1"/>
  <c r="AI235" i="58"/>
  <c r="AK235" i="58" s="1"/>
  <c r="AM235" i="58" s="1"/>
  <c r="AI234" i="58"/>
  <c r="AK234" i="58" s="1"/>
  <c r="AM234" i="58" s="1"/>
  <c r="AI233" i="58"/>
  <c r="AK233" i="58" s="1"/>
  <c r="AM233" i="58" s="1"/>
  <c r="AI232" i="58"/>
  <c r="AK232" i="58" s="1"/>
  <c r="AM232" i="58" s="1"/>
  <c r="AI231" i="58"/>
  <c r="AK231" i="58" s="1"/>
  <c r="AM231" i="58" s="1"/>
  <c r="AI230" i="58"/>
  <c r="AK230" i="58" s="1"/>
  <c r="AM230" i="58" s="1"/>
  <c r="AI229" i="58"/>
  <c r="AK229" i="58" s="1"/>
  <c r="AM229" i="58" s="1"/>
  <c r="AI228" i="58"/>
  <c r="AK228" i="58" s="1"/>
  <c r="AM228" i="58" s="1"/>
  <c r="AI227" i="58"/>
  <c r="AK227" i="58" s="1"/>
  <c r="AM227" i="58" s="1"/>
  <c r="AI226" i="58"/>
  <c r="AK226" i="58" s="1"/>
  <c r="AM226" i="58" s="1"/>
  <c r="AI225" i="58"/>
  <c r="AK225" i="58" s="1"/>
  <c r="AM225" i="58" s="1"/>
  <c r="AI224" i="58"/>
  <c r="AK224" i="58" s="1"/>
  <c r="AM224" i="58" s="1"/>
  <c r="AI223" i="58"/>
  <c r="AK223" i="58" s="1"/>
  <c r="AM223" i="58" s="1"/>
  <c r="AI222" i="58"/>
  <c r="AK222" i="58" s="1"/>
  <c r="AM222" i="58" s="1"/>
  <c r="AI221" i="58"/>
  <c r="AK221" i="58" s="1"/>
  <c r="AM221" i="58" s="1"/>
  <c r="AI220" i="58"/>
  <c r="AK220" i="58" s="1"/>
  <c r="AM220" i="58" s="1"/>
  <c r="AI219" i="58"/>
  <c r="AK219" i="58" s="1"/>
  <c r="AM219" i="58" s="1"/>
  <c r="AI218" i="58"/>
  <c r="AK218" i="58" s="1"/>
  <c r="AM218" i="58" s="1"/>
  <c r="AI217" i="58"/>
  <c r="AK217" i="58" s="1"/>
  <c r="AM217" i="58" s="1"/>
  <c r="AI216" i="58"/>
  <c r="AK216" i="58" s="1"/>
  <c r="AM216" i="58" s="1"/>
  <c r="AI215" i="58"/>
  <c r="AK215" i="58" s="1"/>
  <c r="AM215" i="58" s="1"/>
  <c r="AI214" i="58"/>
  <c r="AK214" i="58" s="1"/>
  <c r="AM214" i="58" s="1"/>
  <c r="AI213" i="58"/>
  <c r="AK213" i="58" s="1"/>
  <c r="AM213" i="58" s="1"/>
  <c r="AI212" i="58"/>
  <c r="AK212" i="58" s="1"/>
  <c r="AM212" i="58" s="1"/>
  <c r="AI211" i="58"/>
  <c r="AK211" i="58" s="1"/>
  <c r="AM211" i="58" s="1"/>
  <c r="AI210" i="58"/>
  <c r="AK210" i="58" s="1"/>
  <c r="AM210" i="58" s="1"/>
  <c r="AI209" i="58"/>
  <c r="AK209" i="58" s="1"/>
  <c r="AM209" i="58" s="1"/>
  <c r="AI208" i="58"/>
  <c r="AK208" i="58" s="1"/>
  <c r="AM208" i="58" s="1"/>
  <c r="AI207" i="58"/>
  <c r="AK207" i="58" s="1"/>
  <c r="AM207" i="58" s="1"/>
  <c r="AI206" i="58"/>
  <c r="AK206" i="58" s="1"/>
  <c r="AM206" i="58" s="1"/>
  <c r="AI205" i="58"/>
  <c r="AK205" i="58" s="1"/>
  <c r="AM205" i="58" s="1"/>
  <c r="AI204" i="58"/>
  <c r="AK204" i="58" s="1"/>
  <c r="AM204" i="58" s="1"/>
  <c r="AI203" i="58"/>
  <c r="AK203" i="58" s="1"/>
  <c r="AM203" i="58" s="1"/>
  <c r="AI202" i="58"/>
  <c r="AK202" i="58" s="1"/>
  <c r="AM202" i="58" s="1"/>
  <c r="AI201" i="58"/>
  <c r="AK201" i="58" s="1"/>
  <c r="AM201" i="58" s="1"/>
  <c r="AI200" i="58"/>
  <c r="AK200" i="58" s="1"/>
  <c r="AM200" i="58" s="1"/>
  <c r="AI199" i="58"/>
  <c r="AK199" i="58" s="1"/>
  <c r="AM199" i="58" s="1"/>
  <c r="AI198" i="58"/>
  <c r="AK198" i="58" s="1"/>
  <c r="AM198" i="58" s="1"/>
  <c r="AI197" i="58"/>
  <c r="AK197" i="58" s="1"/>
  <c r="AM197" i="58" s="1"/>
  <c r="AI196" i="58"/>
  <c r="AK196" i="58" s="1"/>
  <c r="AM196" i="58" s="1"/>
  <c r="AI195" i="58"/>
  <c r="AK195" i="58" s="1"/>
  <c r="AM195" i="58" s="1"/>
  <c r="AI194" i="58"/>
  <c r="AK194" i="58" s="1"/>
  <c r="AM194" i="58" s="1"/>
  <c r="AI193" i="58"/>
  <c r="AK193" i="58" s="1"/>
  <c r="AM193" i="58" s="1"/>
  <c r="AI192" i="58"/>
  <c r="AK192" i="58" s="1"/>
  <c r="AM192" i="58" s="1"/>
  <c r="AI191" i="58"/>
  <c r="AK191" i="58" s="1"/>
  <c r="AM191" i="58" s="1"/>
  <c r="AI190" i="58"/>
  <c r="AK190" i="58" s="1"/>
  <c r="AM190" i="58" s="1"/>
  <c r="AI189" i="58"/>
  <c r="AK189" i="58" s="1"/>
  <c r="AM189" i="58" s="1"/>
  <c r="AI188" i="58"/>
  <c r="AK188" i="58" s="1"/>
  <c r="AM188" i="58" s="1"/>
  <c r="AI187" i="58"/>
  <c r="AK187" i="58" s="1"/>
  <c r="AM187" i="58" s="1"/>
  <c r="AI186" i="58"/>
  <c r="AK186" i="58" s="1"/>
  <c r="AM186" i="58" s="1"/>
  <c r="AI185" i="58"/>
  <c r="AK185" i="58" s="1"/>
  <c r="AM185" i="58" s="1"/>
  <c r="AI184" i="58"/>
  <c r="AK184" i="58" s="1"/>
  <c r="AM184" i="58" s="1"/>
  <c r="AI183" i="58"/>
  <c r="AK183" i="58" s="1"/>
  <c r="AM183" i="58" s="1"/>
  <c r="AI182" i="58"/>
  <c r="AK182" i="58" s="1"/>
  <c r="AM182" i="58" s="1"/>
  <c r="AI181" i="58"/>
  <c r="AK181" i="58" s="1"/>
  <c r="AM181" i="58" s="1"/>
  <c r="AI180" i="58"/>
  <c r="AK180" i="58" s="1"/>
  <c r="AM180" i="58" s="1"/>
  <c r="AI179" i="58"/>
  <c r="AK179" i="58" s="1"/>
  <c r="AM179" i="58" s="1"/>
  <c r="AI178" i="58"/>
  <c r="AK178" i="58" s="1"/>
  <c r="AM178" i="58" s="1"/>
  <c r="AI177" i="58"/>
  <c r="AK177" i="58" s="1"/>
  <c r="AM177" i="58" s="1"/>
  <c r="AI176" i="58"/>
  <c r="AK176" i="58" s="1"/>
  <c r="AM176" i="58" s="1"/>
  <c r="AI175" i="58"/>
  <c r="AK175" i="58" s="1"/>
  <c r="AM175" i="58" s="1"/>
  <c r="AI174" i="58"/>
  <c r="AK174" i="58" s="1"/>
  <c r="AM174" i="58" s="1"/>
  <c r="AI173" i="58"/>
  <c r="AK173" i="58" s="1"/>
  <c r="AM173" i="58" s="1"/>
  <c r="AI172" i="58"/>
  <c r="AK172" i="58" s="1"/>
  <c r="AM172" i="58" s="1"/>
  <c r="AI171" i="58"/>
  <c r="AK171" i="58" s="1"/>
  <c r="AM171" i="58" s="1"/>
  <c r="AI170" i="58"/>
  <c r="AK170" i="58" s="1"/>
  <c r="AM170" i="58" s="1"/>
  <c r="AI169" i="58"/>
  <c r="AK169" i="58" s="1"/>
  <c r="AM169" i="58" s="1"/>
  <c r="AI168" i="58"/>
  <c r="AK168" i="58" s="1"/>
  <c r="AM168" i="58" s="1"/>
  <c r="AI167" i="58"/>
  <c r="AK167" i="58" s="1"/>
  <c r="AM167" i="58" s="1"/>
  <c r="AI166" i="58"/>
  <c r="AK166" i="58" s="1"/>
  <c r="AM166" i="58" s="1"/>
  <c r="AI165" i="58"/>
  <c r="AK165" i="58" s="1"/>
  <c r="AM165" i="58" s="1"/>
  <c r="AI164" i="58"/>
  <c r="AK164" i="58" s="1"/>
  <c r="AM164" i="58" s="1"/>
  <c r="AI163" i="58"/>
  <c r="AK163" i="58" s="1"/>
  <c r="AM163" i="58" s="1"/>
  <c r="AI162" i="58"/>
  <c r="AK162" i="58" s="1"/>
  <c r="AM162" i="58" s="1"/>
  <c r="AI161" i="58"/>
  <c r="AK161" i="58" s="1"/>
  <c r="AM161" i="58" s="1"/>
  <c r="AI160" i="58"/>
  <c r="AK160" i="58" s="1"/>
  <c r="AM160" i="58" s="1"/>
  <c r="AI159" i="58"/>
  <c r="AK159" i="58" s="1"/>
  <c r="AM159" i="58" s="1"/>
  <c r="AI158" i="58"/>
  <c r="AK158" i="58" s="1"/>
  <c r="AM158" i="58" s="1"/>
  <c r="AI157" i="58"/>
  <c r="AK157" i="58" s="1"/>
  <c r="AM157" i="58" s="1"/>
  <c r="AI156" i="58"/>
  <c r="AK156" i="58" s="1"/>
  <c r="AM156" i="58" s="1"/>
  <c r="AI155" i="58"/>
  <c r="AK155" i="58" s="1"/>
  <c r="AM155" i="58" s="1"/>
  <c r="AI154" i="58"/>
  <c r="AK154" i="58" s="1"/>
  <c r="AM154" i="58" s="1"/>
  <c r="AI153" i="58"/>
  <c r="AK153" i="58" s="1"/>
  <c r="AM153" i="58" s="1"/>
  <c r="AI152" i="58"/>
  <c r="AK152" i="58" s="1"/>
  <c r="AM152" i="58" s="1"/>
  <c r="AI151" i="58"/>
  <c r="AK151" i="58" s="1"/>
  <c r="AM151" i="58" s="1"/>
  <c r="AI150" i="58"/>
  <c r="AK150" i="58" s="1"/>
  <c r="AM150" i="58" s="1"/>
  <c r="AI149" i="58"/>
  <c r="AK149" i="58" s="1"/>
  <c r="AM149" i="58" s="1"/>
  <c r="AI148" i="58"/>
  <c r="AK148" i="58" s="1"/>
  <c r="AM148" i="58" s="1"/>
  <c r="AI147" i="58"/>
  <c r="AK147" i="58" s="1"/>
  <c r="AM147" i="58" s="1"/>
  <c r="AI146" i="58"/>
  <c r="AK146" i="58" s="1"/>
  <c r="AM146" i="58" s="1"/>
  <c r="AI145" i="58"/>
  <c r="AK145" i="58" s="1"/>
  <c r="AM145" i="58" s="1"/>
  <c r="AI144" i="58"/>
  <c r="AK144" i="58" s="1"/>
  <c r="AM144" i="58" s="1"/>
  <c r="AI143" i="58"/>
  <c r="AK143" i="58" s="1"/>
  <c r="AM143" i="58" s="1"/>
  <c r="AI142" i="58"/>
  <c r="AK142" i="58" s="1"/>
  <c r="AM142" i="58" s="1"/>
  <c r="AI141" i="58"/>
  <c r="AK141" i="58" s="1"/>
  <c r="AM141" i="58" s="1"/>
  <c r="AI140" i="58"/>
  <c r="AK140" i="58" s="1"/>
  <c r="AM140" i="58" s="1"/>
  <c r="AI139" i="58"/>
  <c r="AK139" i="58" s="1"/>
  <c r="AM139" i="58" s="1"/>
  <c r="AI138" i="58"/>
  <c r="AK138" i="58" s="1"/>
  <c r="AM138" i="58" s="1"/>
  <c r="AI137" i="58"/>
  <c r="AK137" i="58" s="1"/>
  <c r="AM137" i="58" s="1"/>
  <c r="AI136" i="58"/>
  <c r="AK136" i="58" s="1"/>
  <c r="AM136" i="58" s="1"/>
  <c r="AI135" i="58"/>
  <c r="AK135" i="58" s="1"/>
  <c r="AM135" i="58" s="1"/>
  <c r="AI134" i="58"/>
  <c r="AK134" i="58" s="1"/>
  <c r="AM134" i="58" s="1"/>
  <c r="AI133" i="58"/>
  <c r="AK133" i="58" s="1"/>
  <c r="AM133" i="58" s="1"/>
  <c r="AI132" i="58"/>
  <c r="AK132" i="58" s="1"/>
  <c r="AM132" i="58" s="1"/>
  <c r="AI131" i="58"/>
  <c r="AK131" i="58" s="1"/>
  <c r="AM131" i="58" s="1"/>
  <c r="AI130" i="58"/>
  <c r="AK130" i="58" s="1"/>
  <c r="AM130" i="58" s="1"/>
  <c r="AI129" i="58"/>
  <c r="AK129" i="58" s="1"/>
  <c r="AM129" i="58" s="1"/>
  <c r="AI128" i="58"/>
  <c r="AK128" i="58" s="1"/>
  <c r="AM128" i="58" s="1"/>
  <c r="AI127" i="58"/>
  <c r="AK127" i="58" s="1"/>
  <c r="AM127" i="58" s="1"/>
  <c r="AI126" i="58"/>
  <c r="AK126" i="58" s="1"/>
  <c r="AM126" i="58" s="1"/>
  <c r="AI125" i="58"/>
  <c r="AK125" i="58" s="1"/>
  <c r="AM125" i="58" s="1"/>
  <c r="AI124" i="58"/>
  <c r="AK124" i="58" s="1"/>
  <c r="AM124" i="58" s="1"/>
  <c r="AI123" i="58"/>
  <c r="AK123" i="58" s="1"/>
  <c r="AM123" i="58" s="1"/>
  <c r="AI122" i="58"/>
  <c r="AK122" i="58" s="1"/>
  <c r="AM122" i="58" s="1"/>
  <c r="AI121" i="58"/>
  <c r="AK121" i="58" s="1"/>
  <c r="AM121" i="58" s="1"/>
  <c r="AI120" i="58"/>
  <c r="AK120" i="58" s="1"/>
  <c r="AM120" i="58" s="1"/>
  <c r="AI119" i="58"/>
  <c r="AK119" i="58" s="1"/>
  <c r="AM119" i="58" s="1"/>
  <c r="AI118" i="58"/>
  <c r="AK118" i="58" s="1"/>
  <c r="AM118" i="58" s="1"/>
  <c r="AI117" i="58"/>
  <c r="AK117" i="58" s="1"/>
  <c r="AM117" i="58" s="1"/>
  <c r="AI116" i="58"/>
  <c r="AK116" i="58" s="1"/>
  <c r="AM116" i="58" s="1"/>
  <c r="AI115" i="58"/>
  <c r="AK115" i="58" s="1"/>
  <c r="AM115" i="58" s="1"/>
  <c r="AI114" i="58"/>
  <c r="AK114" i="58" s="1"/>
  <c r="AM114" i="58" s="1"/>
  <c r="AI113" i="58"/>
  <c r="AK113" i="58" s="1"/>
  <c r="AM113" i="58" s="1"/>
  <c r="AI112" i="58"/>
  <c r="AK112" i="58" s="1"/>
  <c r="AM112" i="58" s="1"/>
  <c r="AI111" i="58"/>
  <c r="AK111" i="58" s="1"/>
  <c r="AM111" i="58" s="1"/>
  <c r="AI110" i="58"/>
  <c r="AK110" i="58" s="1"/>
  <c r="AM110" i="58" s="1"/>
  <c r="AI109" i="58"/>
  <c r="AK109" i="58" s="1"/>
  <c r="AM109" i="58" s="1"/>
  <c r="AI108" i="58"/>
  <c r="AK108" i="58" s="1"/>
  <c r="AM108" i="58" s="1"/>
  <c r="AI107" i="58"/>
  <c r="AK107" i="58" s="1"/>
  <c r="AM107" i="58" s="1"/>
  <c r="AI106" i="58"/>
  <c r="AK106" i="58" s="1"/>
  <c r="AM106" i="58" s="1"/>
  <c r="AI105" i="58"/>
  <c r="AK105" i="58" s="1"/>
  <c r="AM105" i="58" s="1"/>
  <c r="AI104" i="58"/>
  <c r="AK104" i="58" s="1"/>
  <c r="AM104" i="58" s="1"/>
  <c r="AI103" i="58"/>
  <c r="AK103" i="58" s="1"/>
  <c r="AM103" i="58" s="1"/>
  <c r="AI102" i="58"/>
  <c r="AK102" i="58" s="1"/>
  <c r="AM102" i="58" s="1"/>
  <c r="AI101" i="58"/>
  <c r="AK101" i="58" s="1"/>
  <c r="AM101" i="58" s="1"/>
  <c r="AI100" i="58"/>
  <c r="AK100" i="58" s="1"/>
  <c r="AM100" i="58" s="1"/>
  <c r="AI99" i="58"/>
  <c r="AK99" i="58" s="1"/>
  <c r="AM99" i="58" s="1"/>
  <c r="AI98" i="58"/>
  <c r="AK98" i="58" s="1"/>
  <c r="AM98" i="58" s="1"/>
  <c r="AI97" i="58"/>
  <c r="AK97" i="58" s="1"/>
  <c r="AM97" i="58" s="1"/>
  <c r="AI96" i="58"/>
  <c r="AK96" i="58" s="1"/>
  <c r="AM96" i="58" s="1"/>
  <c r="AI95" i="58"/>
  <c r="AK95" i="58" s="1"/>
  <c r="AM95" i="58" s="1"/>
  <c r="AI94" i="58"/>
  <c r="AK94" i="58" s="1"/>
  <c r="AM94" i="58" s="1"/>
  <c r="AI93" i="58"/>
  <c r="AK93" i="58" s="1"/>
  <c r="AM93" i="58" s="1"/>
  <c r="AI92" i="58"/>
  <c r="AK92" i="58" s="1"/>
  <c r="AM92" i="58" s="1"/>
  <c r="AI91" i="58"/>
  <c r="AK91" i="58" s="1"/>
  <c r="AM91" i="58" s="1"/>
  <c r="AI90" i="58"/>
  <c r="AK90" i="58" s="1"/>
  <c r="AM90" i="58" s="1"/>
  <c r="AI89" i="58"/>
  <c r="AK89" i="58" s="1"/>
  <c r="AM89" i="58" s="1"/>
  <c r="AI88" i="58"/>
  <c r="AK88" i="58" s="1"/>
  <c r="AM88" i="58" s="1"/>
  <c r="AI87" i="58"/>
  <c r="AK87" i="58" s="1"/>
  <c r="AM87" i="58" s="1"/>
  <c r="AI86" i="58"/>
  <c r="AK86" i="58" s="1"/>
  <c r="AM86" i="58" s="1"/>
  <c r="AI85" i="58"/>
  <c r="AK85" i="58" s="1"/>
  <c r="AM85" i="58" s="1"/>
  <c r="AI84" i="58"/>
  <c r="AK84" i="58" s="1"/>
  <c r="AM84" i="58" s="1"/>
  <c r="AI83" i="58"/>
  <c r="AK83" i="58" s="1"/>
  <c r="AM83" i="58" s="1"/>
  <c r="AI82" i="58"/>
  <c r="AK82" i="58" s="1"/>
  <c r="AM82" i="58" s="1"/>
  <c r="AI81" i="58"/>
  <c r="AK81" i="58" s="1"/>
  <c r="AM81" i="58" s="1"/>
  <c r="AI80" i="58"/>
  <c r="AK80" i="58" s="1"/>
  <c r="AM80" i="58" s="1"/>
  <c r="AI79" i="58"/>
  <c r="AK79" i="58" s="1"/>
  <c r="AM79" i="58" s="1"/>
  <c r="AI78" i="58"/>
  <c r="AK78" i="58" s="1"/>
  <c r="AM78" i="58" s="1"/>
  <c r="AI77" i="58"/>
  <c r="AK77" i="58" s="1"/>
  <c r="AM77" i="58" s="1"/>
  <c r="AI76" i="58"/>
  <c r="AK76" i="58" s="1"/>
  <c r="AM76" i="58" s="1"/>
  <c r="AI75" i="58"/>
  <c r="AK75" i="58" s="1"/>
  <c r="AM75" i="58" s="1"/>
  <c r="AI74" i="58"/>
  <c r="AK74" i="58" s="1"/>
  <c r="AM74" i="58" s="1"/>
  <c r="AI73" i="58"/>
  <c r="AK73" i="58" s="1"/>
  <c r="AM73" i="58" s="1"/>
  <c r="AI72" i="58"/>
  <c r="AK72" i="58" s="1"/>
  <c r="AM72" i="58" s="1"/>
  <c r="AI71" i="58"/>
  <c r="AK71" i="58" s="1"/>
  <c r="AM71" i="58" s="1"/>
  <c r="AI70" i="58"/>
  <c r="AK70" i="58" s="1"/>
  <c r="AM70" i="58" s="1"/>
  <c r="AI69" i="58"/>
  <c r="AK69" i="58" s="1"/>
  <c r="AM69" i="58" s="1"/>
  <c r="AI68" i="58"/>
  <c r="AK68" i="58" s="1"/>
  <c r="AM68" i="58" s="1"/>
  <c r="AI67" i="58"/>
  <c r="AK67" i="58" s="1"/>
  <c r="AM67" i="58" s="1"/>
  <c r="AI66" i="58"/>
  <c r="AK66" i="58" s="1"/>
  <c r="AM66" i="58" s="1"/>
  <c r="AI65" i="58"/>
  <c r="AK65" i="58" s="1"/>
  <c r="AM65" i="58" s="1"/>
  <c r="AI64" i="58"/>
  <c r="AK64" i="58" s="1"/>
  <c r="AM64" i="58" s="1"/>
  <c r="AI63" i="58"/>
  <c r="AK63" i="58" s="1"/>
  <c r="AM63" i="58" s="1"/>
  <c r="AI62" i="58"/>
  <c r="AK62" i="58" s="1"/>
  <c r="AM62" i="58" s="1"/>
  <c r="AI61" i="58"/>
  <c r="AK61" i="58" s="1"/>
  <c r="AM61" i="58" s="1"/>
  <c r="AI60" i="58"/>
  <c r="AK60" i="58" s="1"/>
  <c r="AM60" i="58" s="1"/>
  <c r="AI59" i="58"/>
  <c r="AK59" i="58" s="1"/>
  <c r="AM59" i="58" s="1"/>
  <c r="AI58" i="58"/>
  <c r="AK58" i="58" s="1"/>
  <c r="AM58" i="58" s="1"/>
  <c r="AI57" i="58"/>
  <c r="AK57" i="58" s="1"/>
  <c r="AM57" i="58" s="1"/>
  <c r="AI56" i="58"/>
  <c r="AK56" i="58" s="1"/>
  <c r="AM56" i="58" s="1"/>
  <c r="AI55" i="58"/>
  <c r="AK55" i="58" s="1"/>
  <c r="AM55" i="58" s="1"/>
  <c r="AI54" i="58"/>
  <c r="AK54" i="58" s="1"/>
  <c r="AM54" i="58" s="1"/>
  <c r="AI53" i="58"/>
  <c r="AK53" i="58" s="1"/>
  <c r="AM53" i="58" s="1"/>
  <c r="AI52" i="58"/>
  <c r="AK52" i="58" s="1"/>
  <c r="AM52" i="58" s="1"/>
  <c r="AI51" i="58"/>
  <c r="AK51" i="58" s="1"/>
  <c r="AM51" i="58" s="1"/>
  <c r="AI50" i="58"/>
  <c r="AK50" i="58" s="1"/>
  <c r="AM50" i="58" s="1"/>
  <c r="AI49" i="58"/>
  <c r="AK49" i="58" s="1"/>
  <c r="AM49" i="58" s="1"/>
  <c r="AI48" i="58"/>
  <c r="AK48" i="58" s="1"/>
  <c r="AM48" i="58" s="1"/>
  <c r="AI47" i="58"/>
  <c r="AK47" i="58" s="1"/>
  <c r="AM47" i="58" s="1"/>
  <c r="AA46" i="58"/>
  <c r="Z46" i="58"/>
  <c r="AI45" i="58"/>
  <c r="AK45" i="58" s="1"/>
  <c r="AM45" i="58" s="1"/>
  <c r="AI44" i="58"/>
  <c r="AK44" i="58" s="1"/>
  <c r="AM44" i="58" s="1"/>
  <c r="AI43" i="58"/>
  <c r="AK43" i="58" s="1"/>
  <c r="AM43" i="58" s="1"/>
  <c r="AI42" i="58"/>
  <c r="AK42" i="58" s="1"/>
  <c r="AM42" i="58" s="1"/>
  <c r="AC41" i="58"/>
  <c r="AI41" i="58" s="1"/>
  <c r="AK41" i="58" s="1"/>
  <c r="AM41" i="58" s="1"/>
  <c r="AI40" i="58"/>
  <c r="AK40" i="58" s="1"/>
  <c r="AM40" i="58" s="1"/>
  <c r="AI39" i="58"/>
  <c r="AK39" i="58" s="1"/>
  <c r="AM39" i="58" s="1"/>
  <c r="AD38" i="58"/>
  <c r="V38" i="58"/>
  <c r="AI37" i="58"/>
  <c r="AK37" i="58" s="1"/>
  <c r="AM37" i="58" s="1"/>
  <c r="AI36" i="58"/>
  <c r="AK36" i="58" s="1"/>
  <c r="AM36" i="58" s="1"/>
  <c r="AD35" i="58"/>
  <c r="AI35" i="58" s="1"/>
  <c r="AK35" i="58" s="1"/>
  <c r="AM35" i="58" s="1"/>
  <c r="AI34" i="58"/>
  <c r="AK34" i="58" s="1"/>
  <c r="AM34" i="58" s="1"/>
  <c r="AI33" i="58"/>
  <c r="AK33" i="58" s="1"/>
  <c r="AM33" i="58" s="1"/>
  <c r="AI32" i="58"/>
  <c r="AK32" i="58" s="1"/>
  <c r="AM32" i="58" s="1"/>
  <c r="AI31" i="58"/>
  <c r="AK31" i="58" s="1"/>
  <c r="AM31" i="58" s="1"/>
  <c r="AD30" i="58"/>
  <c r="AI30" i="58" s="1"/>
  <c r="AK30" i="58" s="1"/>
  <c r="AM30" i="58" s="1"/>
  <c r="AI29" i="58"/>
  <c r="AK29" i="58" s="1"/>
  <c r="AM29" i="58" s="1"/>
  <c r="AI28" i="58"/>
  <c r="AK28" i="58" s="1"/>
  <c r="AM28" i="58" s="1"/>
  <c r="AI27" i="58"/>
  <c r="AK27" i="58" s="1"/>
  <c r="AM27" i="58" s="1"/>
  <c r="AE26" i="58"/>
  <c r="P26" i="58"/>
  <c r="AI25" i="58"/>
  <c r="AK25" i="58" s="1"/>
  <c r="AM25" i="58" s="1"/>
  <c r="AI24" i="58"/>
  <c r="AK24" i="58" s="1"/>
  <c r="AM24" i="58" s="1"/>
  <c r="AI23" i="58"/>
  <c r="AK23" i="58" s="1"/>
  <c r="AM23" i="58" s="1"/>
  <c r="AI22" i="58"/>
  <c r="AK22" i="58" s="1"/>
  <c r="AM22" i="58" s="1"/>
  <c r="AI21" i="58"/>
  <c r="AK21" i="58" s="1"/>
  <c r="AM21" i="58" s="1"/>
  <c r="AI20" i="58"/>
  <c r="AK20" i="58" s="1"/>
  <c r="AM20" i="58" s="1"/>
  <c r="AI19" i="58"/>
  <c r="AK19" i="58" s="1"/>
  <c r="AM19" i="58" s="1"/>
  <c r="X18" i="58"/>
  <c r="W18" i="58"/>
  <c r="AI17" i="58"/>
  <c r="AK17" i="58" s="1"/>
  <c r="AM17" i="58" s="1"/>
  <c r="AI16" i="58"/>
  <c r="AK16" i="58" s="1"/>
  <c r="AM16" i="58" s="1"/>
  <c r="AI15" i="58"/>
  <c r="AK15" i="58" s="1"/>
  <c r="AM15" i="58" s="1"/>
  <c r="AI14" i="58"/>
  <c r="AK14" i="58" s="1"/>
  <c r="AM14" i="58" s="1"/>
  <c r="AI13" i="58"/>
  <c r="AK13" i="58" s="1"/>
  <c r="AM13" i="58" s="1"/>
  <c r="AI12" i="58"/>
  <c r="AI11" i="58"/>
  <c r="E9" i="58"/>
  <c r="F9" i="58" s="1"/>
  <c r="G9" i="58" s="1"/>
  <c r="H9" i="58" s="1"/>
  <c r="I9" i="58" s="1"/>
  <c r="J9" i="58" s="1"/>
  <c r="K9" i="58" s="1"/>
  <c r="L9" i="58" s="1"/>
  <c r="M9" i="58" s="1"/>
  <c r="N9" i="58" s="1"/>
  <c r="O9" i="58" s="1"/>
  <c r="P9" i="58" s="1"/>
  <c r="Q9" i="58" s="1"/>
  <c r="R9" i="58" s="1"/>
  <c r="S9" i="58" s="1"/>
  <c r="T9" i="58" s="1"/>
  <c r="U9" i="58" s="1"/>
  <c r="V9" i="58" s="1"/>
  <c r="W9" i="58" s="1"/>
  <c r="X9" i="58" s="1"/>
  <c r="Y9" i="58" s="1"/>
  <c r="Z9" i="58" s="1"/>
  <c r="AA9" i="58" s="1"/>
  <c r="AB9" i="58" s="1"/>
  <c r="AC9" i="58" s="1"/>
  <c r="AD9" i="58" s="1"/>
  <c r="AE9" i="58" s="1"/>
  <c r="AF9" i="58" s="1"/>
  <c r="AG9" i="58" s="1"/>
  <c r="AH9" i="58" s="1"/>
  <c r="B5" i="58"/>
  <c r="AI582" i="58" l="1"/>
  <c r="AI569" i="58"/>
  <c r="AI46" i="58"/>
  <c r="AK46" i="58" s="1"/>
  <c r="AM46" i="58" s="1"/>
  <c r="AI38" i="58"/>
  <c r="AK38" i="58" s="1"/>
  <c r="AM38" i="58" s="1"/>
  <c r="AI26" i="58"/>
  <c r="AK26" i="58" s="1"/>
  <c r="AM26" i="58" s="1"/>
  <c r="AI18" i="58"/>
  <c r="AK18" i="58" s="1"/>
  <c r="AM18" i="58" s="1"/>
  <c r="C3" i="48" l="1"/>
  <c r="K22" i="50"/>
  <c r="K26" i="50"/>
  <c r="K28" i="50"/>
  <c r="K34" i="50"/>
  <c r="K38" i="50"/>
  <c r="K47" i="50"/>
  <c r="K56" i="50"/>
  <c r="K61" i="50"/>
  <c r="K66" i="50"/>
  <c r="K70" i="50"/>
  <c r="K75" i="50"/>
  <c r="K79" i="50"/>
  <c r="K81" i="50"/>
  <c r="K87" i="50"/>
  <c r="K91" i="50"/>
  <c r="K95" i="50"/>
  <c r="K101" i="50"/>
  <c r="K103" i="50"/>
  <c r="K105" i="50"/>
  <c r="K107" i="50"/>
  <c r="K110" i="50"/>
  <c r="K114" i="50"/>
  <c r="K120" i="50"/>
  <c r="K121" i="50"/>
  <c r="K122" i="50"/>
  <c r="K123" i="50"/>
  <c r="K124" i="50"/>
  <c r="K125" i="50"/>
  <c r="K126" i="50"/>
  <c r="K127" i="50"/>
  <c r="K132" i="50"/>
  <c r="K135" i="50"/>
  <c r="K142" i="50"/>
  <c r="K146" i="50"/>
  <c r="K151" i="50"/>
  <c r="K155" i="50"/>
  <c r="K65" i="50" l="1"/>
  <c r="K74" i="50"/>
  <c r="K37" i="50"/>
  <c r="K119" i="50"/>
  <c r="K134" i="50"/>
  <c r="K100" i="50"/>
  <c r="K25" i="50"/>
  <c r="K86" i="50"/>
  <c r="K60" i="50" l="1"/>
  <c r="K157" i="50" s="1"/>
  <c r="K158" i="50" s="1"/>
  <c r="K21" i="50" l="1"/>
  <c r="K20" i="50" s="1"/>
  <c r="K159" i="50"/>
  <c r="G42" i="85"/>
  <c r="P253" i="48"/>
  <c r="L253" i="48"/>
  <c r="G252" i="48"/>
  <c r="G254" i="48" s="1"/>
  <c r="F252" i="48"/>
  <c r="F254" i="48" s="1"/>
  <c r="E252" i="48"/>
  <c r="E254" i="48" s="1"/>
  <c r="P251" i="48"/>
  <c r="L251" i="48"/>
  <c r="P250" i="48"/>
  <c r="M250" i="48"/>
  <c r="L250" i="48"/>
  <c r="P249" i="48"/>
  <c r="Q249" i="48" s="1"/>
  <c r="N249" i="48"/>
  <c r="O249" i="48" s="1"/>
  <c r="L249" i="48"/>
  <c r="P248" i="48"/>
  <c r="L248" i="48"/>
  <c r="D248" i="48"/>
  <c r="B248" i="48"/>
  <c r="P247" i="48"/>
  <c r="Q247" i="48" s="1"/>
  <c r="N247" i="48"/>
  <c r="M247" i="48"/>
  <c r="L247" i="48"/>
  <c r="B246" i="48"/>
  <c r="P245" i="48"/>
  <c r="L245" i="48"/>
  <c r="D245" i="48"/>
  <c r="B245" i="48"/>
  <c r="P244" i="48"/>
  <c r="Q244" i="48" s="1"/>
  <c r="N244" i="48"/>
  <c r="M244" i="48"/>
  <c r="L244" i="48"/>
  <c r="P243" i="48"/>
  <c r="L243" i="48"/>
  <c r="D243" i="48"/>
  <c r="M243" i="48" s="1"/>
  <c r="B243" i="48"/>
  <c r="P242" i="48"/>
  <c r="Q242" i="48" s="1"/>
  <c r="N242" i="48"/>
  <c r="M242" i="48"/>
  <c r="L242" i="48"/>
  <c r="P241" i="48"/>
  <c r="L241" i="48"/>
  <c r="D241" i="48"/>
  <c r="N241" i="48" s="1"/>
  <c r="B241" i="48"/>
  <c r="P240" i="48"/>
  <c r="Q240" i="48" s="1"/>
  <c r="N240" i="48"/>
  <c r="M240" i="48"/>
  <c r="L240" i="48"/>
  <c r="B239" i="48"/>
  <c r="P238" i="48"/>
  <c r="L238" i="48"/>
  <c r="D238" i="48"/>
  <c r="B238" i="48"/>
  <c r="P237" i="48"/>
  <c r="Q237" i="48" s="1"/>
  <c r="N237" i="48"/>
  <c r="M237" i="48"/>
  <c r="L237" i="48"/>
  <c r="P236" i="48"/>
  <c r="L236" i="48"/>
  <c r="D236" i="48"/>
  <c r="B236" i="48"/>
  <c r="P235" i="48"/>
  <c r="Q235" i="48" s="1"/>
  <c r="N235" i="48"/>
  <c r="M235" i="48"/>
  <c r="L235" i="48"/>
  <c r="P234" i="48"/>
  <c r="L234" i="48"/>
  <c r="D234" i="48"/>
  <c r="N234" i="48" s="1"/>
  <c r="B234" i="48"/>
  <c r="P233" i="48"/>
  <c r="Q233" i="48" s="1"/>
  <c r="N233" i="48"/>
  <c r="M233" i="48"/>
  <c r="L233" i="48"/>
  <c r="P232" i="48"/>
  <c r="L232" i="48"/>
  <c r="D232" i="48"/>
  <c r="M232" i="48" s="1"/>
  <c r="B232" i="48"/>
  <c r="P231" i="48"/>
  <c r="Q231" i="48" s="1"/>
  <c r="N231" i="48"/>
  <c r="M231" i="48"/>
  <c r="L231" i="48"/>
  <c r="B230" i="48"/>
  <c r="P229" i="48"/>
  <c r="L229" i="48"/>
  <c r="D229" i="48"/>
  <c r="N229" i="48" s="1"/>
  <c r="B229" i="48"/>
  <c r="P228" i="48"/>
  <c r="Q228" i="48" s="1"/>
  <c r="N228" i="48"/>
  <c r="M228" i="48"/>
  <c r="L228" i="48"/>
  <c r="P227" i="48"/>
  <c r="L227" i="48"/>
  <c r="D227" i="48"/>
  <c r="N227" i="48" s="1"/>
  <c r="B227" i="48"/>
  <c r="P226" i="48"/>
  <c r="Q226" i="48" s="1"/>
  <c r="N226" i="48"/>
  <c r="M226" i="48"/>
  <c r="L226" i="48"/>
  <c r="P225" i="48"/>
  <c r="L225" i="48"/>
  <c r="D225" i="48"/>
  <c r="B225" i="48"/>
  <c r="P224" i="48"/>
  <c r="Q224" i="48" s="1"/>
  <c r="N224" i="48"/>
  <c r="M224" i="48"/>
  <c r="L224" i="48"/>
  <c r="P223" i="48"/>
  <c r="L223" i="48"/>
  <c r="D223" i="48"/>
  <c r="B223" i="48"/>
  <c r="P222" i="48"/>
  <c r="Q222" i="48" s="1"/>
  <c r="N222" i="48"/>
  <c r="M222" i="48"/>
  <c r="L222" i="48"/>
  <c r="P221" i="48"/>
  <c r="L221" i="48"/>
  <c r="D221" i="48"/>
  <c r="N221" i="48" s="1"/>
  <c r="B221" i="48"/>
  <c r="P220" i="48"/>
  <c r="Q220" i="48" s="1"/>
  <c r="N220" i="48"/>
  <c r="M220" i="48"/>
  <c r="L220" i="48"/>
  <c r="P219" i="48"/>
  <c r="L219" i="48"/>
  <c r="D219" i="48"/>
  <c r="N219" i="48" s="1"/>
  <c r="B219" i="48"/>
  <c r="P218" i="48"/>
  <c r="Q218" i="48" s="1"/>
  <c r="N218" i="48"/>
  <c r="M218" i="48"/>
  <c r="L218" i="48"/>
  <c r="B217" i="48"/>
  <c r="B216" i="48"/>
  <c r="P214" i="48"/>
  <c r="L214" i="48"/>
  <c r="D214" i="48"/>
  <c r="N214" i="48" s="1"/>
  <c r="B214" i="48"/>
  <c r="P213" i="48"/>
  <c r="Q213" i="48" s="1"/>
  <c r="N213" i="48"/>
  <c r="M213" i="48"/>
  <c r="L213" i="48"/>
  <c r="B212" i="48"/>
  <c r="P210" i="48"/>
  <c r="L210" i="48"/>
  <c r="D210" i="48"/>
  <c r="M210" i="48" s="1"/>
  <c r="B210" i="48"/>
  <c r="P209" i="48"/>
  <c r="Q209" i="48" s="1"/>
  <c r="N209" i="48"/>
  <c r="M209" i="48"/>
  <c r="L209" i="48"/>
  <c r="P208" i="48"/>
  <c r="L208" i="48"/>
  <c r="D208" i="48"/>
  <c r="N208" i="48" s="1"/>
  <c r="B208" i="48"/>
  <c r="P207" i="48"/>
  <c r="Q207" i="48" s="1"/>
  <c r="N207" i="48"/>
  <c r="M207" i="48"/>
  <c r="L207" i="48"/>
  <c r="P206" i="48"/>
  <c r="L206" i="48"/>
  <c r="D206" i="48"/>
  <c r="N206" i="48" s="1"/>
  <c r="B206" i="48"/>
  <c r="P205" i="48"/>
  <c r="Q205" i="48" s="1"/>
  <c r="N205" i="48"/>
  <c r="M205" i="48"/>
  <c r="L205" i="48"/>
  <c r="P204" i="48"/>
  <c r="L204" i="48"/>
  <c r="D204" i="48"/>
  <c r="N204" i="48" s="1"/>
  <c r="B204" i="48"/>
  <c r="P203" i="48"/>
  <c r="Q203" i="48" s="1"/>
  <c r="N203" i="48"/>
  <c r="M203" i="48"/>
  <c r="L203" i="48"/>
  <c r="B202" i="48"/>
  <c r="P200" i="48"/>
  <c r="L200" i="48"/>
  <c r="D200" i="48"/>
  <c r="N200" i="48" s="1"/>
  <c r="B200" i="48"/>
  <c r="P199" i="48"/>
  <c r="Q199" i="48" s="1"/>
  <c r="N199" i="48"/>
  <c r="M199" i="48"/>
  <c r="L199" i="48"/>
  <c r="P198" i="48"/>
  <c r="L198" i="48"/>
  <c r="D198" i="48"/>
  <c r="N198" i="48" s="1"/>
  <c r="B198" i="48"/>
  <c r="P197" i="48"/>
  <c r="Q197" i="48" s="1"/>
  <c r="N197" i="48"/>
  <c r="M197" i="48"/>
  <c r="L197" i="48"/>
  <c r="P196" i="48"/>
  <c r="L196" i="48"/>
  <c r="D196" i="48"/>
  <c r="N196" i="48" s="1"/>
  <c r="B196" i="48"/>
  <c r="P195" i="48"/>
  <c r="Q195" i="48" s="1"/>
  <c r="N195" i="48"/>
  <c r="M195" i="48"/>
  <c r="L195" i="48"/>
  <c r="P194" i="48"/>
  <c r="L194" i="48"/>
  <c r="D194" i="48"/>
  <c r="B194" i="48"/>
  <c r="P193" i="48"/>
  <c r="Q193" i="48" s="1"/>
  <c r="N193" i="48"/>
  <c r="M193" i="48"/>
  <c r="L193" i="48"/>
  <c r="P192" i="48"/>
  <c r="L192" i="48"/>
  <c r="D192" i="48"/>
  <c r="N192" i="48" s="1"/>
  <c r="B192" i="48"/>
  <c r="P191" i="48"/>
  <c r="Q191" i="48" s="1"/>
  <c r="N191" i="48"/>
  <c r="M191" i="48"/>
  <c r="L191" i="48"/>
  <c r="P190" i="48"/>
  <c r="L190" i="48"/>
  <c r="D190" i="48"/>
  <c r="N190" i="48" s="1"/>
  <c r="B190" i="48"/>
  <c r="P189" i="48"/>
  <c r="Q189" i="48" s="1"/>
  <c r="N189" i="48"/>
  <c r="M189" i="48"/>
  <c r="L189" i="48"/>
  <c r="P188" i="48"/>
  <c r="L188" i="48"/>
  <c r="D188" i="48"/>
  <c r="N188" i="48" s="1"/>
  <c r="B188" i="48"/>
  <c r="P187" i="48"/>
  <c r="Q187" i="48" s="1"/>
  <c r="N187" i="48"/>
  <c r="M187" i="48"/>
  <c r="L187" i="48"/>
  <c r="B186" i="48"/>
  <c r="P185" i="48"/>
  <c r="L185" i="48"/>
  <c r="D185" i="48"/>
  <c r="N185" i="48" s="1"/>
  <c r="B185" i="48"/>
  <c r="P184" i="48"/>
  <c r="Q184" i="48" s="1"/>
  <c r="N184" i="48"/>
  <c r="M184" i="48"/>
  <c r="L184" i="48"/>
  <c r="P183" i="48"/>
  <c r="L183" i="48"/>
  <c r="D183" i="48"/>
  <c r="B183" i="48"/>
  <c r="P182" i="48"/>
  <c r="Q182" i="48" s="1"/>
  <c r="N182" i="48"/>
  <c r="M182" i="48"/>
  <c r="L182" i="48"/>
  <c r="P181" i="48"/>
  <c r="L181" i="48"/>
  <c r="D181" i="48"/>
  <c r="N181" i="48" s="1"/>
  <c r="B181" i="48"/>
  <c r="P180" i="48"/>
  <c r="Q180" i="48" s="1"/>
  <c r="N180" i="48"/>
  <c r="M180" i="48"/>
  <c r="L180" i="48"/>
  <c r="P179" i="48"/>
  <c r="L179" i="48"/>
  <c r="D179" i="48"/>
  <c r="N179" i="48" s="1"/>
  <c r="B179" i="48"/>
  <c r="P178" i="48"/>
  <c r="Q178" i="48" s="1"/>
  <c r="N178" i="48"/>
  <c r="M178" i="48"/>
  <c r="L178" i="48"/>
  <c r="B177" i="48"/>
  <c r="P176" i="48"/>
  <c r="L176" i="48"/>
  <c r="D176" i="48"/>
  <c r="N176" i="48" s="1"/>
  <c r="B176" i="48"/>
  <c r="P175" i="48"/>
  <c r="Q175" i="48" s="1"/>
  <c r="N175" i="48"/>
  <c r="M175" i="48"/>
  <c r="L175" i="48"/>
  <c r="B174" i="48"/>
  <c r="P173" i="48"/>
  <c r="L173" i="48"/>
  <c r="D173" i="48"/>
  <c r="N173" i="48" s="1"/>
  <c r="B173" i="48"/>
  <c r="P172" i="48"/>
  <c r="Q172" i="48" s="1"/>
  <c r="N172" i="48"/>
  <c r="M172" i="48"/>
  <c r="L172" i="48"/>
  <c r="B171" i="48"/>
  <c r="P170" i="48"/>
  <c r="L170" i="48"/>
  <c r="D170" i="48"/>
  <c r="N170" i="48" s="1"/>
  <c r="B170" i="48"/>
  <c r="P169" i="48"/>
  <c r="Q169" i="48" s="1"/>
  <c r="N169" i="48"/>
  <c r="M169" i="48"/>
  <c r="L169" i="48"/>
  <c r="P168" i="48"/>
  <c r="L168" i="48"/>
  <c r="D168" i="48"/>
  <c r="N168" i="48" s="1"/>
  <c r="B168" i="48"/>
  <c r="P167" i="48"/>
  <c r="Q167" i="48" s="1"/>
  <c r="N167" i="48"/>
  <c r="M167" i="48"/>
  <c r="L167" i="48"/>
  <c r="B166" i="48"/>
  <c r="P165" i="48"/>
  <c r="L165" i="48"/>
  <c r="D165" i="48"/>
  <c r="N165" i="48" s="1"/>
  <c r="B165" i="48"/>
  <c r="P164" i="48"/>
  <c r="Q164" i="48" s="1"/>
  <c r="N164" i="48"/>
  <c r="M164" i="48"/>
  <c r="L164" i="48"/>
  <c r="B163" i="48"/>
  <c r="P162" i="48"/>
  <c r="L162" i="48"/>
  <c r="D162" i="48"/>
  <c r="N162" i="48" s="1"/>
  <c r="B162" i="48"/>
  <c r="P161" i="48"/>
  <c r="Q161" i="48" s="1"/>
  <c r="N161" i="48"/>
  <c r="M161" i="48"/>
  <c r="L161" i="48"/>
  <c r="B160" i="48"/>
  <c r="P159" i="48"/>
  <c r="L159" i="48"/>
  <c r="D159" i="48"/>
  <c r="N159" i="48" s="1"/>
  <c r="B159" i="48"/>
  <c r="P158" i="48"/>
  <c r="Q158" i="48" s="1"/>
  <c r="N158" i="48"/>
  <c r="M158" i="48"/>
  <c r="L158" i="48"/>
  <c r="B157" i="48"/>
  <c r="B156" i="48"/>
  <c r="P155" i="48"/>
  <c r="L155" i="48"/>
  <c r="D155" i="48"/>
  <c r="M155" i="48" s="1"/>
  <c r="B155" i="48"/>
  <c r="P154" i="48"/>
  <c r="Q154" i="48" s="1"/>
  <c r="N154" i="48"/>
  <c r="M154" i="48"/>
  <c r="L154" i="48"/>
  <c r="P153" i="48"/>
  <c r="L153" i="48"/>
  <c r="D153" i="48"/>
  <c r="N153" i="48" s="1"/>
  <c r="B153" i="48"/>
  <c r="P152" i="48"/>
  <c r="Q152" i="48" s="1"/>
  <c r="N152" i="48"/>
  <c r="M152" i="48"/>
  <c r="L152" i="48"/>
  <c r="P151" i="48"/>
  <c r="L151" i="48"/>
  <c r="D151" i="48"/>
  <c r="N151" i="48" s="1"/>
  <c r="B151" i="48"/>
  <c r="P150" i="48"/>
  <c r="Q150" i="48" s="1"/>
  <c r="N150" i="48"/>
  <c r="M150" i="48"/>
  <c r="L150" i="48"/>
  <c r="P149" i="48"/>
  <c r="L149" i="48"/>
  <c r="D149" i="48"/>
  <c r="M149" i="48" s="1"/>
  <c r="B149" i="48"/>
  <c r="P148" i="48"/>
  <c r="Q148" i="48" s="1"/>
  <c r="N148" i="48"/>
  <c r="M148" i="48"/>
  <c r="L148" i="48"/>
  <c r="B147" i="48"/>
  <c r="P146" i="48"/>
  <c r="L146" i="48"/>
  <c r="D146" i="48"/>
  <c r="M146" i="48" s="1"/>
  <c r="B146" i="48"/>
  <c r="P145" i="48"/>
  <c r="Q145" i="48" s="1"/>
  <c r="N145" i="48"/>
  <c r="M145" i="48"/>
  <c r="L145" i="48"/>
  <c r="P144" i="48"/>
  <c r="L144" i="48"/>
  <c r="D144" i="48"/>
  <c r="N144" i="48" s="1"/>
  <c r="B144" i="48"/>
  <c r="P143" i="48"/>
  <c r="Q143" i="48" s="1"/>
  <c r="N143" i="48"/>
  <c r="M143" i="48"/>
  <c r="L143" i="48"/>
  <c r="P142" i="48"/>
  <c r="L142" i="48"/>
  <c r="D142" i="48"/>
  <c r="N142" i="48" s="1"/>
  <c r="B142" i="48"/>
  <c r="P141" i="48"/>
  <c r="Q141" i="48" s="1"/>
  <c r="N141" i="48"/>
  <c r="M141" i="48"/>
  <c r="L141" i="48"/>
  <c r="B140" i="48"/>
  <c r="P139" i="48"/>
  <c r="L139" i="48"/>
  <c r="D139" i="48"/>
  <c r="B139" i="48"/>
  <c r="P138" i="48"/>
  <c r="Q138" i="48" s="1"/>
  <c r="N138" i="48"/>
  <c r="M138" i="48"/>
  <c r="L138" i="48"/>
  <c r="P137" i="48"/>
  <c r="L137" i="48"/>
  <c r="D137" i="48"/>
  <c r="N137" i="48" s="1"/>
  <c r="B137" i="48"/>
  <c r="P136" i="48"/>
  <c r="Q136" i="48" s="1"/>
  <c r="N136" i="48"/>
  <c r="M136" i="48"/>
  <c r="L136" i="48"/>
  <c r="P135" i="48"/>
  <c r="L135" i="48"/>
  <c r="D135" i="48"/>
  <c r="M135" i="48" s="1"/>
  <c r="B135" i="48"/>
  <c r="P134" i="48"/>
  <c r="Q134" i="48" s="1"/>
  <c r="N134" i="48"/>
  <c r="M134" i="48"/>
  <c r="L134" i="48"/>
  <c r="B133" i="48"/>
  <c r="B132" i="48"/>
  <c r="P130" i="48"/>
  <c r="L130" i="48"/>
  <c r="D130" i="48"/>
  <c r="N130" i="48" s="1"/>
  <c r="B130" i="48"/>
  <c r="P129" i="48"/>
  <c r="Q129" i="48" s="1"/>
  <c r="N129" i="48"/>
  <c r="M129" i="48"/>
  <c r="L129" i="48"/>
  <c r="P128" i="48"/>
  <c r="L128" i="48"/>
  <c r="D128" i="48"/>
  <c r="M128" i="48" s="1"/>
  <c r="B128" i="48"/>
  <c r="P127" i="48"/>
  <c r="Q127" i="48" s="1"/>
  <c r="N127" i="48"/>
  <c r="M127" i="48"/>
  <c r="L127" i="48"/>
  <c r="P126" i="48"/>
  <c r="L126" i="48"/>
  <c r="D126" i="48"/>
  <c r="N126" i="48" s="1"/>
  <c r="B126" i="48"/>
  <c r="P125" i="48"/>
  <c r="Q125" i="48" s="1"/>
  <c r="N125" i="48"/>
  <c r="M125" i="48"/>
  <c r="L125" i="48"/>
  <c r="P124" i="48"/>
  <c r="L124" i="48"/>
  <c r="D124" i="48"/>
  <c r="N124" i="48" s="1"/>
  <c r="B124" i="48"/>
  <c r="P123" i="48"/>
  <c r="Q123" i="48" s="1"/>
  <c r="N123" i="48"/>
  <c r="M123" i="48"/>
  <c r="L123" i="48"/>
  <c r="B122" i="48"/>
  <c r="P120" i="48"/>
  <c r="L120" i="48"/>
  <c r="D120" i="48"/>
  <c r="M120" i="48" s="1"/>
  <c r="B120" i="48"/>
  <c r="P119" i="48"/>
  <c r="Q119" i="48" s="1"/>
  <c r="N119" i="48"/>
  <c r="M119" i="48"/>
  <c r="L119" i="48"/>
  <c r="P118" i="48"/>
  <c r="L118" i="48"/>
  <c r="D118" i="48"/>
  <c r="N118" i="48" s="1"/>
  <c r="B118" i="48"/>
  <c r="P117" i="48"/>
  <c r="Q117" i="48" s="1"/>
  <c r="N117" i="48"/>
  <c r="M117" i="48"/>
  <c r="L117" i="48"/>
  <c r="P116" i="48"/>
  <c r="L116" i="48"/>
  <c r="D116" i="48"/>
  <c r="M116" i="48" s="1"/>
  <c r="B116" i="48"/>
  <c r="P115" i="48"/>
  <c r="Q115" i="48" s="1"/>
  <c r="N115" i="48"/>
  <c r="M115" i="48"/>
  <c r="L115" i="48"/>
  <c r="P114" i="48"/>
  <c r="L114" i="48"/>
  <c r="D114" i="48"/>
  <c r="B114" i="48"/>
  <c r="P113" i="48"/>
  <c r="Q113" i="48" s="1"/>
  <c r="N113" i="48"/>
  <c r="M113" i="48"/>
  <c r="L113" i="48"/>
  <c r="P112" i="48"/>
  <c r="L112" i="48"/>
  <c r="D112" i="48"/>
  <c r="B112" i="48"/>
  <c r="P111" i="48"/>
  <c r="Q111" i="48" s="1"/>
  <c r="N111" i="48"/>
  <c r="M111" i="48"/>
  <c r="L111" i="48"/>
  <c r="P110" i="48"/>
  <c r="L110" i="48"/>
  <c r="D110" i="48"/>
  <c r="N110" i="48" s="1"/>
  <c r="B110" i="48"/>
  <c r="P109" i="48"/>
  <c r="Q109" i="48" s="1"/>
  <c r="N109" i="48"/>
  <c r="M109" i="48"/>
  <c r="L109" i="48"/>
  <c r="P108" i="48"/>
  <c r="L108" i="48"/>
  <c r="D108" i="48"/>
  <c r="M108" i="48" s="1"/>
  <c r="B108" i="48"/>
  <c r="P107" i="48"/>
  <c r="Q107" i="48" s="1"/>
  <c r="N107" i="48"/>
  <c r="M107" i="48"/>
  <c r="L107" i="48"/>
  <c r="P106" i="48"/>
  <c r="L106" i="48"/>
  <c r="D106" i="48"/>
  <c r="N106" i="48" s="1"/>
  <c r="B106" i="48"/>
  <c r="P105" i="48"/>
  <c r="Q105" i="48" s="1"/>
  <c r="N105" i="48"/>
  <c r="M105" i="48"/>
  <c r="L105" i="48"/>
  <c r="B104" i="48"/>
  <c r="P103" i="48"/>
  <c r="L103" i="48"/>
  <c r="D103" i="48"/>
  <c r="B103" i="48"/>
  <c r="P102" i="48"/>
  <c r="Q102" i="48" s="1"/>
  <c r="N102" i="48"/>
  <c r="M102" i="48"/>
  <c r="L102" i="48"/>
  <c r="B101" i="48"/>
  <c r="D100" i="48"/>
  <c r="B100" i="48"/>
  <c r="P98" i="48"/>
  <c r="L98" i="48"/>
  <c r="D98" i="48"/>
  <c r="B98" i="48"/>
  <c r="P97" i="48"/>
  <c r="Q97" i="48" s="1"/>
  <c r="N97" i="48"/>
  <c r="M97" i="48"/>
  <c r="L97" i="48"/>
  <c r="P96" i="48"/>
  <c r="L96" i="48"/>
  <c r="D96" i="48"/>
  <c r="N96" i="48" s="1"/>
  <c r="B96" i="48"/>
  <c r="P95" i="48"/>
  <c r="Q95" i="48" s="1"/>
  <c r="N95" i="48"/>
  <c r="M95" i="48"/>
  <c r="L95" i="48"/>
  <c r="P94" i="48"/>
  <c r="L94" i="48"/>
  <c r="D94" i="48"/>
  <c r="N94" i="48" s="1"/>
  <c r="B94" i="48"/>
  <c r="P93" i="48"/>
  <c r="Q93" i="48" s="1"/>
  <c r="N93" i="48"/>
  <c r="M93" i="48"/>
  <c r="L93" i="48"/>
  <c r="B92" i="48"/>
  <c r="P90" i="48"/>
  <c r="L90" i="48"/>
  <c r="D90" i="48"/>
  <c r="N90" i="48" s="1"/>
  <c r="B90" i="48"/>
  <c r="P89" i="48"/>
  <c r="Q89" i="48" s="1"/>
  <c r="N89" i="48"/>
  <c r="M89" i="48"/>
  <c r="L89" i="48"/>
  <c r="P88" i="48"/>
  <c r="L88" i="48"/>
  <c r="D88" i="48"/>
  <c r="N88" i="48" s="1"/>
  <c r="B88" i="48"/>
  <c r="P87" i="48"/>
  <c r="Q87" i="48" s="1"/>
  <c r="N87" i="48"/>
  <c r="M87" i="48"/>
  <c r="L87" i="48"/>
  <c r="P86" i="48"/>
  <c r="L86" i="48"/>
  <c r="D86" i="48"/>
  <c r="B86" i="48"/>
  <c r="P85" i="48"/>
  <c r="Q85" i="48" s="1"/>
  <c r="N85" i="48"/>
  <c r="M85" i="48"/>
  <c r="L85" i="48"/>
  <c r="B83" i="48"/>
  <c r="B82" i="48"/>
  <c r="P80" i="48"/>
  <c r="L80" i="48"/>
  <c r="D80" i="48"/>
  <c r="N80" i="48" s="1"/>
  <c r="B80" i="48"/>
  <c r="P79" i="48"/>
  <c r="Q79" i="48" s="1"/>
  <c r="N79" i="48"/>
  <c r="M79" i="48"/>
  <c r="L79" i="48"/>
  <c r="P78" i="48"/>
  <c r="L78" i="48"/>
  <c r="D78" i="48"/>
  <c r="N78" i="48" s="1"/>
  <c r="B78" i="48"/>
  <c r="P77" i="48"/>
  <c r="Q77" i="48" s="1"/>
  <c r="N77" i="48"/>
  <c r="M77" i="48"/>
  <c r="L77" i="48"/>
  <c r="P76" i="48"/>
  <c r="L76" i="48"/>
  <c r="D76" i="48"/>
  <c r="N76" i="48" s="1"/>
  <c r="B76" i="48"/>
  <c r="P75" i="48"/>
  <c r="Q75" i="48" s="1"/>
  <c r="N75" i="48"/>
  <c r="M75" i="48"/>
  <c r="L75" i="48"/>
  <c r="B74" i="48"/>
  <c r="P72" i="48"/>
  <c r="L72" i="48"/>
  <c r="D72" i="48"/>
  <c r="M72" i="48" s="1"/>
  <c r="B72" i="48"/>
  <c r="P71" i="48"/>
  <c r="Q71" i="48" s="1"/>
  <c r="N71" i="48"/>
  <c r="M71" i="48"/>
  <c r="L71" i="48"/>
  <c r="P70" i="48"/>
  <c r="L70" i="48"/>
  <c r="D70" i="48"/>
  <c r="N70" i="48" s="1"/>
  <c r="B70" i="48"/>
  <c r="P69" i="48"/>
  <c r="Q69" i="48" s="1"/>
  <c r="N69" i="48"/>
  <c r="M69" i="48"/>
  <c r="L69" i="48"/>
  <c r="P68" i="48"/>
  <c r="L68" i="48"/>
  <c r="D68" i="48"/>
  <c r="N68" i="48" s="1"/>
  <c r="B68" i="48"/>
  <c r="P67" i="48"/>
  <c r="Q67" i="48" s="1"/>
  <c r="N67" i="48"/>
  <c r="M67" i="48"/>
  <c r="L67" i="48"/>
  <c r="P66" i="48"/>
  <c r="L66" i="48"/>
  <c r="D66" i="48"/>
  <c r="N66" i="48" s="1"/>
  <c r="B66" i="48"/>
  <c r="P65" i="48"/>
  <c r="Q65" i="48" s="1"/>
  <c r="N65" i="48"/>
  <c r="M65" i="48"/>
  <c r="L65" i="48"/>
  <c r="P64" i="48"/>
  <c r="L64" i="48"/>
  <c r="D64" i="48"/>
  <c r="B64" i="48"/>
  <c r="P63" i="48"/>
  <c r="Q63" i="48" s="1"/>
  <c r="N63" i="48"/>
  <c r="M63" i="48"/>
  <c r="L63" i="48"/>
  <c r="P62" i="48"/>
  <c r="L62" i="48"/>
  <c r="D62" i="48"/>
  <c r="N62" i="48" s="1"/>
  <c r="B62" i="48"/>
  <c r="P61" i="48"/>
  <c r="Q61" i="48" s="1"/>
  <c r="N61" i="48"/>
  <c r="M61" i="48"/>
  <c r="L61" i="48"/>
  <c r="P60" i="48"/>
  <c r="L60" i="48"/>
  <c r="D60" i="48"/>
  <c r="M60" i="48" s="1"/>
  <c r="B60" i="48"/>
  <c r="P59" i="48"/>
  <c r="Q59" i="48" s="1"/>
  <c r="N59" i="48"/>
  <c r="M59" i="48"/>
  <c r="L59" i="48"/>
  <c r="P58" i="48"/>
  <c r="L58" i="48"/>
  <c r="D58" i="48"/>
  <c r="N58" i="48" s="1"/>
  <c r="B58" i="48"/>
  <c r="P57" i="48"/>
  <c r="Q57" i="48" s="1"/>
  <c r="N57" i="48"/>
  <c r="M57" i="48"/>
  <c r="L57" i="48"/>
  <c r="B56" i="48"/>
  <c r="P54" i="48"/>
  <c r="L54" i="48"/>
  <c r="D54" i="48"/>
  <c r="B54" i="48"/>
  <c r="P53" i="48"/>
  <c r="Q53" i="48" s="1"/>
  <c r="N53" i="48"/>
  <c r="M53" i="48"/>
  <c r="L53" i="48"/>
  <c r="P52" i="48"/>
  <c r="L52" i="48"/>
  <c r="D52" i="48"/>
  <c r="N52" i="48" s="1"/>
  <c r="B52" i="48"/>
  <c r="P51" i="48"/>
  <c r="Q51" i="48" s="1"/>
  <c r="N51" i="48"/>
  <c r="M51" i="48"/>
  <c r="L51" i="48"/>
  <c r="P50" i="48"/>
  <c r="L50" i="48"/>
  <c r="D50" i="48"/>
  <c r="N50" i="48" s="1"/>
  <c r="B50" i="48"/>
  <c r="P49" i="48"/>
  <c r="Q49" i="48" s="1"/>
  <c r="N49" i="48"/>
  <c r="M49" i="48"/>
  <c r="L49" i="48"/>
  <c r="P48" i="48"/>
  <c r="L48" i="48"/>
  <c r="D48" i="48"/>
  <c r="M48" i="48" s="1"/>
  <c r="B48" i="48"/>
  <c r="P47" i="48"/>
  <c r="Q47" i="48" s="1"/>
  <c r="N47" i="48"/>
  <c r="M47" i="48"/>
  <c r="L47" i="48"/>
  <c r="P46" i="48"/>
  <c r="L46" i="48"/>
  <c r="D46" i="48"/>
  <c r="N46" i="48" s="1"/>
  <c r="B46" i="48"/>
  <c r="P45" i="48"/>
  <c r="Q45" i="48" s="1"/>
  <c r="N45" i="48"/>
  <c r="M45" i="48"/>
  <c r="L45" i="48"/>
  <c r="P44" i="48"/>
  <c r="L44" i="48"/>
  <c r="D44" i="48"/>
  <c r="M44" i="48" s="1"/>
  <c r="B44" i="48"/>
  <c r="P43" i="48"/>
  <c r="Q43" i="48" s="1"/>
  <c r="N43" i="48"/>
  <c r="M43" i="48"/>
  <c r="L43" i="48"/>
  <c r="P42" i="48"/>
  <c r="L42" i="48"/>
  <c r="D42" i="48"/>
  <c r="N42" i="48" s="1"/>
  <c r="B42" i="48"/>
  <c r="P41" i="48"/>
  <c r="Q41" i="48" s="1"/>
  <c r="N41" i="48"/>
  <c r="M41" i="48"/>
  <c r="L41" i="48"/>
  <c r="P40" i="48"/>
  <c r="L40" i="48"/>
  <c r="D40" i="48"/>
  <c r="N40" i="48" s="1"/>
  <c r="B40" i="48"/>
  <c r="P39" i="48"/>
  <c r="Q39" i="48" s="1"/>
  <c r="N39" i="48"/>
  <c r="M39" i="48"/>
  <c r="L39" i="48"/>
  <c r="B38" i="48"/>
  <c r="B37" i="48"/>
  <c r="P35" i="48"/>
  <c r="L35" i="48"/>
  <c r="D35" i="48"/>
  <c r="N35" i="48" s="1"/>
  <c r="B35" i="48"/>
  <c r="P34" i="48"/>
  <c r="Q34" i="48" s="1"/>
  <c r="N34" i="48"/>
  <c r="M34" i="48"/>
  <c r="L34" i="48"/>
  <c r="P33" i="48"/>
  <c r="L33" i="48"/>
  <c r="D33" i="48"/>
  <c r="N33" i="48" s="1"/>
  <c r="B33" i="48"/>
  <c r="P32" i="48"/>
  <c r="Q32" i="48" s="1"/>
  <c r="N32" i="48"/>
  <c r="M32" i="48"/>
  <c r="L32" i="48"/>
  <c r="B31" i="48"/>
  <c r="P29" i="48"/>
  <c r="L29" i="48"/>
  <c r="D29" i="48"/>
  <c r="N29" i="48" s="1"/>
  <c r="C29" i="48"/>
  <c r="B29" i="48"/>
  <c r="P28" i="48"/>
  <c r="Q28" i="48" s="1"/>
  <c r="N28" i="48"/>
  <c r="M28" i="48"/>
  <c r="L28" i="48"/>
  <c r="P27" i="48"/>
  <c r="L27" i="48"/>
  <c r="D27" i="48"/>
  <c r="N27" i="48" s="1"/>
  <c r="C27" i="48"/>
  <c r="B27" i="48"/>
  <c r="P26" i="48"/>
  <c r="Q26" i="48" s="1"/>
  <c r="N26" i="48"/>
  <c r="M26" i="48"/>
  <c r="L26" i="48"/>
  <c r="P25" i="48"/>
  <c r="L25" i="48"/>
  <c r="D25" i="48"/>
  <c r="N25" i="48" s="1"/>
  <c r="C25" i="48"/>
  <c r="B25" i="48"/>
  <c r="P24" i="48"/>
  <c r="Q24" i="48" s="1"/>
  <c r="N24" i="48"/>
  <c r="M24" i="48"/>
  <c r="L24" i="48"/>
  <c r="P23" i="48"/>
  <c r="L23" i="48"/>
  <c r="D23" i="48"/>
  <c r="N23" i="48" s="1"/>
  <c r="B23" i="48"/>
  <c r="P22" i="48"/>
  <c r="Q22" i="48" s="1"/>
  <c r="N22" i="48"/>
  <c r="M22" i="48"/>
  <c r="L22" i="48"/>
  <c r="P21" i="48"/>
  <c r="L21" i="48"/>
  <c r="D21" i="48"/>
  <c r="B21" i="48"/>
  <c r="P20" i="48"/>
  <c r="Q20" i="48" s="1"/>
  <c r="N20" i="48"/>
  <c r="M20" i="48"/>
  <c r="L20" i="48"/>
  <c r="B19" i="48"/>
  <c r="P18" i="48"/>
  <c r="L18" i="48"/>
  <c r="D18" i="48"/>
  <c r="B18" i="48"/>
  <c r="P17" i="48"/>
  <c r="Q17" i="48" s="1"/>
  <c r="N17" i="48"/>
  <c r="M17" i="48"/>
  <c r="L17" i="48"/>
  <c r="B16" i="48"/>
  <c r="B15" i="48"/>
  <c r="P13" i="48"/>
  <c r="L13" i="48"/>
  <c r="D13" i="48"/>
  <c r="N13" i="48" s="1"/>
  <c r="B13" i="48"/>
  <c r="P12" i="48"/>
  <c r="Q12" i="48" s="1"/>
  <c r="N12" i="48"/>
  <c r="M12" i="48"/>
  <c r="L12" i="48"/>
  <c r="P11" i="48"/>
  <c r="L11" i="48"/>
  <c r="D11" i="48"/>
  <c r="B11" i="48"/>
  <c r="L10" i="48"/>
  <c r="B9" i="48"/>
  <c r="E5" i="48"/>
  <c r="C5" i="48"/>
  <c r="C4" i="48"/>
  <c r="F171" i="50"/>
  <c r="F170" i="50"/>
  <c r="L167" i="50"/>
  <c r="E167" i="50"/>
  <c r="L166" i="50"/>
  <c r="E166" i="50"/>
  <c r="L165" i="50"/>
  <c r="E165" i="50"/>
  <c r="L156" i="50"/>
  <c r="D156" i="50"/>
  <c r="F156" i="50" s="1"/>
  <c r="J155" i="50"/>
  <c r="I155" i="50"/>
  <c r="H155" i="50"/>
  <c r="G155" i="50"/>
  <c r="D154" i="50"/>
  <c r="F154" i="50" s="1"/>
  <c r="G154" i="50" s="1"/>
  <c r="L153" i="50"/>
  <c r="D153" i="50"/>
  <c r="F153" i="50" s="1"/>
  <c r="L152" i="50"/>
  <c r="D152" i="50"/>
  <c r="F152" i="50" s="1"/>
  <c r="J151" i="50"/>
  <c r="I151" i="50"/>
  <c r="H151" i="50"/>
  <c r="L150" i="50"/>
  <c r="M150" i="50" s="1"/>
  <c r="D150" i="50"/>
  <c r="L149" i="50"/>
  <c r="M149" i="50" s="1"/>
  <c r="D149" i="50"/>
  <c r="L148" i="50"/>
  <c r="M148" i="50" s="1"/>
  <c r="D148" i="50"/>
  <c r="L147" i="50"/>
  <c r="M147" i="50" s="1"/>
  <c r="D147" i="50"/>
  <c r="J146" i="50"/>
  <c r="I146" i="50"/>
  <c r="H146" i="50"/>
  <c r="G146" i="50"/>
  <c r="F146" i="50"/>
  <c r="L145" i="50"/>
  <c r="D145" i="50"/>
  <c r="F145" i="50" s="1"/>
  <c r="L144" i="50"/>
  <c r="D144" i="50"/>
  <c r="F144" i="50" s="1"/>
  <c r="L143" i="50"/>
  <c r="D143" i="50"/>
  <c r="F143" i="50" s="1"/>
  <c r="J142" i="50"/>
  <c r="I142" i="50"/>
  <c r="H142" i="50"/>
  <c r="G142" i="50"/>
  <c r="L141" i="50"/>
  <c r="D141" i="50"/>
  <c r="F141" i="50" s="1"/>
  <c r="L140" i="50"/>
  <c r="D140" i="50"/>
  <c r="F140" i="50" s="1"/>
  <c r="L139" i="50"/>
  <c r="D139" i="50"/>
  <c r="F139" i="50" s="1"/>
  <c r="L138" i="50"/>
  <c r="D138" i="50"/>
  <c r="F138" i="50" s="1"/>
  <c r="L137" i="50"/>
  <c r="D137" i="50"/>
  <c r="F137" i="50" s="1"/>
  <c r="L136" i="50"/>
  <c r="D136" i="50"/>
  <c r="F136" i="50" s="1"/>
  <c r="J135" i="50"/>
  <c r="I135" i="50"/>
  <c r="H135" i="50"/>
  <c r="D133" i="50"/>
  <c r="F133" i="50" s="1"/>
  <c r="J132" i="50"/>
  <c r="I132" i="50"/>
  <c r="H132" i="50"/>
  <c r="L131" i="50"/>
  <c r="D131" i="50"/>
  <c r="F131" i="50" s="1"/>
  <c r="L130" i="50"/>
  <c r="D130" i="50"/>
  <c r="F130" i="50" s="1"/>
  <c r="L129" i="50"/>
  <c r="D129" i="50"/>
  <c r="F129" i="50" s="1"/>
  <c r="L128" i="50"/>
  <c r="D128" i="50"/>
  <c r="F128" i="50" s="1"/>
  <c r="J127" i="50"/>
  <c r="I127" i="50"/>
  <c r="H127" i="50"/>
  <c r="G127" i="50"/>
  <c r="J126" i="50"/>
  <c r="D126" i="50"/>
  <c r="F126" i="50" s="1"/>
  <c r="J125" i="50"/>
  <c r="D125" i="50"/>
  <c r="F125" i="50" s="1"/>
  <c r="I125" i="50" s="1"/>
  <c r="J124" i="50"/>
  <c r="D124" i="50"/>
  <c r="F124" i="50" s="1"/>
  <c r="J123" i="50"/>
  <c r="D123" i="50"/>
  <c r="F123" i="50" s="1"/>
  <c r="I123" i="50" s="1"/>
  <c r="J122" i="50"/>
  <c r="D122" i="50"/>
  <c r="F122" i="50" s="1"/>
  <c r="J121" i="50"/>
  <c r="D121" i="50"/>
  <c r="F121" i="50" s="1"/>
  <c r="I121" i="50" s="1"/>
  <c r="J120" i="50"/>
  <c r="D120" i="50"/>
  <c r="F120" i="50" s="1"/>
  <c r="H119" i="50"/>
  <c r="G119" i="50"/>
  <c r="L118" i="50"/>
  <c r="F118" i="50"/>
  <c r="L117" i="50"/>
  <c r="F117" i="50"/>
  <c r="L116" i="50"/>
  <c r="F116" i="50"/>
  <c r="L115" i="50"/>
  <c r="F115" i="50"/>
  <c r="J114" i="50"/>
  <c r="I114" i="50"/>
  <c r="H114" i="50"/>
  <c r="G114" i="50"/>
  <c r="L113" i="50"/>
  <c r="F113" i="50"/>
  <c r="L112" i="50"/>
  <c r="L111" i="50"/>
  <c r="F111" i="50"/>
  <c r="F110" i="50" s="1"/>
  <c r="J110" i="50"/>
  <c r="I110" i="50"/>
  <c r="H110" i="50"/>
  <c r="G110" i="50"/>
  <c r="L109" i="50"/>
  <c r="F109" i="50"/>
  <c r="L108" i="50"/>
  <c r="F108" i="50"/>
  <c r="J107" i="50"/>
  <c r="I107" i="50"/>
  <c r="H107" i="50"/>
  <c r="G107" i="50"/>
  <c r="L106" i="50"/>
  <c r="F106" i="50"/>
  <c r="F105" i="50" s="1"/>
  <c r="J105" i="50"/>
  <c r="I105" i="50"/>
  <c r="H105" i="50"/>
  <c r="G105" i="50"/>
  <c r="L104" i="50"/>
  <c r="F104" i="50"/>
  <c r="F103" i="50" s="1"/>
  <c r="J103" i="50"/>
  <c r="I103" i="50"/>
  <c r="H103" i="50"/>
  <c r="G103" i="50"/>
  <c r="L102" i="50"/>
  <c r="F102" i="50"/>
  <c r="J101" i="50"/>
  <c r="I101" i="50"/>
  <c r="H101" i="50"/>
  <c r="G101" i="50"/>
  <c r="L99" i="50"/>
  <c r="F99" i="50"/>
  <c r="L98" i="50"/>
  <c r="F98" i="50"/>
  <c r="L97" i="50"/>
  <c r="F97" i="50"/>
  <c r="L96" i="50"/>
  <c r="F96" i="50"/>
  <c r="J95" i="50"/>
  <c r="I95" i="50"/>
  <c r="H95" i="50"/>
  <c r="G95" i="50"/>
  <c r="L94" i="50"/>
  <c r="F94" i="50"/>
  <c r="L93" i="50"/>
  <c r="F93" i="50"/>
  <c r="L92" i="50"/>
  <c r="F92" i="50"/>
  <c r="J91" i="50"/>
  <c r="I91" i="50"/>
  <c r="H91" i="50"/>
  <c r="G91" i="50"/>
  <c r="L90" i="50"/>
  <c r="F90" i="50"/>
  <c r="L89" i="50"/>
  <c r="F89" i="50"/>
  <c r="L88" i="50"/>
  <c r="F88" i="50"/>
  <c r="J87" i="50"/>
  <c r="I87" i="50"/>
  <c r="H87" i="50"/>
  <c r="G87" i="50"/>
  <c r="L85" i="50"/>
  <c r="F85" i="50"/>
  <c r="L84" i="50"/>
  <c r="F84" i="50"/>
  <c r="L83" i="50"/>
  <c r="F83" i="50"/>
  <c r="L82" i="50"/>
  <c r="F82" i="50"/>
  <c r="J81" i="50"/>
  <c r="I81" i="50"/>
  <c r="H81" i="50"/>
  <c r="G81" i="50"/>
  <c r="L80" i="50"/>
  <c r="F80" i="50"/>
  <c r="F79" i="50" s="1"/>
  <c r="J79" i="50"/>
  <c r="I79" i="50"/>
  <c r="H79" i="50"/>
  <c r="G79" i="50"/>
  <c r="L78" i="50"/>
  <c r="F78" i="50"/>
  <c r="L77" i="50"/>
  <c r="F77" i="50"/>
  <c r="L76" i="50"/>
  <c r="F76" i="50"/>
  <c r="J75" i="50"/>
  <c r="I75" i="50"/>
  <c r="H75" i="50"/>
  <c r="G75" i="50"/>
  <c r="L73" i="50"/>
  <c r="F73" i="50"/>
  <c r="F72" i="50" s="1"/>
  <c r="L72" i="50"/>
  <c r="L71" i="50"/>
  <c r="F71" i="50"/>
  <c r="F70" i="50" s="1"/>
  <c r="J70" i="50"/>
  <c r="I70" i="50"/>
  <c r="H70" i="50"/>
  <c r="G70" i="50"/>
  <c r="L69" i="50"/>
  <c r="F69" i="50"/>
  <c r="L68" i="50"/>
  <c r="F68" i="50"/>
  <c r="L67" i="50"/>
  <c r="F67" i="50"/>
  <c r="J66" i="50"/>
  <c r="I66" i="50"/>
  <c r="H66" i="50"/>
  <c r="G66" i="50"/>
  <c r="L64" i="50"/>
  <c r="F64" i="50"/>
  <c r="L63" i="50"/>
  <c r="F63" i="50"/>
  <c r="L62" i="50"/>
  <c r="F62" i="50"/>
  <c r="J61" i="50"/>
  <c r="I61" i="50"/>
  <c r="H61" i="50"/>
  <c r="G61" i="50"/>
  <c r="I59" i="50"/>
  <c r="D59" i="50"/>
  <c r="F59" i="50" s="1"/>
  <c r="H59" i="50" s="1"/>
  <c r="I58" i="50"/>
  <c r="D58" i="50"/>
  <c r="F58" i="50" s="1"/>
  <c r="H58" i="50" s="1"/>
  <c r="I57" i="50"/>
  <c r="D57" i="50"/>
  <c r="F57" i="50" s="1"/>
  <c r="H57" i="50" s="1"/>
  <c r="J56" i="50"/>
  <c r="G56" i="50"/>
  <c r="D55" i="50"/>
  <c r="F55" i="50" s="1"/>
  <c r="D54" i="50"/>
  <c r="F54" i="50" s="1"/>
  <c r="H54" i="50" s="1"/>
  <c r="L54" i="50" s="1"/>
  <c r="D53" i="50"/>
  <c r="F53" i="50" s="1"/>
  <c r="D52" i="50"/>
  <c r="F52" i="50" s="1"/>
  <c r="H52" i="50" s="1"/>
  <c r="L52" i="50" s="1"/>
  <c r="M52" i="50" s="1"/>
  <c r="D51" i="50"/>
  <c r="F51" i="50" s="1"/>
  <c r="D50" i="50"/>
  <c r="F50" i="50" s="1"/>
  <c r="H50" i="50" s="1"/>
  <c r="L50" i="50" s="1"/>
  <c r="D49" i="50"/>
  <c r="F49" i="50" s="1"/>
  <c r="D48" i="50"/>
  <c r="F48" i="50" s="1"/>
  <c r="H48" i="50" s="1"/>
  <c r="L48" i="50" s="1"/>
  <c r="M48" i="50" s="1"/>
  <c r="J47" i="50"/>
  <c r="I47" i="50"/>
  <c r="G47" i="50"/>
  <c r="L46" i="50"/>
  <c r="D46" i="50"/>
  <c r="F46" i="50" s="1"/>
  <c r="L45" i="50"/>
  <c r="D45" i="50"/>
  <c r="F45" i="50" s="1"/>
  <c r="L44" i="50"/>
  <c r="D44" i="50"/>
  <c r="F44" i="50" s="1"/>
  <c r="L43" i="50"/>
  <c r="D43" i="50"/>
  <c r="F43" i="50" s="1"/>
  <c r="L42" i="50"/>
  <c r="D42" i="50"/>
  <c r="F42" i="50" s="1"/>
  <c r="L41" i="50"/>
  <c r="D41" i="50"/>
  <c r="F41" i="50" s="1"/>
  <c r="L40" i="50"/>
  <c r="D40" i="50"/>
  <c r="F40" i="50" s="1"/>
  <c r="L39" i="50"/>
  <c r="D39" i="50"/>
  <c r="F39" i="50" s="1"/>
  <c r="J38" i="50"/>
  <c r="I38" i="50"/>
  <c r="H38" i="50"/>
  <c r="G38" i="50"/>
  <c r="L36" i="50"/>
  <c r="D36" i="50"/>
  <c r="F36" i="50" s="1"/>
  <c r="D35" i="50"/>
  <c r="F35" i="50" s="1"/>
  <c r="J34" i="50"/>
  <c r="I34" i="50"/>
  <c r="H34" i="50"/>
  <c r="D33" i="50"/>
  <c r="F33" i="50" s="1"/>
  <c r="L32" i="50"/>
  <c r="D32" i="50"/>
  <c r="F32" i="50" s="1"/>
  <c r="D31" i="50"/>
  <c r="F31" i="50" s="1"/>
  <c r="D30" i="50"/>
  <c r="F30" i="50" s="1"/>
  <c r="L29" i="50"/>
  <c r="D29" i="50"/>
  <c r="F29" i="50" s="1"/>
  <c r="J28" i="50"/>
  <c r="I28" i="50"/>
  <c r="L27" i="50"/>
  <c r="D27" i="50"/>
  <c r="F27" i="50" s="1"/>
  <c r="J26" i="50"/>
  <c r="I26" i="50"/>
  <c r="H26" i="50"/>
  <c r="G26" i="50"/>
  <c r="L24" i="50"/>
  <c r="M24" i="50" s="1"/>
  <c r="D24" i="50"/>
  <c r="D23" i="50"/>
  <c r="F23" i="50" s="1"/>
  <c r="F22" i="50" s="1"/>
  <c r="J22" i="50"/>
  <c r="I22" i="50"/>
  <c r="G22" i="50"/>
  <c r="M137" i="50" l="1"/>
  <c r="M141" i="50"/>
  <c r="M144" i="50"/>
  <c r="O123" i="48"/>
  <c r="O127" i="48"/>
  <c r="O178" i="48"/>
  <c r="O247" i="48"/>
  <c r="K248" i="48"/>
  <c r="M99" i="50"/>
  <c r="G134" i="50"/>
  <c r="G86" i="50"/>
  <c r="G65" i="50"/>
  <c r="M118" i="50"/>
  <c r="H134" i="50"/>
  <c r="I100" i="50"/>
  <c r="M116" i="50"/>
  <c r="Q18" i="48"/>
  <c r="J74" i="50"/>
  <c r="M115" i="50"/>
  <c r="L123" i="50"/>
  <c r="M123" i="50" s="1"/>
  <c r="L127" i="50"/>
  <c r="M130" i="50"/>
  <c r="M138" i="50"/>
  <c r="M145" i="50"/>
  <c r="O205" i="48"/>
  <c r="I134" i="50"/>
  <c r="O113" i="48"/>
  <c r="Q194" i="48"/>
  <c r="J65" i="50"/>
  <c r="G74" i="50"/>
  <c r="L121" i="50"/>
  <c r="M121" i="50" s="1"/>
  <c r="L125" i="50"/>
  <c r="M125" i="50" s="1"/>
  <c r="M128" i="50"/>
  <c r="M140" i="50"/>
  <c r="K103" i="48"/>
  <c r="M63" i="50"/>
  <c r="M67" i="50"/>
  <c r="O43" i="48"/>
  <c r="O45" i="48"/>
  <c r="Q64" i="48"/>
  <c r="O141" i="48"/>
  <c r="O145" i="48"/>
  <c r="O161" i="48"/>
  <c r="O213" i="48"/>
  <c r="I56" i="50"/>
  <c r="O150" i="48"/>
  <c r="O187" i="48"/>
  <c r="O218" i="48"/>
  <c r="F61" i="50"/>
  <c r="O167" i="48"/>
  <c r="O207" i="48"/>
  <c r="M36" i="50"/>
  <c r="L38" i="50"/>
  <c r="M40" i="50"/>
  <c r="M41" i="50"/>
  <c r="M45" i="50"/>
  <c r="M77" i="50"/>
  <c r="M83" i="50"/>
  <c r="M96" i="50"/>
  <c r="M102" i="50"/>
  <c r="L103" i="50"/>
  <c r="M103" i="50" s="1"/>
  <c r="O17" i="48"/>
  <c r="O26" i="48"/>
  <c r="O39" i="48"/>
  <c r="O41" i="48"/>
  <c r="O47" i="48"/>
  <c r="O77" i="48"/>
  <c r="O85" i="48"/>
  <c r="O95" i="48"/>
  <c r="O138" i="48"/>
  <c r="O182" i="48"/>
  <c r="O199" i="48"/>
  <c r="O203" i="48"/>
  <c r="O224" i="48"/>
  <c r="O228" i="48"/>
  <c r="O231" i="48"/>
  <c r="O233" i="48"/>
  <c r="O235" i="48"/>
  <c r="O237" i="48"/>
  <c r="O242" i="48"/>
  <c r="O244" i="48"/>
  <c r="K245" i="48"/>
  <c r="H42" i="85"/>
  <c r="G44" i="85"/>
  <c r="M32" i="50"/>
  <c r="L61" i="50"/>
  <c r="M72" i="50"/>
  <c r="M76" i="50"/>
  <c r="M84" i="50"/>
  <c r="F87" i="50"/>
  <c r="I86" i="50"/>
  <c r="O32" i="48"/>
  <c r="O34" i="48"/>
  <c r="O57" i="48"/>
  <c r="O59" i="48"/>
  <c r="O65" i="48"/>
  <c r="O69" i="48"/>
  <c r="O87" i="48"/>
  <c r="O89" i="48"/>
  <c r="O97" i="48"/>
  <c r="O102" i="48"/>
  <c r="O105" i="48"/>
  <c r="O107" i="48"/>
  <c r="O111" i="48"/>
  <c r="K114" i="48"/>
  <c r="O119" i="48"/>
  <c r="O143" i="48"/>
  <c r="O148" i="48"/>
  <c r="O164" i="48"/>
  <c r="O184" i="48"/>
  <c r="O209" i="48"/>
  <c r="O240" i="48"/>
  <c r="F107" i="50"/>
  <c r="L110" i="50"/>
  <c r="M110" i="50" s="1"/>
  <c r="I25" i="50"/>
  <c r="H65" i="50"/>
  <c r="M89" i="50"/>
  <c r="M92" i="50"/>
  <c r="F101" i="50"/>
  <c r="J134" i="50"/>
  <c r="L134" i="50" s="1"/>
  <c r="L146" i="50"/>
  <c r="M146" i="50" s="1"/>
  <c r="O20" i="48"/>
  <c r="Q21" i="48"/>
  <c r="O22" i="48"/>
  <c r="O24" i="48"/>
  <c r="O79" i="48"/>
  <c r="O125" i="48"/>
  <c r="O129" i="48"/>
  <c r="O169" i="48"/>
  <c r="O180" i="48"/>
  <c r="O189" i="48"/>
  <c r="O191" i="48"/>
  <c r="O193" i="48"/>
  <c r="O220" i="48"/>
  <c r="O222" i="48"/>
  <c r="K223" i="48"/>
  <c r="O226" i="48"/>
  <c r="I74" i="50"/>
  <c r="Q238" i="48"/>
  <c r="L26" i="50"/>
  <c r="M42" i="50"/>
  <c r="M46" i="50"/>
  <c r="I37" i="50"/>
  <c r="M64" i="50"/>
  <c r="F75" i="50"/>
  <c r="F74" i="50" s="1"/>
  <c r="G100" i="50"/>
  <c r="L114" i="50"/>
  <c r="M131" i="50"/>
  <c r="M139" i="50"/>
  <c r="L155" i="50"/>
  <c r="K54" i="48"/>
  <c r="O67" i="48"/>
  <c r="O115" i="48"/>
  <c r="O158" i="48"/>
  <c r="Q183" i="48"/>
  <c r="Q225" i="48"/>
  <c r="Q236" i="48"/>
  <c r="M88" i="50"/>
  <c r="J37" i="50"/>
  <c r="M43" i="50"/>
  <c r="M68" i="50"/>
  <c r="H74" i="50"/>
  <c r="M80" i="50"/>
  <c r="M108" i="50"/>
  <c r="O12" i="48"/>
  <c r="O134" i="48"/>
  <c r="O63" i="48"/>
  <c r="O154" i="48"/>
  <c r="O197" i="48"/>
  <c r="M69" i="50"/>
  <c r="L81" i="50"/>
  <c r="H86" i="50"/>
  <c r="M109" i="50"/>
  <c r="O28" i="48"/>
  <c r="O51" i="48"/>
  <c r="O71" i="48"/>
  <c r="K98" i="48"/>
  <c r="O136" i="48"/>
  <c r="O172" i="48"/>
  <c r="J25" i="50"/>
  <c r="M44" i="50"/>
  <c r="M104" i="50"/>
  <c r="M111" i="50"/>
  <c r="G37" i="50"/>
  <c r="I65" i="50"/>
  <c r="L70" i="50"/>
  <c r="L79" i="50"/>
  <c r="M79" i="50" s="1"/>
  <c r="F81" i="50"/>
  <c r="J86" i="50"/>
  <c r="M153" i="50"/>
  <c r="O53" i="48"/>
  <c r="O75" i="48"/>
  <c r="O109" i="48"/>
  <c r="O152" i="48"/>
  <c r="O175" i="48"/>
  <c r="O195" i="48"/>
  <c r="K13" i="48"/>
  <c r="Q206" i="48"/>
  <c r="K208" i="48"/>
  <c r="Q44" i="48"/>
  <c r="M46" i="48"/>
  <c r="O46" i="48" s="1"/>
  <c r="M58" i="48"/>
  <c r="O58" i="48" s="1"/>
  <c r="N128" i="48"/>
  <c r="O128" i="48" s="1"/>
  <c r="K162" i="48"/>
  <c r="K168" i="48"/>
  <c r="K206" i="48"/>
  <c r="Q23" i="48"/>
  <c r="K78" i="48"/>
  <c r="M206" i="48"/>
  <c r="O206" i="48" s="1"/>
  <c r="Q208" i="48"/>
  <c r="K200" i="48"/>
  <c r="K214" i="48"/>
  <c r="K219" i="48"/>
  <c r="K23" i="48"/>
  <c r="K241" i="48"/>
  <c r="K221" i="48"/>
  <c r="Q13" i="48"/>
  <c r="M185" i="48"/>
  <c r="O185" i="48" s="1"/>
  <c r="K229" i="48"/>
  <c r="K227" i="48"/>
  <c r="Q229" i="48"/>
  <c r="K234" i="48"/>
  <c r="M96" i="48"/>
  <c r="O96" i="48" s="1"/>
  <c r="Q116" i="48"/>
  <c r="K159" i="48"/>
  <c r="K165" i="48"/>
  <c r="K170" i="48"/>
  <c r="K188" i="48"/>
  <c r="K27" i="48"/>
  <c r="K33" i="48"/>
  <c r="M124" i="48"/>
  <c r="O124" i="48" s="1"/>
  <c r="N135" i="48"/>
  <c r="O135" i="48" s="1"/>
  <c r="K176" i="48"/>
  <c r="K179" i="48"/>
  <c r="K190" i="48"/>
  <c r="N225" i="48"/>
  <c r="M229" i="48"/>
  <c r="O229" i="48" s="1"/>
  <c r="N146" i="48"/>
  <c r="O146" i="48" s="1"/>
  <c r="Q241" i="48"/>
  <c r="Q27" i="48"/>
  <c r="K35" i="48"/>
  <c r="N44" i="48"/>
  <c r="O44" i="48" s="1"/>
  <c r="K118" i="48"/>
  <c r="M188" i="48"/>
  <c r="O188" i="48" s="1"/>
  <c r="Q76" i="48"/>
  <c r="M35" i="48"/>
  <c r="O35" i="48" s="1"/>
  <c r="M40" i="48"/>
  <c r="O40" i="48" s="1"/>
  <c r="K50" i="48"/>
  <c r="M54" i="48"/>
  <c r="K70" i="48"/>
  <c r="K76" i="48"/>
  <c r="M94" i="48"/>
  <c r="O94" i="48" s="1"/>
  <c r="K108" i="48"/>
  <c r="Q135" i="48"/>
  <c r="K137" i="48"/>
  <c r="K142" i="48"/>
  <c r="Q142" i="48"/>
  <c r="K144" i="48"/>
  <c r="Q144" i="48"/>
  <c r="K149" i="48"/>
  <c r="K151" i="48"/>
  <c r="Q151" i="48"/>
  <c r="K153" i="48"/>
  <c r="M173" i="48"/>
  <c r="O173" i="48" s="1"/>
  <c r="Q188" i="48"/>
  <c r="M198" i="48"/>
  <c r="O198" i="48" s="1"/>
  <c r="M219" i="48"/>
  <c r="O219" i="48" s="1"/>
  <c r="N223" i="48"/>
  <c r="M227" i="48"/>
  <c r="O227" i="48" s="1"/>
  <c r="M70" i="48"/>
  <c r="O70" i="48" s="1"/>
  <c r="M76" i="48"/>
  <c r="O76" i="48" s="1"/>
  <c r="M90" i="48"/>
  <c r="O90" i="48" s="1"/>
  <c r="N103" i="48"/>
  <c r="N108" i="48"/>
  <c r="O108" i="48" s="1"/>
  <c r="M142" i="48"/>
  <c r="O142" i="48" s="1"/>
  <c r="Q149" i="48"/>
  <c r="M196" i="48"/>
  <c r="O196" i="48" s="1"/>
  <c r="M238" i="48"/>
  <c r="K25" i="48"/>
  <c r="K40" i="48"/>
  <c r="M50" i="48"/>
  <c r="O50" i="48" s="1"/>
  <c r="Q70" i="48"/>
  <c r="K96" i="48"/>
  <c r="K124" i="48"/>
  <c r="K135" i="48"/>
  <c r="M144" i="48"/>
  <c r="O144" i="48" s="1"/>
  <c r="M151" i="48"/>
  <c r="O151" i="48" s="1"/>
  <c r="K173" i="48"/>
  <c r="Q173" i="48"/>
  <c r="Q179" i="48"/>
  <c r="K185" i="48"/>
  <c r="K198" i="48"/>
  <c r="Q198" i="48"/>
  <c r="Q219" i="48"/>
  <c r="N155" i="48"/>
  <c r="O155" i="48" s="1"/>
  <c r="N183" i="48"/>
  <c r="Q29" i="48"/>
  <c r="N210" i="48"/>
  <c r="O210" i="48" s="1"/>
  <c r="N232" i="48"/>
  <c r="O232" i="48" s="1"/>
  <c r="N236" i="48"/>
  <c r="N243" i="48"/>
  <c r="O243" i="48" s="1"/>
  <c r="D250" i="48"/>
  <c r="K250" i="48" s="1"/>
  <c r="Q25" i="48"/>
  <c r="K29" i="48"/>
  <c r="Q35" i="48"/>
  <c r="Q40" i="48"/>
  <c r="K42" i="48"/>
  <c r="Q50" i="48"/>
  <c r="Q58" i="48"/>
  <c r="K62" i="48"/>
  <c r="M64" i="48"/>
  <c r="K68" i="48"/>
  <c r="N72" i="48"/>
  <c r="O72" i="48" s="1"/>
  <c r="K80" i="48"/>
  <c r="K88" i="48"/>
  <c r="K106" i="48"/>
  <c r="Q108" i="48"/>
  <c r="K110" i="48"/>
  <c r="K112" i="48"/>
  <c r="M118" i="48"/>
  <c r="O118" i="48" s="1"/>
  <c r="Q124" i="48"/>
  <c r="K126" i="48"/>
  <c r="Q128" i="48"/>
  <c r="K130" i="48"/>
  <c r="M137" i="48"/>
  <c r="O137" i="48" s="1"/>
  <c r="Q139" i="48"/>
  <c r="M153" i="48"/>
  <c r="O153" i="48" s="1"/>
  <c r="K155" i="48"/>
  <c r="M159" i="48"/>
  <c r="O159" i="48" s="1"/>
  <c r="M162" i="48"/>
  <c r="O162" i="48" s="1"/>
  <c r="M165" i="48"/>
  <c r="O165" i="48" s="1"/>
  <c r="M168" i="48"/>
  <c r="O168" i="48" s="1"/>
  <c r="Q170" i="48"/>
  <c r="Q176" i="48"/>
  <c r="M179" i="48"/>
  <c r="O179" i="48" s="1"/>
  <c r="K181" i="48"/>
  <c r="K183" i="48"/>
  <c r="Q190" i="48"/>
  <c r="K194" i="48"/>
  <c r="M208" i="48"/>
  <c r="O208" i="48" s="1"/>
  <c r="K210" i="48"/>
  <c r="Q214" i="48"/>
  <c r="Q221" i="48"/>
  <c r="K225" i="48"/>
  <c r="K232" i="48"/>
  <c r="K236" i="48"/>
  <c r="N238" i="48"/>
  <c r="M241" i="48"/>
  <c r="O241" i="48" s="1"/>
  <c r="K243" i="48"/>
  <c r="N245" i="48"/>
  <c r="Q52" i="48"/>
  <c r="Q62" i="48"/>
  <c r="Q130" i="48"/>
  <c r="M33" i="48"/>
  <c r="O33" i="48" s="1"/>
  <c r="M42" i="48"/>
  <c r="O42" i="48" s="1"/>
  <c r="Q46" i="48"/>
  <c r="M52" i="48"/>
  <c r="O52" i="48" s="1"/>
  <c r="Q54" i="48"/>
  <c r="N64" i="48"/>
  <c r="Q68" i="48"/>
  <c r="Q90" i="48"/>
  <c r="Q94" i="48"/>
  <c r="Q96" i="48"/>
  <c r="M110" i="48"/>
  <c r="O110" i="48" s="1"/>
  <c r="Q112" i="48"/>
  <c r="N114" i="48"/>
  <c r="M130" i="48"/>
  <c r="O130" i="48" s="1"/>
  <c r="Q153" i="48"/>
  <c r="Q155" i="48"/>
  <c r="M170" i="48"/>
  <c r="O170" i="48" s="1"/>
  <c r="M176" i="48"/>
  <c r="O176" i="48" s="1"/>
  <c r="Q185" i="48"/>
  <c r="M190" i="48"/>
  <c r="O190" i="48" s="1"/>
  <c r="Q196" i="48"/>
  <c r="Q210" i="48"/>
  <c r="M214" i="48"/>
  <c r="O214" i="48" s="1"/>
  <c r="M221" i="48"/>
  <c r="O221" i="48" s="1"/>
  <c r="Q227" i="48"/>
  <c r="Q232" i="48"/>
  <c r="Q243" i="48"/>
  <c r="Q110" i="48"/>
  <c r="N194" i="48"/>
  <c r="M29" i="48"/>
  <c r="O29" i="48" s="1"/>
  <c r="Q33" i="48"/>
  <c r="Q42" i="48"/>
  <c r="M62" i="48"/>
  <c r="O62" i="48" s="1"/>
  <c r="Q80" i="48"/>
  <c r="Q88" i="48"/>
  <c r="K90" i="48"/>
  <c r="K94" i="48"/>
  <c r="K116" i="48"/>
  <c r="Q118" i="48"/>
  <c r="K128" i="48"/>
  <c r="Q137" i="48"/>
  <c r="Q159" i="48"/>
  <c r="Q162" i="48"/>
  <c r="Q165" i="48"/>
  <c r="Q168" i="48"/>
  <c r="M183" i="48"/>
  <c r="M194" i="48"/>
  <c r="K196" i="48"/>
  <c r="M225" i="48"/>
  <c r="M236" i="48"/>
  <c r="K238" i="48"/>
  <c r="F142" i="50"/>
  <c r="F34" i="50"/>
  <c r="H56" i="50"/>
  <c r="L56" i="50" s="1"/>
  <c r="M39" i="50"/>
  <c r="F38" i="50"/>
  <c r="M38" i="50" s="1"/>
  <c r="M27" i="50"/>
  <c r="F26" i="50"/>
  <c r="M26" i="50" s="1"/>
  <c r="M50" i="50"/>
  <c r="M54" i="50"/>
  <c r="F127" i="50"/>
  <c r="M127" i="50" s="1"/>
  <c r="F172" i="50"/>
  <c r="Q86" i="48"/>
  <c r="M86" i="48"/>
  <c r="K18" i="48"/>
  <c r="K21" i="48"/>
  <c r="Q48" i="48"/>
  <c r="K60" i="48"/>
  <c r="K86" i="48"/>
  <c r="M13" i="48"/>
  <c r="O13" i="48" s="1"/>
  <c r="M23" i="48"/>
  <c r="O23" i="48" s="1"/>
  <c r="M25" i="48"/>
  <c r="O25" i="48" s="1"/>
  <c r="M27" i="48"/>
  <c r="O27" i="48" s="1"/>
  <c r="K44" i="48"/>
  <c r="K46" i="48"/>
  <c r="N54" i="48"/>
  <c r="K58" i="48"/>
  <c r="Q66" i="48"/>
  <c r="M66" i="48"/>
  <c r="O66" i="48" s="1"/>
  <c r="K72" i="48"/>
  <c r="Q72" i="48"/>
  <c r="O93" i="48"/>
  <c r="N120" i="48"/>
  <c r="O120" i="48" s="1"/>
  <c r="N139" i="48"/>
  <c r="M139" i="48"/>
  <c r="N11" i="48"/>
  <c r="N18" i="48"/>
  <c r="N21" i="48"/>
  <c r="Q204" i="48"/>
  <c r="M204" i="48"/>
  <c r="O204" i="48" s="1"/>
  <c r="K204" i="48"/>
  <c r="K11" i="48"/>
  <c r="K48" i="48"/>
  <c r="Q60" i="48"/>
  <c r="Q103" i="48"/>
  <c r="M103" i="48"/>
  <c r="Q114" i="48"/>
  <c r="M114" i="48"/>
  <c r="M11" i="48"/>
  <c r="Q11" i="48"/>
  <c r="M18" i="48"/>
  <c r="M21" i="48"/>
  <c r="N48" i="48"/>
  <c r="O48" i="48" s="1"/>
  <c r="O49" i="48"/>
  <c r="K52" i="48"/>
  <c r="N60" i="48"/>
  <c r="O60" i="48" s="1"/>
  <c r="O61" i="48"/>
  <c r="K64" i="48"/>
  <c r="K66" i="48"/>
  <c r="Q78" i="48"/>
  <c r="M78" i="48"/>
  <c r="O78" i="48" s="1"/>
  <c r="N86" i="48"/>
  <c r="N98" i="48"/>
  <c r="M98" i="48"/>
  <c r="Q98" i="48"/>
  <c r="N112" i="48"/>
  <c r="M112" i="48"/>
  <c r="Q120" i="48"/>
  <c r="K139" i="48"/>
  <c r="K146" i="48"/>
  <c r="Q192" i="48"/>
  <c r="M192" i="48"/>
  <c r="O192" i="48" s="1"/>
  <c r="K192" i="48"/>
  <c r="Q248" i="48"/>
  <c r="M248" i="48"/>
  <c r="N248" i="48"/>
  <c r="P254" i="48"/>
  <c r="L254" i="48"/>
  <c r="M68" i="48"/>
  <c r="O68" i="48" s="1"/>
  <c r="M80" i="48"/>
  <c r="O80" i="48" s="1"/>
  <c r="M88" i="48"/>
  <c r="O88" i="48" s="1"/>
  <c r="M106" i="48"/>
  <c r="O106" i="48" s="1"/>
  <c r="Q106" i="48"/>
  <c r="N116" i="48"/>
  <c r="O116" i="48" s="1"/>
  <c r="O117" i="48"/>
  <c r="K120" i="48"/>
  <c r="M126" i="48"/>
  <c r="O126" i="48" s="1"/>
  <c r="Q126" i="48"/>
  <c r="Q146" i="48"/>
  <c r="N149" i="48"/>
  <c r="O149" i="48" s="1"/>
  <c r="Q181" i="48"/>
  <c r="M181" i="48"/>
  <c r="O181" i="48" s="1"/>
  <c r="Q223" i="48"/>
  <c r="M223" i="48"/>
  <c r="Q245" i="48"/>
  <c r="M245" i="48"/>
  <c r="L252" i="48"/>
  <c r="Q200" i="48"/>
  <c r="M200" i="48"/>
  <c r="O200" i="48" s="1"/>
  <c r="Q234" i="48"/>
  <c r="M234" i="48"/>
  <c r="O234" i="48" s="1"/>
  <c r="P252" i="48"/>
  <c r="H31" i="50"/>
  <c r="L31" i="50" s="1"/>
  <c r="M31" i="50" s="1"/>
  <c r="M29" i="50"/>
  <c r="F28" i="50"/>
  <c r="H30" i="50"/>
  <c r="G30" i="50"/>
  <c r="H23" i="50"/>
  <c r="H33" i="50"/>
  <c r="L33" i="50" s="1"/>
  <c r="M33" i="50" s="1"/>
  <c r="G35" i="50"/>
  <c r="F47" i="50"/>
  <c r="H49" i="50"/>
  <c r="H53" i="50"/>
  <c r="L53" i="50" s="1"/>
  <c r="M53" i="50" s="1"/>
  <c r="F56" i="50"/>
  <c r="M78" i="50"/>
  <c r="M82" i="50"/>
  <c r="M90" i="50"/>
  <c r="M94" i="50"/>
  <c r="M98" i="50"/>
  <c r="L107" i="50"/>
  <c r="M113" i="50"/>
  <c r="F112" i="50"/>
  <c r="M112" i="50" s="1"/>
  <c r="I120" i="50"/>
  <c r="F119" i="50"/>
  <c r="I124" i="50"/>
  <c r="L124" i="50" s="1"/>
  <c r="M124" i="50" s="1"/>
  <c r="L142" i="50"/>
  <c r="M156" i="50"/>
  <c r="F155" i="50"/>
  <c r="M70" i="50"/>
  <c r="L66" i="50"/>
  <c r="M71" i="50"/>
  <c r="M73" i="50"/>
  <c r="M85" i="50"/>
  <c r="F114" i="50"/>
  <c r="M114" i="50" s="1"/>
  <c r="M117" i="50"/>
  <c r="J119" i="50"/>
  <c r="H51" i="50"/>
  <c r="L51" i="50" s="1"/>
  <c r="M51" i="50" s="1"/>
  <c r="H55" i="50"/>
  <c r="L55" i="50" s="1"/>
  <c r="M55" i="50" s="1"/>
  <c r="L57" i="50"/>
  <c r="M57" i="50" s="1"/>
  <c r="L58" i="50"/>
  <c r="M58" i="50" s="1"/>
  <c r="L59" i="50"/>
  <c r="M59" i="50" s="1"/>
  <c r="M62" i="50"/>
  <c r="F66" i="50"/>
  <c r="L75" i="50"/>
  <c r="L87" i="50"/>
  <c r="L91" i="50"/>
  <c r="M93" i="50"/>
  <c r="F91" i="50"/>
  <c r="L95" i="50"/>
  <c r="M97" i="50"/>
  <c r="F95" i="50"/>
  <c r="J100" i="50"/>
  <c r="H100" i="50"/>
  <c r="H60" i="50" s="1"/>
  <c r="L105" i="50"/>
  <c r="M105" i="50" s="1"/>
  <c r="M106" i="50"/>
  <c r="I122" i="50"/>
  <c r="L122" i="50" s="1"/>
  <c r="M122" i="50" s="1"/>
  <c r="I126" i="50"/>
  <c r="L126" i="50" s="1"/>
  <c r="M126" i="50" s="1"/>
  <c r="M129" i="50"/>
  <c r="G133" i="50"/>
  <c r="F132" i="50"/>
  <c r="L135" i="50"/>
  <c r="M136" i="50"/>
  <c r="F135" i="50"/>
  <c r="M143" i="50"/>
  <c r="M152" i="50"/>
  <c r="F151" i="50"/>
  <c r="L154" i="50"/>
  <c r="M154" i="50" s="1"/>
  <c r="G151" i="50"/>
  <c r="L151" i="50" s="1"/>
  <c r="L101" i="50"/>
  <c r="G60" i="50" l="1"/>
  <c r="L65" i="50"/>
  <c r="M101" i="50"/>
  <c r="M81" i="50"/>
  <c r="M107" i="50"/>
  <c r="J60" i="50"/>
  <c r="J21" i="50" s="1"/>
  <c r="J20" i="50" s="1"/>
  <c r="M61" i="50"/>
  <c r="L74" i="50"/>
  <c r="M74" i="50" s="1"/>
  <c r="M87" i="50"/>
  <c r="F86" i="50"/>
  <c r="M75" i="50"/>
  <c r="I60" i="50"/>
  <c r="F50" i="85"/>
  <c r="F51" i="85" s="1"/>
  <c r="G47" i="85"/>
  <c r="E42" i="85"/>
  <c r="I42" i="85" s="1"/>
  <c r="H44" i="85"/>
  <c r="F100" i="50"/>
  <c r="L86" i="50"/>
  <c r="O238" i="48"/>
  <c r="Q250" i="48"/>
  <c r="D252" i="48"/>
  <c r="K252" i="48" s="1"/>
  <c r="O236" i="48"/>
  <c r="O194" i="48"/>
  <c r="O103" i="48"/>
  <c r="O114" i="48"/>
  <c r="O54" i="48"/>
  <c r="O223" i="48"/>
  <c r="O112" i="48"/>
  <c r="O225" i="48"/>
  <c r="M142" i="50"/>
  <c r="O11" i="48"/>
  <c r="O64" i="48"/>
  <c r="F25" i="50"/>
  <c r="O21" i="48"/>
  <c r="O18" i="48"/>
  <c r="O183" i="48"/>
  <c r="O245" i="48"/>
  <c r="N250" i="48"/>
  <c r="O250" i="48" s="1"/>
  <c r="H28" i="50"/>
  <c r="H25" i="50" s="1"/>
  <c r="M56" i="50"/>
  <c r="O248" i="48"/>
  <c r="O86" i="48"/>
  <c r="O98" i="48"/>
  <c r="O139" i="48"/>
  <c r="L49" i="50"/>
  <c r="M49" i="50" s="1"/>
  <c r="H47" i="50"/>
  <c r="M66" i="50"/>
  <c r="F65" i="50"/>
  <c r="M155" i="50"/>
  <c r="L23" i="50"/>
  <c r="M23" i="50" s="1"/>
  <c r="H22" i="50"/>
  <c r="M135" i="50"/>
  <c r="F134" i="50"/>
  <c r="M134" i="50" s="1"/>
  <c r="M151" i="50"/>
  <c r="G132" i="50"/>
  <c r="L132" i="50" s="1"/>
  <c r="M132" i="50" s="1"/>
  <c r="L133" i="50"/>
  <c r="M133" i="50" s="1"/>
  <c r="M91" i="50"/>
  <c r="L120" i="50"/>
  <c r="M120" i="50" s="1"/>
  <c r="I119" i="50"/>
  <c r="L35" i="50"/>
  <c r="M35" i="50" s="1"/>
  <c r="G34" i="50"/>
  <c r="L34" i="50" s="1"/>
  <c r="M34" i="50" s="1"/>
  <c r="L100" i="50"/>
  <c r="F37" i="50"/>
  <c r="J157" i="50"/>
  <c r="M95" i="50"/>
  <c r="L30" i="50"/>
  <c r="M30" i="50" s="1"/>
  <c r="G28" i="50"/>
  <c r="L60" i="50" l="1"/>
  <c r="M100" i="50"/>
  <c r="M86" i="50"/>
  <c r="J42" i="85"/>
  <c r="E44" i="85"/>
  <c r="H47" i="85"/>
  <c r="I44" i="85"/>
  <c r="G50" i="85"/>
  <c r="G51" i="85" s="1"/>
  <c r="D254" i="48"/>
  <c r="E255" i="48" s="1"/>
  <c r="E256" i="48" s="1"/>
  <c r="L47" i="50"/>
  <c r="M47" i="50" s="1"/>
  <c r="H37" i="50"/>
  <c r="H21" i="50" s="1"/>
  <c r="H20" i="50" s="1"/>
  <c r="L22" i="50"/>
  <c r="M22" i="50" s="1"/>
  <c r="J158" i="50"/>
  <c r="J159" i="50" s="1"/>
  <c r="L28" i="50"/>
  <c r="M28" i="50" s="1"/>
  <c r="G25" i="50"/>
  <c r="G157" i="50" s="1"/>
  <c r="I157" i="50"/>
  <c r="I21" i="50"/>
  <c r="I20" i="50" s="1"/>
  <c r="L119" i="50"/>
  <c r="M119" i="50" s="1"/>
  <c r="M65" i="50"/>
  <c r="F60" i="50"/>
  <c r="M60" i="50" l="1"/>
  <c r="K42" i="85"/>
  <c r="J44" i="85"/>
  <c r="F21" i="50"/>
  <c r="F20" i="50" s="1"/>
  <c r="F255" i="48"/>
  <c r="G255" i="48"/>
  <c r="K254" i="48"/>
  <c r="I163" i="50"/>
  <c r="I158" i="50"/>
  <c r="I159" i="50" s="1"/>
  <c r="I162" i="50"/>
  <c r="G162" i="50"/>
  <c r="G163" i="50"/>
  <c r="G158" i="50"/>
  <c r="G159" i="50" s="1"/>
  <c r="E157" i="50"/>
  <c r="K160" i="50" s="1"/>
  <c r="L25" i="50"/>
  <c r="M25" i="50" s="1"/>
  <c r="G21" i="50"/>
  <c r="G20" i="50" s="1"/>
  <c r="L37" i="50"/>
  <c r="M37" i="50" s="1"/>
  <c r="H157" i="50"/>
  <c r="J47" i="85" l="1"/>
  <c r="K44" i="85"/>
  <c r="L255" i="48"/>
  <c r="P255" i="48"/>
  <c r="F256" i="48"/>
  <c r="G256" i="48" s="1"/>
  <c r="I164" i="50"/>
  <c r="I168" i="50" s="1"/>
  <c r="F173" i="50"/>
  <c r="J160" i="50"/>
  <c r="G164" i="50"/>
  <c r="H163" i="50"/>
  <c r="L163" i="50" s="1"/>
  <c r="H160" i="50"/>
  <c r="H158" i="50"/>
  <c r="L158" i="50" s="1"/>
  <c r="H162" i="50"/>
  <c r="L162" i="50" s="1"/>
  <c r="I160" i="50"/>
  <c r="L157" i="50"/>
  <c r="M157" i="50" s="1"/>
  <c r="G160" i="50"/>
  <c r="P256" i="48" l="1"/>
  <c r="E163" i="50"/>
  <c r="E162" i="50"/>
  <c r="H159" i="50"/>
  <c r="L159" i="50" s="1"/>
  <c r="E158" i="50"/>
  <c r="E160" i="50"/>
  <c r="G161" i="50"/>
  <c r="L160" i="50"/>
  <c r="G168" i="50"/>
  <c r="E159" i="50" l="1"/>
  <c r="H164" i="50"/>
  <c r="L164" i="50" s="1"/>
  <c r="H161" i="50"/>
  <c r="I161" i="50" s="1"/>
  <c r="J161" i="50" s="1"/>
  <c r="K161" i="50" s="1"/>
  <c r="H168" i="50" l="1"/>
  <c r="E164" i="50"/>
  <c r="L161" i="50"/>
  <c r="L168" i="50" l="1"/>
  <c r="E168" i="50"/>
  <c r="L171" i="46" l="1"/>
  <c r="I171" i="46"/>
  <c r="L170" i="46"/>
  <c r="I170" i="46"/>
  <c r="L169" i="46"/>
  <c r="I169" i="46"/>
  <c r="L168" i="46"/>
  <c r="I168" i="46"/>
  <c r="L167" i="46"/>
  <c r="I167" i="46"/>
  <c r="L166" i="46"/>
  <c r="I166" i="46"/>
  <c r="L165" i="46"/>
  <c r="I165" i="46"/>
  <c r="L164" i="46"/>
  <c r="I164" i="46"/>
  <c r="L163" i="46"/>
  <c r="I163" i="46"/>
  <c r="L162" i="46"/>
  <c r="I162" i="46"/>
  <c r="L161" i="46"/>
  <c r="I161" i="46"/>
  <c r="L160" i="46"/>
  <c r="I160" i="46"/>
  <c r="L159" i="46"/>
  <c r="I159" i="46"/>
  <c r="L158" i="46"/>
  <c r="I158" i="46"/>
  <c r="L157" i="46"/>
  <c r="I157" i="46"/>
  <c r="L156" i="46"/>
  <c r="I156" i="46"/>
  <c r="L155" i="46"/>
  <c r="I155" i="46"/>
  <c r="L154" i="46"/>
  <c r="I154" i="46"/>
  <c r="L153" i="46"/>
  <c r="I153" i="46"/>
  <c r="L152" i="46"/>
  <c r="I152" i="46"/>
  <c r="L151" i="46"/>
  <c r="I151" i="46"/>
  <c r="L150" i="46"/>
  <c r="I150" i="46"/>
  <c r="L149" i="46"/>
  <c r="I149" i="46"/>
  <c r="L148" i="46"/>
  <c r="I148" i="46"/>
  <c r="L147" i="46"/>
  <c r="I147" i="46"/>
  <c r="L146" i="46"/>
  <c r="I146" i="46"/>
  <c r="L145" i="46"/>
  <c r="I145" i="46"/>
  <c r="L144" i="46"/>
  <c r="I144" i="46"/>
  <c r="L143" i="46"/>
  <c r="I143" i="46"/>
  <c r="L142" i="46"/>
  <c r="I142" i="46"/>
  <c r="L141" i="46"/>
  <c r="I141" i="46"/>
  <c r="L140" i="46"/>
  <c r="I140" i="46"/>
  <c r="L139" i="46"/>
  <c r="I139" i="46"/>
  <c r="L138" i="46"/>
  <c r="I138" i="46"/>
  <c r="L137" i="46"/>
  <c r="I137" i="46"/>
  <c r="L136" i="46"/>
  <c r="I136" i="46"/>
  <c r="L135" i="46"/>
  <c r="I135" i="46"/>
  <c r="L134" i="46"/>
  <c r="I134" i="46"/>
  <c r="L133" i="46"/>
  <c r="I133" i="46"/>
  <c r="L132" i="46"/>
  <c r="I132" i="46"/>
  <c r="L131" i="46"/>
  <c r="I131" i="46"/>
  <c r="L130" i="46"/>
  <c r="I130" i="46"/>
  <c r="L129" i="46"/>
  <c r="I129" i="46"/>
  <c r="L128" i="46"/>
  <c r="I128" i="46"/>
  <c r="L127" i="46"/>
  <c r="I127" i="46"/>
  <c r="L126" i="46"/>
  <c r="I126" i="46"/>
  <c r="L125" i="46"/>
  <c r="I125" i="46"/>
  <c r="L124" i="46"/>
  <c r="I124" i="46"/>
  <c r="L123" i="46"/>
  <c r="I123" i="46"/>
  <c r="L122" i="46"/>
  <c r="I122" i="46"/>
  <c r="L121" i="46"/>
  <c r="I121" i="46"/>
  <c r="L120" i="46"/>
  <c r="I120" i="46"/>
  <c r="L119" i="46"/>
  <c r="I119" i="46"/>
  <c r="L118" i="46"/>
  <c r="I118" i="46"/>
  <c r="L117" i="46"/>
  <c r="I117" i="46"/>
  <c r="L116" i="46"/>
  <c r="I116" i="46"/>
  <c r="L115" i="46"/>
  <c r="I115" i="46"/>
  <c r="L114" i="46"/>
  <c r="I114" i="46"/>
  <c r="L113" i="46"/>
  <c r="I113" i="46"/>
  <c r="L112" i="46"/>
  <c r="I112" i="46"/>
  <c r="L111" i="46"/>
  <c r="I111" i="46"/>
  <c r="L110" i="46"/>
  <c r="I110" i="46"/>
  <c r="L109" i="46"/>
  <c r="I109" i="46"/>
  <c r="L108" i="46"/>
  <c r="I108" i="46"/>
  <c r="L107" i="46"/>
  <c r="I107" i="46"/>
  <c r="L106" i="46"/>
  <c r="I106" i="46"/>
  <c r="L105" i="46"/>
  <c r="I105" i="46"/>
  <c r="L104" i="46"/>
  <c r="I104" i="46"/>
  <c r="L103" i="46"/>
  <c r="I103" i="46"/>
  <c r="L102" i="46"/>
  <c r="I102" i="46"/>
  <c r="L101" i="46"/>
  <c r="I101" i="46"/>
  <c r="L100" i="46"/>
  <c r="I100" i="46"/>
  <c r="L99" i="46"/>
  <c r="I99" i="46"/>
  <c r="L98" i="46"/>
  <c r="I98" i="46"/>
  <c r="L97" i="46"/>
  <c r="I97" i="46"/>
  <c r="L96" i="46"/>
  <c r="I96" i="46"/>
  <c r="L95" i="46"/>
  <c r="I95" i="46"/>
  <c r="L94" i="46"/>
  <c r="I94" i="46"/>
  <c r="L93" i="46"/>
  <c r="I93" i="46"/>
  <c r="L92" i="46"/>
  <c r="I92" i="46"/>
  <c r="L91" i="46"/>
  <c r="I91" i="46"/>
  <c r="L90" i="46"/>
  <c r="I90" i="46"/>
  <c r="L89" i="46"/>
  <c r="I89" i="46"/>
  <c r="L88" i="46"/>
  <c r="I88" i="46"/>
  <c r="L87" i="46"/>
  <c r="I87" i="46"/>
  <c r="L86" i="46"/>
  <c r="I86" i="46"/>
  <c r="L85" i="46"/>
  <c r="I85" i="46"/>
  <c r="L84" i="46"/>
  <c r="I84" i="46"/>
  <c r="L83" i="46"/>
  <c r="I83" i="46"/>
  <c r="L82" i="46"/>
  <c r="I82" i="46"/>
  <c r="L81" i="46"/>
  <c r="I81" i="46"/>
  <c r="L80" i="46"/>
  <c r="I80" i="46"/>
  <c r="L79" i="46"/>
  <c r="I79" i="46"/>
  <c r="L78" i="46"/>
  <c r="I78" i="46"/>
  <c r="L77" i="46"/>
  <c r="I77" i="46"/>
  <c r="L76" i="46"/>
  <c r="I76" i="46"/>
  <c r="L75" i="46"/>
  <c r="I75" i="46"/>
  <c r="L74" i="46"/>
  <c r="I74" i="46"/>
  <c r="L73" i="46"/>
  <c r="I73" i="46"/>
  <c r="L72" i="46"/>
  <c r="I72" i="46"/>
  <c r="L71" i="46"/>
  <c r="I71" i="46"/>
  <c r="L70" i="46"/>
  <c r="I70" i="46"/>
  <c r="L69" i="46"/>
  <c r="I69" i="46"/>
  <c r="L68" i="46"/>
  <c r="I68" i="46"/>
  <c r="L67" i="46"/>
  <c r="I67" i="46"/>
  <c r="L66" i="46"/>
  <c r="I66" i="46"/>
  <c r="L65" i="46"/>
  <c r="I65" i="46"/>
  <c r="L64" i="46"/>
  <c r="I64" i="46"/>
  <c r="L63" i="46"/>
  <c r="I63" i="46"/>
  <c r="L62" i="46"/>
  <c r="I62" i="46"/>
  <c r="I60" i="46"/>
  <c r="I59" i="46"/>
  <c r="I58" i="46"/>
  <c r="L57" i="46"/>
  <c r="I57" i="46"/>
  <c r="I55" i="46"/>
  <c r="I54" i="46"/>
  <c r="L53" i="46"/>
  <c r="I53" i="46"/>
  <c r="I51" i="46"/>
  <c r="J50" i="46" s="1"/>
  <c r="I49" i="46"/>
  <c r="J48" i="46" s="1"/>
  <c r="L48" i="46"/>
  <c r="J46" i="46"/>
  <c r="I45" i="46"/>
  <c r="L44" i="46"/>
  <c r="I44" i="46"/>
  <c r="I43" i="46"/>
  <c r="I42" i="46"/>
  <c r="I41" i="46"/>
  <c r="L40" i="46"/>
  <c r="I40" i="46"/>
  <c r="I39" i="46"/>
  <c r="I38" i="46"/>
  <c r="I36" i="46"/>
  <c r="I35" i="46"/>
  <c r="L34" i="46"/>
  <c r="I34" i="46"/>
  <c r="I33" i="46"/>
  <c r="I31" i="46"/>
  <c r="I30" i="46"/>
  <c r="L29" i="46"/>
  <c r="I29" i="46"/>
  <c r="I28" i="46"/>
  <c r="L26" i="46"/>
  <c r="L25" i="46"/>
  <c r="L24" i="46"/>
  <c r="J24" i="46"/>
  <c r="L23" i="46"/>
  <c r="J23" i="46"/>
  <c r="L22" i="46"/>
  <c r="L21" i="46"/>
  <c r="J21" i="46"/>
  <c r="L20" i="46"/>
  <c r="J20" i="46"/>
  <c r="L19" i="46"/>
  <c r="J19" i="46"/>
  <c r="L18" i="46"/>
  <c r="J18" i="46"/>
  <c r="L17" i="46"/>
  <c r="J17" i="46"/>
  <c r="L16" i="46"/>
  <c r="L15" i="46"/>
  <c r="I15" i="46"/>
  <c r="J15" i="46" s="1"/>
  <c r="L14" i="46"/>
  <c r="L13" i="46"/>
  <c r="L12" i="46"/>
  <c r="I12" i="46"/>
  <c r="J12" i="46" s="1"/>
  <c r="L11" i="46"/>
  <c r="I11" i="46"/>
  <c r="J11" i="46" s="1"/>
  <c r="L9" i="46"/>
  <c r="T40" i="45"/>
  <c r="U40" i="45" s="1"/>
  <c r="Z40" i="45" s="1"/>
  <c r="T38" i="45"/>
  <c r="V38" i="45" s="1"/>
  <c r="Z38" i="45" s="1"/>
  <c r="T37" i="45"/>
  <c r="W37" i="45" s="1"/>
  <c r="Z37" i="45" s="1"/>
  <c r="M35" i="45"/>
  <c r="J25" i="45"/>
  <c r="J19" i="45"/>
  <c r="J17" i="45"/>
  <c r="J32" i="46" l="1"/>
  <c r="J37" i="46"/>
  <c r="J52" i="46"/>
  <c r="Z36" i="45"/>
  <c r="Z35" i="45" s="1"/>
  <c r="AA35" i="45" s="1"/>
  <c r="J56" i="46"/>
  <c r="J27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D68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MAYOR METRADO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I13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MAYORES METRADOS
</t>
        </r>
      </text>
    </comment>
    <comment ref="J13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MM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P13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ojo con almacen</t>
        </r>
      </text>
    </comment>
    <comment ref="S13" authorId="1" shapeId="0" xr:uid="{00000000-0006-0000-08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D17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26 bollsas 
2 m3 de piedra grande
2.5 m3 de hormigon
2 m3 de piedra chacada 3/4"</t>
        </r>
      </text>
    </comment>
    <comment ref="I17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R17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U17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1.3 m3 piedra grande
0.53 m3 de hormigon
1.26m3 hormigon
1.26 m3 hormigon
</t>
        </r>
      </text>
    </comment>
    <comment ref="V17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13 bolsas 
1. m3 piedra grande
0.27 m3 de hormigon
1.m3 hormigon
1. m3 hormigon
</t>
        </r>
      </text>
    </comment>
    <comment ref="W17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JOHN EDISON:
VACIADO DE FALSA ZAPATA TRAMO 31 Y 32 Y VACIADO F.Z TRAMO 09 Y 10</t>
        </r>
        <r>
          <rPr>
            <sz val="9"/>
            <color indexed="81"/>
            <rFont val="Tahoma"/>
            <family val="2"/>
          </rPr>
          <t xml:space="preserve">
56 bolsas 
4 m3 piedra grande
0.62 m3 hormigon
4 m3 arena gruesa
4 m3 piedra chancada 3/4" </t>
        </r>
      </text>
    </comment>
    <comment ref="X17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Y17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AB17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12 bolsas 
1.13 m3 piedra grande
0.63 m3 hormigon
1 m3 arena gruesa
1m3 piedra chancada 3/4"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ADDERLY</author>
    <author>JOHN EDISON</author>
  </authors>
  <commentList>
    <comment ref="AD32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AG106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Q108" authorId="1" shapeId="0" xr:uid="{00000000-0006-0000-0A00-00000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 columnas
</t>
        </r>
      </text>
    </comment>
    <comment ref="AE153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  <comment ref="Q156" authorId="1" shapeId="0" xr:uid="{00000000-0006-0000-0A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 ucolumnas
</t>
        </r>
      </text>
    </comment>
    <comment ref="O157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P157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Q157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TRES COLUMNAS BLOQUE 03
</t>
        </r>
      </text>
    </comment>
    <comment ref="W235" authorId="1" shapeId="0" xr:uid="{00000000-0006-0000-0A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31 Y 32
</t>
        </r>
      </text>
    </comment>
    <comment ref="AA235" authorId="1" shapeId="0" xr:uid="{00000000-0006-0000-0A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11 Y 12</t>
        </r>
      </text>
    </comment>
    <comment ref="AD235" authorId="1" shapeId="0" xr:uid="{00000000-0006-0000-0A00-00000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ZAPATAS DE MUROS 14 Y 15
</t>
        </r>
      </text>
    </comment>
    <comment ref="AB246" authorId="1" shapeId="0" xr:uid="{00000000-0006-0000-0A00-00000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SOBRECIMIENTO REFORZADO TRA 01 AL 10</t>
        </r>
      </text>
    </comment>
    <comment ref="AD256" authorId="1" shapeId="0" xr:uid="{00000000-0006-0000-0A00-00000D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MURO PANTALLA 28, 29 Y 30
</t>
        </r>
      </text>
    </comment>
    <comment ref="M267" authorId="0" shapeId="0" xr:uid="{00000000-0006-0000-0A00-00000E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VACIAR ZAPATA LONG.9.30</t>
        </r>
      </text>
    </comment>
    <comment ref="O267" authorId="0" shapeId="0" xr:uid="{00000000-0006-0000-0A00-00000F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VACIADO DE ZAPATA DE CC 9
</t>
        </r>
      </text>
    </comment>
    <comment ref="P267" authorId="0" shapeId="0" xr:uid="{00000000-0006-0000-0A00-000010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CUERPO DEL CC
LONGITUD DE 9.30 ML</t>
        </r>
      </text>
    </comment>
    <comment ref="R267" authorId="1" shapeId="0" xr:uid="{00000000-0006-0000-0A00-00001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DEL CERCO PERIMETRICO DEL 04 AL 06
Y ZAPATA DEL CP 07 Y 08
</t>
        </r>
      </text>
    </comment>
    <comment ref="T267" authorId="1" shapeId="0" xr:uid="{00000000-0006-0000-0A00-00001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DEL CERCO PERIMETRICO DEL 07 AL 08</t>
        </r>
      </text>
    </comment>
    <comment ref="U267" authorId="1" shapeId="0" xr:uid="{00000000-0006-0000-0A00-00001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MURO CONTENCION 07 Y 08
Y ZAPATA DEL TRAMO 09Y 10
</t>
        </r>
      </text>
    </comment>
    <comment ref="M268" authorId="1" shapeId="0" xr:uid="{00000000-0006-0000-0A00-00001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ZAPATAS TRAMO 01 AL 03</t>
        </r>
      </text>
    </comment>
    <comment ref="O268" authorId="0" shapeId="0" xr:uid="{00000000-0006-0000-0A00-00001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ENCOFRADO DE CERCO PERIMETRICO Y ZAPATA DE CERCO PERIMETRICO
</t>
        </r>
      </text>
    </comment>
    <comment ref="Q268" authorId="1" shapeId="0" xr:uid="{00000000-0006-0000-0A00-00001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PANTALLA TRAMO 04 AL 06
Y ENCOFRADO DE MURO ZAPATA 07 Y 08
</t>
        </r>
      </text>
    </comment>
    <comment ref="W268" authorId="1" shapeId="0" xr:uid="{00000000-0006-0000-0A00-00001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MURO DE CONTENCION TRAMO 09 Y 10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S107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NO COLOCAR CANTIDAD EN CO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M14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N14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P14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4" authorId="1" shapeId="0" xr:uid="{00000000-0006-0000-0E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U25" authorId="0" shapeId="0" xr:uid="{00000000-0006-0000-0E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VERIFICAR</t>
        </r>
      </text>
    </comment>
    <comment ref="AB25" authorId="0" shapeId="0" xr:uid="{00000000-0006-0000-0E00-000006000000}">
      <text>
        <r>
          <rPr>
            <b/>
            <sz val="9"/>
            <color indexed="81"/>
            <rFont val="Tahoma"/>
            <family val="2"/>
          </rPr>
          <t>VERIFICAR METRADO DE ACERO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M30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5 casco de compra con caja chica</t>
        </r>
      </text>
    </comment>
    <comment ref="I104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1.66 m3 arena gruesa
2.15 m3 piedra chancada 3/4"</t>
        </r>
      </text>
    </comment>
    <comment ref="AG106" authorId="1" shapeId="0" xr:uid="{00000000-0006-0000-0F00-000003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Q108" authorId="0" shapeId="0" xr:uid="{00000000-0006-0000-0F00-00000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 columnas
1.48 m3 arena gruesa
1.92 m3 piedra chancada 1/2"</t>
        </r>
      </text>
    </comment>
    <comment ref="T108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1.11 m3 arena gruesa
1.44 m3 piedra chancada 1/2"</t>
        </r>
      </text>
    </comment>
    <comment ref="G152" authorId="0" shapeId="0" xr:uid="{00000000-0006-0000-0F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1.64 m3 arena gruesa
2.13 m3 piedra chancada </t>
        </r>
      </text>
    </comment>
    <comment ref="AE153" authorId="1" shapeId="0" xr:uid="{00000000-0006-0000-0F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  <comment ref="P156" authorId="0" shapeId="0" xr:uid="{00000000-0006-0000-0F00-00000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1.46 m3 arena gruesa
1.91 m3 piedra chancada </t>
        </r>
      </text>
    </comment>
    <comment ref="Q156" authorId="0" shapeId="0" xr:uid="{00000000-0006-0000-0F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 ucolumnas
0.57 m3 arena gruesa
0.74 m3 piedra chancada </t>
        </r>
      </text>
    </comment>
    <comment ref="X156" authorId="0" shapeId="0" xr:uid="{00000000-0006-0000-0F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0.04 m3 arena gruesa
0.06 m3 piedra chandada</t>
        </r>
      </text>
    </comment>
    <comment ref="O157" authorId="1" shapeId="0" xr:uid="{00000000-0006-0000-0F00-00000B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P157" authorId="1" shapeId="0" xr:uid="{00000000-0006-0000-0F00-00000C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Q157" authorId="1" shapeId="0" xr:uid="{00000000-0006-0000-0F00-00000D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TRES COLUMNAS BLOQUE 03
</t>
        </r>
      </text>
    </comment>
    <comment ref="W164" authorId="0" shapeId="0" xr:uid="{00000000-0006-0000-0F00-00000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0.29 m3 arena gruesa 
0.37 m3 piedra chancada</t>
        </r>
      </text>
    </comment>
    <comment ref="W235" authorId="0" shapeId="0" xr:uid="{00000000-0006-0000-0F00-00000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31 Y 32
0.68 m3 arena gruesa
0.90 m3 piedra chancada</t>
        </r>
      </text>
    </comment>
    <comment ref="AA235" authorId="0" shapeId="0" xr:uid="{00000000-0006-0000-0F00-000010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11 Y 12
1.22 m3 arena gruesa
1.64 m3 piedra chancada 1/2"</t>
        </r>
      </text>
    </comment>
    <comment ref="AD235" authorId="0" shapeId="0" xr:uid="{00000000-0006-0000-0F00-00001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ZAPATAS DE MUROS 13,14 
0.95 m3 arena gruesa
1.26 m3 piedra chancada 1/2"
</t>
        </r>
      </text>
    </comment>
    <comment ref="AB246" authorId="0" shapeId="0" xr:uid="{00000000-0006-0000-0F00-00001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SOBRECIMIENTO REFORZADO TRA 01 AL 10
0.62 m3 arena gruesa
0.83 piedra chancada</t>
        </r>
      </text>
    </comment>
    <comment ref="AB256" authorId="0" shapeId="0" xr:uid="{00000000-0006-0000-0F00-00001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ZAPATAS DE TRAMO 28,29 Y 30
2.20 m3 arena gruesa
2.86 m3 piedra chancada</t>
        </r>
      </text>
    </comment>
    <comment ref="AD256" authorId="0" shapeId="0" xr:uid="{00000000-0006-0000-0F00-00001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MURO PANTALLA 28, 29 Y 30
2.41 m3 arena gruesa
3.14 m3 piedra chancada</t>
        </r>
      </text>
    </comment>
    <comment ref="M267" authorId="1" shapeId="0" xr:uid="{00000000-0006-0000-0F00-00001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VACIAR ZAPATA LONG.9.30
2.12 m3 arena gruesa
2.85 m3 piedra chancada</t>
        </r>
      </text>
    </comment>
    <comment ref="O267" authorId="1" shapeId="0" xr:uid="{00000000-0006-0000-0F00-00001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VACIADO DE ZAPATA DE CC 9
2.15 m3 arena gruesa
2.87 m3 piedra chanchada</t>
        </r>
      </text>
    </comment>
    <comment ref="P267" authorId="1" shapeId="0" xr:uid="{00000000-0006-0000-0F00-00001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CUERPO DEL CC
LONGITUD DE 9.30 ML
2.35 m3 arena gruesa
3.15 m3 piedra chancada</t>
        </r>
      </text>
    </comment>
    <comment ref="R267" authorId="0" shapeId="0" xr:uid="{00000000-0006-0000-0F00-00001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DEL CERCO PERIMETRICO DEL 04 AL 06
Y ZAPATA DEL CP 07 Y 08
3.07 m3 arena gruesa
4.11 m3 piedra chancada 
</t>
        </r>
      </text>
    </comment>
    <comment ref="T267" authorId="0" shapeId="0" xr:uid="{00000000-0006-0000-0F00-00001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DEL CERCO PERIMETRICO DEL 07 AL 08
0.72 m3 arena gruesa
0.96 m3 piedra chancada</t>
        </r>
      </text>
    </comment>
    <comment ref="U267" authorId="0" shapeId="0" xr:uid="{00000000-0006-0000-0F00-00001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MURO CONTENCION 07 Y 08
Y ZAPATA DEL TRAMO 09Y 10
3.32 m3 arena gruesa
4.44 piedra chancada</t>
        </r>
      </text>
    </comment>
    <comment ref="X267" authorId="0" shapeId="0" xr:uid="{00000000-0006-0000-0F00-00001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1.91 m3 arena gruesa
2.56 m3 piedra chancada</t>
        </r>
      </text>
    </comment>
    <comment ref="M268" authorId="0" shapeId="0" xr:uid="{00000000-0006-0000-0F00-00001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ZAPATAS TRAMO 01 AL 03</t>
        </r>
      </text>
    </comment>
    <comment ref="O268" authorId="1" shapeId="0" xr:uid="{00000000-0006-0000-0F00-00001D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ENCOFRADO DE CERCO PERIMETRICO Y ZAPATA DE CERCO PERIMETRICO
</t>
        </r>
      </text>
    </comment>
    <comment ref="Q268" authorId="0" shapeId="0" xr:uid="{00000000-0006-0000-0F00-00001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PANTALLA TRAMO 04 AL 06
Y ENCOFRADO DE MURO ZAPATA 07 Y 08
</t>
        </r>
      </text>
    </comment>
    <comment ref="W268" authorId="0" shapeId="0" xr:uid="{00000000-0006-0000-0F00-00001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MURO DE CONTENCION TRAMO 09 Y 10</t>
        </r>
      </text>
    </comment>
    <comment ref="AD708" authorId="1" shapeId="0" xr:uid="{00000000-0006-0000-0F00-000020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I780" authorId="0" shapeId="0" xr:uid="{00000000-0006-0000-0F00-00002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0.57 m3 arena gruesa
0.74 m3 piedra chancada</t>
        </r>
      </text>
    </comment>
    <comment ref="AG782" authorId="1" shapeId="0" xr:uid="{00000000-0006-0000-0F00-00002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G828" authorId="0" shapeId="0" xr:uid="{00000000-0006-0000-0F00-00002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0.55 m3 arena gruesa
0.71 m3 piedra chancada</t>
        </r>
      </text>
    </comment>
    <comment ref="AE829" authorId="1" shapeId="0" xr:uid="{00000000-0006-0000-0F00-00002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  <comment ref="P835" authorId="0" shapeId="0" xr:uid="{00000000-0006-0000-0F00-00002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ojo con almacen</t>
        </r>
      </text>
    </comment>
    <comment ref="S835" authorId="1" shapeId="0" xr:uid="{00000000-0006-0000-0F00-00002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K851" authorId="0" shapeId="0" xr:uid="{00000000-0006-0000-0F00-00002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24 bolsas
1.50 m3 arena gruesa
1.96 m3 piedra chancada 1/2"</t>
        </r>
      </text>
    </comment>
    <comment ref="N851" authorId="0" shapeId="0" xr:uid="{00000000-0006-0000-0F00-00002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15bolsas
0.9m3 arena gruesa
1.18 m3 piedra chancada 1/2"</t>
        </r>
      </text>
    </comment>
    <comment ref="O851" authorId="0" shapeId="0" xr:uid="{00000000-0006-0000-0F00-00002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 bolsas
0.27 m3 arena gruesa
0.35 m3 piedra chancada 1/2"</t>
        </r>
      </text>
    </comment>
    <comment ref="N855" authorId="0" shapeId="0" xr:uid="{00000000-0006-0000-0F00-00002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20 bolsas
1.25 m3 arena gruesa
1.63 m3 piedra chancada 1/2"</t>
        </r>
      </text>
    </comment>
    <comment ref="O855" authorId="0" shapeId="0" xr:uid="{00000000-0006-0000-0F00-00002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
0.98 m3 arena gruesa
1.27 m3 piedra chancada 1/2"</t>
        </r>
      </text>
    </comment>
    <comment ref="J863" authorId="0" shapeId="0" xr:uid="{00000000-0006-0000-0F00-00002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43 bolsas
2.67 m3 arena gruesa
3.48 m3 piedra chancada 1/2"</t>
        </r>
      </text>
    </comment>
    <comment ref="K867" authorId="0" shapeId="0" xr:uid="{00000000-0006-0000-0F00-00002D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36 bolsas
2.23 m3 arena gruesa
2.90 m3 piedra chancada 1/2"
</t>
        </r>
      </text>
    </comment>
    <comment ref="D872" authorId="0" shapeId="0" xr:uid="{00000000-0006-0000-0F00-00002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26 bollsas 
2 m3 de piedra grande
2.5 m3 de hormigon
2 m3 de piedra chacada 3/4"</t>
        </r>
      </text>
    </comment>
    <comment ref="I872" authorId="0" shapeId="0" xr:uid="{00000000-0006-0000-0F00-00002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R872" authorId="0" shapeId="0" xr:uid="{00000000-0006-0000-0F00-000030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T872" authorId="0" shapeId="0" xr:uid="{00000000-0006-0000-0F00-00003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U872" authorId="0" shapeId="0" xr:uid="{00000000-0006-0000-0F00-00003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1.3 m3 piedra grande
0.53 m3 de hormigon
1.26m3 hormigon
1.26 m3 hormigon
</t>
        </r>
      </text>
    </comment>
    <comment ref="V872" authorId="0" shapeId="0" xr:uid="{00000000-0006-0000-0F00-00003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13 bolsas 
1. m3 piedra grande
0.27 m3 de hormigon
1.m3 hormigon
1. m3 hormigon
</t>
        </r>
      </text>
    </comment>
    <comment ref="W872" authorId="0" shapeId="0" xr:uid="{00000000-0006-0000-0F00-000034000000}">
      <text>
        <r>
          <rPr>
            <b/>
            <sz val="9"/>
            <color indexed="81"/>
            <rFont val="Tahoma"/>
            <family val="2"/>
          </rPr>
          <t>JOHN EDISON:
VACIADO DE FALSA ZAPATA TRAMO 31 Y 32 Y VACIADO F.Z TRAMO 09 Y 10</t>
        </r>
        <r>
          <rPr>
            <sz val="9"/>
            <color indexed="81"/>
            <rFont val="Tahoma"/>
            <family val="2"/>
          </rPr>
          <t xml:space="preserve">
56 bolsas 
4 m3 piedra grande
0.62 m3 hormigon
4 m3 arena gruesa
4 m3 piedra chancada 3/4" </t>
        </r>
      </text>
    </comment>
    <comment ref="X872" authorId="0" shapeId="0" xr:uid="{00000000-0006-0000-0F00-00003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Y872" authorId="0" shapeId="0" xr:uid="{00000000-0006-0000-0F00-00003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AA872" authorId="0" shapeId="0" xr:uid="{00000000-0006-0000-0F00-00003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28 bolsas 
2.2 m3 piedra grande
1.16 m3 hormigon
2m3 arena gruesa
2 m3 piedra chancada 3/4"</t>
        </r>
      </text>
    </comment>
    <comment ref="AB872" authorId="0" shapeId="0" xr:uid="{00000000-0006-0000-0F00-00003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12 bolsas 
1.13 m3 piedra grande
0.63 m3 hormigon
1 m3 arena gruesa
1m3 piedra chancada 3/4"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S73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NO COLOCAR CANTIDAD EN CO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ADDERLY</author>
  </authors>
  <commentList>
    <comment ref="P14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13 bls cemento</t>
        </r>
      </text>
    </comment>
    <comment ref="Q14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13 bls cemento</t>
        </r>
      </text>
    </comment>
    <comment ref="R14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75 bls cemento</t>
        </r>
      </text>
    </comment>
    <comment ref="V14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53 bls cemento
8 BLS</t>
        </r>
      </text>
    </comment>
    <comment ref="W14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02 bls cemento</t>
        </r>
      </text>
    </comment>
    <comment ref="X14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35 bls cemento</t>
        </r>
      </text>
    </comment>
    <comment ref="Z14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 bls cemento</t>
        </r>
      </text>
    </comment>
    <comment ref="AA14" authorId="0" shapeId="0" xr:uid="{00000000-0006-0000-1200-000008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22 bls cemento
</t>
        </r>
      </text>
    </comment>
    <comment ref="AC14" authorId="0" shapeId="0" xr:uid="{00000000-0006-0000-1200-000009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53bls de cemento
</t>
        </r>
      </text>
    </comment>
    <comment ref="AE14" authorId="0" shapeId="0" xr:uid="{00000000-0006-0000-1200-00000A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 bls cemento
</t>
        </r>
      </text>
    </comment>
    <comment ref="AD22" authorId="0" shapeId="0" xr:uid="{00000000-0006-0000-1200-00000B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AG33" authorId="0" shapeId="0" xr:uid="{00000000-0006-0000-1200-00000C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AE44" authorId="0" shapeId="0" xr:uid="{00000000-0006-0000-1200-00000D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ADDERLY</author>
  </authors>
  <commentList>
    <comment ref="S14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N65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ENCOFRADO DE CERCO PERIMETRICO Y ZAPATA DE CERCO PERIMETRICO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I19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MAYORES METRADOS
</t>
        </r>
      </text>
    </comment>
    <comment ref="J19" authorId="0" shapeId="0" xr:uid="{00000000-0006-0000-1400-00000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MM
</t>
        </r>
      </text>
    </comment>
    <comment ref="AD31" authorId="1" shapeId="0" xr:uid="{00000000-0006-0000-1400-000003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I103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0.57 m3 arena gruesa
0.74 m3 piedra chancada</t>
        </r>
      </text>
    </comment>
    <comment ref="AG105" authorId="1" shapeId="0" xr:uid="{00000000-0006-0000-1400-00000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G151" authorId="0" shapeId="0" xr:uid="{00000000-0006-0000-14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0.55 m3 arena gruesa
0.71 m3 piedra chancada</t>
        </r>
      </text>
    </comment>
    <comment ref="AE152" authorId="1" shapeId="0" xr:uid="{00000000-0006-0000-14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M14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N14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P14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4" authorId="1" shapeId="0" xr:uid="{00000000-0006-0000-15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K37" authorId="0" shapeId="0" xr:uid="{00000000-0006-0000-15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24 bolsas
1.50 m3 arena gruesa
1.96 m3 piedra chancada 1/2"</t>
        </r>
      </text>
    </comment>
    <comment ref="N37" authorId="0" shapeId="0" xr:uid="{00000000-0006-0000-15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15bolsas
0.9m3 arena gruesa
1.18 m3 piedra chancada 1/2"</t>
        </r>
      </text>
    </comment>
    <comment ref="O37" authorId="0" shapeId="0" xr:uid="{00000000-0006-0000-1500-00000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 bolsas
0.27 m3 arena gruesa
0.35 m3 piedra chancada 1/2"</t>
        </r>
      </text>
    </comment>
    <comment ref="N41" authorId="0" shapeId="0" xr:uid="{00000000-0006-0000-1500-00000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20 bolsas
1.25 m3 arena gruesa
1.63 m3 piedra chancada 1/2"</t>
        </r>
      </text>
    </comment>
    <comment ref="O41" authorId="0" shapeId="0" xr:uid="{00000000-0006-0000-15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
0.98 m3 arena gruesa
1.27 m3 piedra chancada 1/2"</t>
        </r>
      </text>
    </comment>
    <comment ref="J49" authorId="0" shapeId="0" xr:uid="{00000000-0006-0000-15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43 bolsas
2.67 m3 arena gruesa
3.48 m3 piedra chancada 1/2"</t>
        </r>
      </text>
    </comment>
    <comment ref="K53" authorId="0" shapeId="0" xr:uid="{00000000-0006-0000-1500-00000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36 bolsas
2.23 m3 arena gruesa
2.90 m3 piedra chancada 1/2"
</t>
        </r>
      </text>
    </comment>
    <comment ref="D62" authorId="0" shapeId="0" xr:uid="{00000000-0006-0000-1500-00000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26 bollsas 
2 m3 de piedra grande
2.5 m3 de hormigon
2 m3 de piedra chacada 3/4"</t>
        </r>
      </text>
    </comment>
    <comment ref="I62" authorId="0" shapeId="0" xr:uid="{00000000-0006-0000-1500-00000D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R62" authorId="0" shapeId="0" xr:uid="{00000000-0006-0000-1500-00000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U62" authorId="0" shapeId="0" xr:uid="{00000000-0006-0000-1500-00000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1.3 m3 piedra grande
0.53 m3 de hormigon
1.26m3 hormigon
1.26 m3 hormigon
</t>
        </r>
      </text>
    </comment>
    <comment ref="V62" authorId="0" shapeId="0" xr:uid="{00000000-0006-0000-1500-000010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13 bolsas 
1. m3 piedra grande
0.27 m3 de hormigon
1.m3 hormigon
1. m3 hormigon
</t>
        </r>
      </text>
    </comment>
    <comment ref="W62" authorId="0" shapeId="0" xr:uid="{00000000-0006-0000-1500-000011000000}">
      <text>
        <r>
          <rPr>
            <b/>
            <sz val="9"/>
            <color indexed="81"/>
            <rFont val="Tahoma"/>
            <family val="2"/>
          </rPr>
          <t>JOHN EDISON:
VACIADO DE FALSA ZAPATA TRAMO 31 Y 32 Y VACIADO F.Z TRAMO 09 Y 10</t>
        </r>
        <r>
          <rPr>
            <sz val="9"/>
            <color indexed="81"/>
            <rFont val="Tahoma"/>
            <family val="2"/>
          </rPr>
          <t xml:space="preserve">
56 bolsas 
4 m3 piedra grande
0.62 m3 hormigon
4 m3 arena gruesa
4 m3 piedra chancada 3/4" </t>
        </r>
      </text>
    </comment>
    <comment ref="X62" authorId="0" shapeId="0" xr:uid="{00000000-0006-0000-1500-00001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Y62" authorId="0" shapeId="0" xr:uid="{00000000-0006-0000-1500-00001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U80" authorId="0" shapeId="0" xr:uid="{00000000-0006-0000-1500-00001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VERIFICAR</t>
        </r>
      </text>
    </comment>
    <comment ref="AB80" authorId="0" shapeId="0" xr:uid="{00000000-0006-0000-1500-000015000000}">
      <text>
        <r>
          <rPr>
            <b/>
            <sz val="9"/>
            <color indexed="81"/>
            <rFont val="Tahoma"/>
            <family val="2"/>
          </rPr>
          <t>VERIFICAR METRADO DE ACERO</t>
        </r>
      </text>
    </comment>
  </commentList>
</comments>
</file>

<file path=xl/sharedStrings.xml><?xml version="1.0" encoding="utf-8"?>
<sst xmlns="http://schemas.openxmlformats.org/spreadsheetml/2006/main" count="16437" uniqueCount="2185">
  <si>
    <t>%</t>
  </si>
  <si>
    <t>TOTAL</t>
  </si>
  <si>
    <t>Metrado</t>
  </si>
  <si>
    <t xml:space="preserve">: </t>
  </si>
  <si>
    <t>COMPONENTE</t>
  </si>
  <si>
    <t>PROYECTO</t>
  </si>
  <si>
    <t>PROGRAMA</t>
  </si>
  <si>
    <t>FUNCION</t>
  </si>
  <si>
    <t xml:space="preserve"> </t>
  </si>
  <si>
    <t>APURIMAC</t>
  </si>
  <si>
    <t>ADMINISTRACION DIRECTA</t>
  </si>
  <si>
    <t>FORMATO FE - 03</t>
  </si>
  <si>
    <t xml:space="preserve">FECHA  </t>
  </si>
  <si>
    <t xml:space="preserve">DISTRITO </t>
  </si>
  <si>
    <t>FTE - FTO</t>
  </si>
  <si>
    <t xml:space="preserve">PROVINCIA </t>
  </si>
  <si>
    <t xml:space="preserve">MODALIDAD </t>
  </si>
  <si>
    <t>DEPARTAMENTO</t>
  </si>
  <si>
    <t xml:space="preserve">AÑO </t>
  </si>
  <si>
    <t>PARTIDA</t>
  </si>
  <si>
    <t xml:space="preserve">DESCRIPCIÓN </t>
  </si>
  <si>
    <t>Und.</t>
  </si>
  <si>
    <t>PRESUPUESTO</t>
  </si>
  <si>
    <t>AVANCES</t>
  </si>
  <si>
    <t>SALDO</t>
  </si>
  <si>
    <t>ANTERIOR</t>
  </si>
  <si>
    <t>ACTUAL</t>
  </si>
  <si>
    <t>ACUMULADO</t>
  </si>
  <si>
    <t xml:space="preserve">Metrado </t>
  </si>
  <si>
    <t>P.Unit. S/.</t>
  </si>
  <si>
    <t>Pres.</t>
  </si>
  <si>
    <t>Valorizado S/.</t>
  </si>
  <si>
    <t>01</t>
  </si>
  <si>
    <t>TRABAJOS PRELIMINARES</t>
  </si>
  <si>
    <t>01.01</t>
  </si>
  <si>
    <t>und</t>
  </si>
  <si>
    <t>m2</t>
  </si>
  <si>
    <t>m</t>
  </si>
  <si>
    <t>01.02</t>
  </si>
  <si>
    <t>m3</t>
  </si>
  <si>
    <t>GLB</t>
  </si>
  <si>
    <t>02</t>
  </si>
  <si>
    <t>02.01</t>
  </si>
  <si>
    <t>02.02</t>
  </si>
  <si>
    <t>03</t>
  </si>
  <si>
    <t>MOVIMIENTO DE TIERRAS</t>
  </si>
  <si>
    <t>03.01</t>
  </si>
  <si>
    <t>kg</t>
  </si>
  <si>
    <t>03.01.01</t>
  </si>
  <si>
    <t>03.01.02</t>
  </si>
  <si>
    <t>03.01.03</t>
  </si>
  <si>
    <t>02.03</t>
  </si>
  <si>
    <t>02.01.01</t>
  </si>
  <si>
    <t>02.02.01</t>
  </si>
  <si>
    <t>02.02.02</t>
  </si>
  <si>
    <t>02.03.01</t>
  </si>
  <si>
    <t>02.03.02</t>
  </si>
  <si>
    <t>M3</t>
  </si>
  <si>
    <t>COSTO DIRECTO</t>
  </si>
  <si>
    <t>EXPEDIENTE TECNICO</t>
  </si>
  <si>
    <t>PRESUPUESTO TOTAL  S/.</t>
  </si>
  <si>
    <t>EJECUTADO INFRAESTRUCTURA</t>
  </si>
  <si>
    <t>MAYORES METRADOS Y ADICIONALES</t>
  </si>
  <si>
    <t>glb</t>
  </si>
  <si>
    <t>RESUMEN DE VALORIZACION</t>
  </si>
  <si>
    <t>ITEM</t>
  </si>
  <si>
    <t>GOBIERNO REGIONAL APURIMAC</t>
  </si>
  <si>
    <t>GERENCIA REGIONAL DE INFRAESTRUCTURA</t>
  </si>
  <si>
    <t>SUB GERENCIA  DE OBRAS</t>
  </si>
  <si>
    <t xml:space="preserve">HOJA DE METRADOS </t>
  </si>
  <si>
    <t xml:space="preserve">      </t>
  </si>
  <si>
    <t>DESCRIPCION</t>
  </si>
  <si>
    <t>UND</t>
  </si>
  <si>
    <t>N° PIEZAS</t>
  </si>
  <si>
    <t>KG/ML</t>
  </si>
  <si>
    <t>METRADOS</t>
  </si>
  <si>
    <t>OBSERVACION</t>
  </si>
  <si>
    <t>Ø (Plg)</t>
  </si>
  <si>
    <t>ANCHO</t>
  </si>
  <si>
    <t>LARGO</t>
  </si>
  <si>
    <t>ALTO</t>
  </si>
  <si>
    <t>PARCIAL</t>
  </si>
  <si>
    <t/>
  </si>
  <si>
    <t>COLUMNA</t>
  </si>
  <si>
    <t>C - 4</t>
  </si>
  <si>
    <t>1/2"</t>
  </si>
  <si>
    <t>ESTRIBO</t>
  </si>
  <si>
    <t>3/8"</t>
  </si>
  <si>
    <t>ALAMBRE DE AMARRE EN MUROS DE CONFINAMIENTO</t>
  </si>
  <si>
    <t>1/4"</t>
  </si>
  <si>
    <t>INFRAESTRUCTURA</t>
  </si>
  <si>
    <t xml:space="preserve"> % EJECUTADO INFRAESTRUCTURA</t>
  </si>
  <si>
    <t>% AVANCE FISICO</t>
  </si>
  <si>
    <t xml:space="preserve">            OBRAS PROVISIONALES.</t>
  </si>
  <si>
    <t>1010102</t>
  </si>
  <si>
    <t xml:space="preserve">            CONSTRUCCIÓN PLATAFORMA DE VIA.</t>
  </si>
  <si>
    <t xml:space="preserve">                TRABAJOS PRELIMINARES.</t>
  </si>
  <si>
    <t>101010202</t>
  </si>
  <si>
    <t xml:space="preserve">                MOVIMIENTO DE TIERRAS</t>
  </si>
  <si>
    <t xml:space="preserve">                TRANSPORTE</t>
  </si>
  <si>
    <t xml:space="preserve">            OBRAS DE ARTE Y DRENAJE.</t>
  </si>
  <si>
    <t xml:space="preserve">                ALCANTARILLA TIPO I (0.80x0.80 m.)</t>
  </si>
  <si>
    <t xml:space="preserve">                    CONCRETO f'c=210 kg/cm2</t>
  </si>
  <si>
    <t>101010302</t>
  </si>
  <si>
    <t>101010303</t>
  </si>
  <si>
    <t xml:space="preserve">                CUNETAS SIN REVESTIR</t>
  </si>
  <si>
    <t>1010104</t>
  </si>
  <si>
    <t xml:space="preserve">            PUENTE TABLERO SECCIÓN COMPUESTA.</t>
  </si>
  <si>
    <t>101010401</t>
  </si>
  <si>
    <t>101010402</t>
  </si>
  <si>
    <t>10101040201</t>
  </si>
  <si>
    <t>10101040202</t>
  </si>
  <si>
    <t xml:space="preserve">                    RELLENOS.</t>
  </si>
  <si>
    <t>10101040203</t>
  </si>
  <si>
    <t>101010403</t>
  </si>
  <si>
    <t xml:space="preserve">                ENCOFRADO Y DESENCOFRADO.</t>
  </si>
  <si>
    <t>10101040301</t>
  </si>
  <si>
    <t>EXCAVACIÓN EN EXPLANACIONES EN ROCA SUELTA</t>
  </si>
  <si>
    <t>CONFORMACION DE TERRAPLENES</t>
  </si>
  <si>
    <t>TRANSPORTE DE ELIMINACIÓN DE MATERIAL A DME D&lt;=1 km</t>
  </si>
  <si>
    <t>TRAZO, REPLANTEO Y CONTROL TOPOGRAFICO</t>
  </si>
  <si>
    <t xml:space="preserve"> CONCRETO f'c=210 kg/cm2</t>
  </si>
  <si>
    <t xml:space="preserve"> RELLENO PARA ESTRUCTURAS CON MATERIAL PROPIO</t>
  </si>
  <si>
    <t>MURO DE CONTENCION (L=100 m).</t>
  </si>
  <si>
    <t xml:space="preserve"> EXCAVACIÓN NO CLASIFICADA PARA ESTRUCTURAS</t>
  </si>
  <si>
    <t>ENCOFRADO Y DESENCOFRADO PARA OBRAS DE ARTE</t>
  </si>
  <si>
    <t xml:space="preserve"> CONCRETO CICLOPEO f'c=175 kg/cm2 + 30% PM</t>
  </si>
  <si>
    <t xml:space="preserve"> TUBERIA DE PVC 2" PARA DRENAJE</t>
  </si>
  <si>
    <t>TUBERIA DE PVC 4" PARA DRENAJE</t>
  </si>
  <si>
    <t xml:space="preserve"> CONFORMACIÓN Y PERFILADO DE CUNETAS (MATERIAL SUELTO)</t>
  </si>
  <si>
    <t xml:space="preserve"> CONFORMACIÓN Y PERFILADO DE CUNETAS (ROCA SUELTA)</t>
  </si>
  <si>
    <t>CONFORMACIÓN Y PERFILADO DE CUNETAS (ROCA FIJA)</t>
  </si>
  <si>
    <t xml:space="preserve"> LIMPIEZA MANUAL DE TERRENO</t>
  </si>
  <si>
    <t>FLETE TERRESTRE DE MATERIALES A OBRA (PUENTE)</t>
  </si>
  <si>
    <t xml:space="preserve"> EXCAVACIONES.</t>
  </si>
  <si>
    <t xml:space="preserve"> EXCAVACIÓN EN SECO CON MAQUINARIA</t>
  </si>
  <si>
    <t>EXCAVACIÓN BAJO AGUA CON MAQUINARIA</t>
  </si>
  <si>
    <t xml:space="preserve"> EXCAVACIÓN BAJO AGUA MANUAL</t>
  </si>
  <si>
    <t xml:space="preserve"> ENCOFRADO Y DESENCOFRADO DE SUB ESTRUCTURA.</t>
  </si>
  <si>
    <t xml:space="preserve"> ENCOFRADO Y DESENCOFRADO NORMAL BAJO AGUA</t>
  </si>
  <si>
    <t>10101040302</t>
  </si>
  <si>
    <t>101010404</t>
  </si>
  <si>
    <t xml:space="preserve">                OBRAS DE CONCRETO SIMPLE.</t>
  </si>
  <si>
    <t xml:space="preserve">                    CONCRETO f'c=280 kg/cm2</t>
  </si>
  <si>
    <t>101010405</t>
  </si>
  <si>
    <t xml:space="preserve">                OBRAS DE CONCRETO ARMADO.</t>
  </si>
  <si>
    <t>10101040501</t>
  </si>
  <si>
    <t xml:space="preserve">                    CONCRETO.</t>
  </si>
  <si>
    <t xml:space="preserve">                        CONCRETO f'c=210 kg/cm2</t>
  </si>
  <si>
    <t xml:space="preserve">                        CONCRETO f'c=280 kg/cm2</t>
  </si>
  <si>
    <t xml:space="preserve">                        CURADO DE CONCRETO</t>
  </si>
  <si>
    <t>10101040502</t>
  </si>
  <si>
    <t xml:space="preserve">                    ACERO.</t>
  </si>
  <si>
    <t>10101040503</t>
  </si>
  <si>
    <t>101010406</t>
  </si>
  <si>
    <t xml:space="preserve">                VARIOS.</t>
  </si>
  <si>
    <t>10101040601</t>
  </si>
  <si>
    <t xml:space="preserve">                    TUBERÍA PARA DRENAJE.</t>
  </si>
  <si>
    <t>10101040602</t>
  </si>
  <si>
    <t xml:space="preserve">                    BARANDA METÁLICA.</t>
  </si>
  <si>
    <t>10101040603</t>
  </si>
  <si>
    <t xml:space="preserve">                    PINTURA .</t>
  </si>
  <si>
    <t xml:space="preserve"> ENCOFRADO Y DESENCOFRADO NORMAL DE ESTRIBOS</t>
  </si>
  <si>
    <t xml:space="preserve">  ENCOFRADO Y DESENCOFRADO CARAVISTA EN ESTRIBOS</t>
  </si>
  <si>
    <t>ENCOFRADO Y DESENCOFRADO DE SUPER ESTRUCTURA.</t>
  </si>
  <si>
    <t xml:space="preserve"> ENCOFRADO Y DESENCOFRADO CARAVISTA DE TABLERO</t>
  </si>
  <si>
    <t>CONCRETO CICLOPEO f'c=140 kg/cm2 + 30% PM</t>
  </si>
  <si>
    <t xml:space="preserve"> CONCRETO CICLOPEO f'c=175 kg/cm2 + 30% PG</t>
  </si>
  <si>
    <t xml:space="preserve"> ACERO DE REFUERZO GRADO 60 EN CIMENTACIÓN</t>
  </si>
  <si>
    <t xml:space="preserve"> ACERO DE REFUERZO GRADO 60 EN ESTRIBOS</t>
  </si>
  <si>
    <t>ACERO DE REFUERZO GRADO 60 EN LOSA DE TABLERO</t>
  </si>
  <si>
    <t xml:space="preserve">                 ESTRUCTURA METÁLICA.</t>
  </si>
  <si>
    <t xml:space="preserve"> FABRICACIÓN DE ESTRUCTURA METÁLICA (ACERO A-709)</t>
  </si>
  <si>
    <t>PINTURA DE ESTRUCTURAS METÁLICAS</t>
  </si>
  <si>
    <t xml:space="preserve"> TRANSPORTE DE ESTRUCTURA METÁLICA A OBRA</t>
  </si>
  <si>
    <t xml:space="preserve"> MONTAJE Y LANZAMIENTO DE ESTRUCTURA METÁLICA</t>
  </si>
  <si>
    <t xml:space="preserve"> TUBERIA DE PVC 3" PARA DRENAJE</t>
  </si>
  <si>
    <t>BARANDA METÁLICA, INC. PINTURA (SEGUN DISEÑO)</t>
  </si>
  <si>
    <t>10101040604</t>
  </si>
  <si>
    <t xml:space="preserve">                    ELEMENTOS DE APOYO.</t>
  </si>
  <si>
    <t>10101040605</t>
  </si>
  <si>
    <t xml:space="preserve">                    UÑA DE HINCADO.</t>
  </si>
  <si>
    <t>10101040606</t>
  </si>
  <si>
    <t xml:space="preserve">                    DOWELLS DE ANCLAJE.</t>
  </si>
  <si>
    <t>10101040607</t>
  </si>
  <si>
    <t xml:space="preserve">                    LOSA DE APROXIMACIÓN.</t>
  </si>
  <si>
    <t>1010105</t>
  </si>
  <si>
    <t xml:space="preserve">            PARTIDAS COMPLEMENTARIAS Y PRUEBAS DE LABORATORIO</t>
  </si>
  <si>
    <t>1010106</t>
  </si>
  <si>
    <t xml:space="preserve">            SEÑALIZACION Y SEGURIDAD VIAL</t>
  </si>
  <si>
    <t xml:space="preserve">                SEÑAL PREVENTIVA (0.60x0.60 m)</t>
  </si>
  <si>
    <t xml:space="preserve">                SEÑALES INFORMATIVAS</t>
  </si>
  <si>
    <t xml:space="preserve">                POSTES DE SOPORTE DE SEÑALES</t>
  </si>
  <si>
    <t xml:space="preserve">                POSTES DE KILOMETRAJE</t>
  </si>
  <si>
    <t>1010107</t>
  </si>
  <si>
    <t xml:space="preserve">            FLETE TERRESTRE</t>
  </si>
  <si>
    <t xml:space="preserve">                FLETE TERRESTRE</t>
  </si>
  <si>
    <t>1010108</t>
  </si>
  <si>
    <t xml:space="preserve">            MITIGACIÓN DE IMPACTO AMBIENTAL</t>
  </si>
  <si>
    <t>101010801</t>
  </si>
  <si>
    <t>101010802</t>
  </si>
  <si>
    <t xml:space="preserve">                PROGRAMA DE MONITOREO AMBIENTAL.</t>
  </si>
  <si>
    <t xml:space="preserve">                    MONITOREO DE LA CALIDAD DE AIRE</t>
  </si>
  <si>
    <t xml:space="preserve">                    MONITOREO DE LA CALIDAD DEL AGUA</t>
  </si>
  <si>
    <t xml:space="preserve">                    MONITOREO DE FLORA Y FAUNA</t>
  </si>
  <si>
    <t>101010803</t>
  </si>
  <si>
    <t xml:space="preserve">                PLAN DE MANEJO AMBIENTAL.</t>
  </si>
  <si>
    <t>1010109</t>
  </si>
  <si>
    <t xml:space="preserve">            SEGURIDAD Y SALUD.</t>
  </si>
  <si>
    <t xml:space="preserve">                EQUIPOS DE PROTECCIÓN INDIVIDUAL</t>
  </si>
  <si>
    <t xml:space="preserve">                EQUIPOS DE PROTECCIÓN COLECTIVA</t>
  </si>
  <si>
    <t xml:space="preserve">                SEÑALIZACIÓN TEMPORAL DE SEGURIDAD Y AMBIENTAL</t>
  </si>
  <si>
    <t>1010110</t>
  </si>
  <si>
    <t xml:space="preserve">            PLAN DE MONITOREO ARQUEOLÓGICO.</t>
  </si>
  <si>
    <t xml:space="preserve">                PLAN DE MONITOREO ARQUEÓLOGICO</t>
  </si>
  <si>
    <t xml:space="preserve"> PINTURA EN SARDINELES</t>
  </si>
  <si>
    <t xml:space="preserve"> APOYO DE NEOPRENO FIJO</t>
  </si>
  <si>
    <t xml:space="preserve"> APOYO DE NEOPRENO MOVIL</t>
  </si>
  <si>
    <t>FABRICACIÓN DE ESTRUCTURA METÁLICA (UÑA)</t>
  </si>
  <si>
    <t xml:space="preserve"> DOWELLS DE ANCLAJE D=1"</t>
  </si>
  <si>
    <t xml:space="preserve"> ACERO DE REFUERZO GRADO 60</t>
  </si>
  <si>
    <t>CURADO DE CONCRETO</t>
  </si>
  <si>
    <t>DISEÑO DE MEZCLA (CONCRETO)</t>
  </si>
  <si>
    <t xml:space="preserve"> TESTIGOS DE CONCRETO (BRIQUETAS) Y SLUMP TEST</t>
  </si>
  <si>
    <t>PRUEBA DE CALIDAD DEL CONCRETO (PRUEBA A LA COMPRESION)</t>
  </si>
  <si>
    <t xml:space="preserve"> PROCTOR DE CAMPO (COMPACTACIÓN)</t>
  </si>
  <si>
    <t>DENSIDAD DE CAMPO</t>
  </si>
  <si>
    <t xml:space="preserve"> PRUEBA DE CARGA DE SUPERESTRUCTURA (PUENTE)</t>
  </si>
  <si>
    <t>PLACA RECORDATORIA DE BRONCE</t>
  </si>
  <si>
    <t xml:space="preserve">        PROGRAMA DE CIERRE DE OBRA, PROTECCION AMBIENTAL.</t>
  </si>
  <si>
    <t xml:space="preserve"> RETIRO Y ALMACENAMIENTO DE TOP SOIL</t>
  </si>
  <si>
    <t xml:space="preserve"> REPOSICIÓN DE TOP SOIL</t>
  </si>
  <si>
    <t>REVEGETACIÓN</t>
  </si>
  <si>
    <t>READECUACIÓN DE DÉPOSITO DE MATERIALES EXCEDENTES</t>
  </si>
  <si>
    <t>READECUACIÓN AMBIENTAL DE CAMPAMENTOS</t>
  </si>
  <si>
    <t>READECUACIÓN AMBIENTAL DE ALMACENES Y PATIO DE MÁQUINAS</t>
  </si>
  <si>
    <t xml:space="preserve"> PROGRAMA DE CAPACITACIÓN AMBIENTAL Y SEGURIDAD</t>
  </si>
  <si>
    <t>PROGRAMA DE EDUCACIÓN AMBIENTAL Y SEGURIDAD VIAL</t>
  </si>
  <si>
    <t>PROGRAMA DE PREVENCIÓN Y CONTINGENCIAS</t>
  </si>
  <si>
    <t xml:space="preserve"> PROGRAMA DE MEDIDAS PREVENTIVAS, MITIGADORAS Y COR.</t>
  </si>
  <si>
    <t>km</t>
  </si>
  <si>
    <t xml:space="preserve"> JUNTAS DE DILATACIÓN CON TECKNOPORT EN MUROS DE C.</t>
  </si>
  <si>
    <t>tn</t>
  </si>
  <si>
    <t xml:space="preserve">      ELIMINACION DE MATERIAL EXCEDENTE.</t>
  </si>
  <si>
    <t>Tn</t>
  </si>
  <si>
    <t>ha</t>
  </si>
  <si>
    <t>PROYECTO    :   "CONSTRUCCION TROCHA CARROZABLE PACHACONAS - RAMAL HUANCARAY</t>
  </si>
  <si>
    <t>DISTRITO DE PACHACONAS -  PROVINCIA DE ANTABAMBA - REGION APURIMAC"</t>
  </si>
  <si>
    <t>TRANSPORTE</t>
  </si>
  <si>
    <t>MOVIMIENTO DE TIERRA EN ZONA DE DERRUMBE Y AMPLIACION DE PALTAFORMA</t>
  </si>
  <si>
    <t>MONTO</t>
  </si>
  <si>
    <t>SUPERVISION DEL PROYECTO</t>
  </si>
  <si>
    <t>CAPACITACION SOCIAL Y CAPACITACION EN OPERACIÓN Y MANTENIMIENTO</t>
  </si>
  <si>
    <t>GESTIÓN DE PROYECTO</t>
  </si>
  <si>
    <t>LIQUIDACION DE OBRA</t>
  </si>
  <si>
    <t>GASTOS GENERALES</t>
  </si>
  <si>
    <t>MAYORES METRADOS</t>
  </si>
  <si>
    <t>PARTIDAS NUEVAS</t>
  </si>
  <si>
    <t xml:space="preserve">CRONOGRAMA VALORIZADO </t>
  </si>
  <si>
    <t>D E S C R I P C I O N</t>
  </si>
  <si>
    <t>Proyecto:</t>
  </si>
  <si>
    <t>Lugar:</t>
  </si>
  <si>
    <t>Modalidad de Ejecucio</t>
  </si>
  <si>
    <t>COSTO DIRECTO TOTAL</t>
  </si>
  <si>
    <t>GASTOS GENERALES Y UTILIDAD</t>
  </si>
  <si>
    <t>SUB TOTAL</t>
  </si>
  <si>
    <t>AVANCE PARCIAL PROGRAMADO</t>
  </si>
  <si>
    <t>AVANCE ACUMULADO PROGRAMADO</t>
  </si>
  <si>
    <t>PERFILADO Y COMPACTADO EN ZONA DE CORTE</t>
  </si>
  <si>
    <t>CANT.</t>
  </si>
  <si>
    <t>No</t>
  </si>
  <si>
    <t>DIMENSIONES</t>
  </si>
  <si>
    <t>VECES</t>
  </si>
  <si>
    <t>VER PLANILLA DE MOVIMIENTO DE TIERRAS</t>
  </si>
  <si>
    <t>02.02.06</t>
  </si>
  <si>
    <t>M2</t>
  </si>
  <si>
    <t>03.01.04</t>
  </si>
  <si>
    <t>KG</t>
  </si>
  <si>
    <t>03.01.05</t>
  </si>
  <si>
    <t>03.01.06</t>
  </si>
  <si>
    <t>03.01.07</t>
  </si>
  <si>
    <t>03.01.08</t>
  </si>
  <si>
    <t>FORMATO No 04</t>
  </si>
  <si>
    <t xml:space="preserve">FECHA DE PRESENTACIÓN: </t>
  </si>
  <si>
    <t>CODIGO</t>
  </si>
  <si>
    <t>UNID</t>
  </si>
  <si>
    <t>MES</t>
  </si>
  <si>
    <t>* Indicar el título en función del metrado a sustentar.</t>
  </si>
  <si>
    <t>RESIDENTE DE OBRA</t>
  </si>
  <si>
    <t>ok</t>
  </si>
  <si>
    <t>ACUMULADA</t>
  </si>
  <si>
    <t>Cant</t>
  </si>
  <si>
    <t>1010101</t>
  </si>
  <si>
    <t>101010201</t>
  </si>
  <si>
    <t>101010203</t>
  </si>
  <si>
    <t>1010103</t>
  </si>
  <si>
    <t>101010301</t>
  </si>
  <si>
    <t>OBRAS PROVISIONALES</t>
  </si>
  <si>
    <t>MOVILIZACION Y DESMOVILIZACIÓN DE MAQUINARÌA, EQUIPO Y HERRAMIENTAS</t>
  </si>
  <si>
    <t>ACCESO A CANTERAS, DME Y FUENTES DE AGUA</t>
  </si>
  <si>
    <t>KM</t>
  </si>
  <si>
    <t>CONSTRUCCION PLATAFORMA DE VIA</t>
  </si>
  <si>
    <t>TOPOGRAFIA Y GEOREFERENCIACION</t>
  </si>
  <si>
    <t xml:space="preserve">MOVIMIENTO DE TIERRAS </t>
  </si>
  <si>
    <t>CORTE DE MATERIAL SUELTO</t>
  </si>
  <si>
    <t>EXCAVACIONES EN EXPLANACIONES EN ROCA FIJA</t>
  </si>
  <si>
    <t>02.02..03</t>
  </si>
  <si>
    <t>EXCAVACIONES EN EXPLANACIONES EN ROCA SUELTA</t>
  </si>
  <si>
    <t>02.02.07</t>
  </si>
  <si>
    <t>PERFILADO Y COMPACTADO EN ZONAS DE CORTE</t>
  </si>
  <si>
    <t>TRANSPORTE DE ELIMINACION DE MATERIAL A DME D&lt;=1 Km</t>
  </si>
  <si>
    <t>TRANSPORTE DE ELIMINACION DE MATERIAL A DME D&gt;1 Km</t>
  </si>
  <si>
    <t>OBRAS DE ARTE Y DRENAJE</t>
  </si>
  <si>
    <t>ALCANTARILLAS  (0,80M*0,80M)</t>
  </si>
  <si>
    <t>Alas de salida</t>
  </si>
  <si>
    <t>Alas de entrada</t>
  </si>
  <si>
    <t>Cajuela</t>
  </si>
  <si>
    <t>EXCAVACION NO CLASIFICADA PARA ESTRUCTURAS</t>
  </si>
  <si>
    <t>para cajon</t>
  </si>
  <si>
    <t>alas de salidad</t>
  </si>
  <si>
    <t>area</t>
  </si>
  <si>
    <t>alas de entrada</t>
  </si>
  <si>
    <t>cajuela</t>
  </si>
  <si>
    <t>CONCRETO CICLOPEO F'c=175 kg/cm2 + 30% PM</t>
  </si>
  <si>
    <t>en cimientos de alas de salida</t>
  </si>
  <si>
    <t>en cimientos de alas de entrada</t>
  </si>
  <si>
    <t>Base de aletas salida</t>
  </si>
  <si>
    <t>Base de aletas  entrada</t>
  </si>
  <si>
    <t xml:space="preserve">Base de Caja </t>
  </si>
  <si>
    <t>Muretes de caja</t>
  </si>
  <si>
    <t xml:space="preserve"> base Cajuela</t>
  </si>
  <si>
    <t>murete de cajuela</t>
  </si>
  <si>
    <t xml:space="preserve">ACERO DE REFUERZO GRADO 60 </t>
  </si>
  <si>
    <t>ver planilla acero</t>
  </si>
  <si>
    <t>Muretes laterales</t>
  </si>
  <si>
    <t>CONCRETO  FC=210 KG/CM2.</t>
  </si>
  <si>
    <t>tapa</t>
  </si>
  <si>
    <t>CONCRETO  FC=175 KG/CM2.</t>
  </si>
  <si>
    <t xml:space="preserve">Aletas de salida </t>
  </si>
  <si>
    <t>Aletas de entrada</t>
  </si>
  <si>
    <t>Parapeto</t>
  </si>
  <si>
    <t>RELLENO DE FUNDACIONES RENDIMIENTO = 8 M3/DIA</t>
  </si>
  <si>
    <t>Aletas de salida</t>
  </si>
  <si>
    <t>aletas de entrada</t>
  </si>
  <si>
    <t>Caja</t>
  </si>
  <si>
    <t xml:space="preserve">TOTAL </t>
  </si>
  <si>
    <t>PRESUPUESTO TOTAL DEL PROYECTO</t>
  </si>
  <si>
    <t>GESTION DE PROYECTO</t>
  </si>
  <si>
    <t>PRESUPUESTO SUB TOTAL</t>
  </si>
  <si>
    <t>CAPACITACION SOCIAL Y OPERACIÓN Y MANTENIMIENTO</t>
  </si>
  <si>
    <t>SUPERVISIÓN DEL PROYECTO</t>
  </si>
  <si>
    <t>AVANCE ACUMULADO PROGRAMADO (%)</t>
  </si>
  <si>
    <t>AVANCE  MENSUAL PROGRAMADO (%)</t>
  </si>
  <si>
    <t>PRESUPUESTO BASE (VALOR REFERENCIAL)</t>
  </si>
  <si>
    <t xml:space="preserve">                    PROGRAMA DE PREVENCIÓN Y CONTINGENCIAS</t>
  </si>
  <si>
    <t xml:space="preserve">                    PROGRAMA DE EDUCACIÓN AMBIENTAL Y SEGURIDAD VIAL</t>
  </si>
  <si>
    <t xml:space="preserve">                    PROGRAMA DE CAPACITACIÓN AMBIENTAL Y SEGURIDAD</t>
  </si>
  <si>
    <t xml:space="preserve">                    PROGRAMA DE MEDIDAS PREVENTIVAS, MITIGADORAS Y CORRECTIVAS</t>
  </si>
  <si>
    <t xml:space="preserve">                    READECUACIÓN AMBIENTAL DE ALMACENES Y PATIO DE MÁQUINAS</t>
  </si>
  <si>
    <t xml:space="preserve">                    READECUACIÓN AMBIENTAL DE CAMPAMENTOS</t>
  </si>
  <si>
    <t xml:space="preserve">                    READECUACIÓN DE DÉPOSITO DE MATERIALES EXCEDENTES</t>
  </si>
  <si>
    <t xml:space="preserve">                    REVEGETACIÓN</t>
  </si>
  <si>
    <t xml:space="preserve">                    REPOSICIÓN DE TOP SOIL</t>
  </si>
  <si>
    <t xml:space="preserve">                    RETIRO Y ALMACENAMIENTO DE TOP SOIL</t>
  </si>
  <si>
    <t xml:space="preserve">                PROGRAMA DE CIERRE DE OBRA, PROTECCION AMBIENTAL.</t>
  </si>
  <si>
    <t xml:space="preserve">                PLACA RECORDATORIA DE BRONCE</t>
  </si>
  <si>
    <t xml:space="preserve">                PRUEBA DE CARGA DE SUPERESTRUCTURA (PUENTE)</t>
  </si>
  <si>
    <t xml:space="preserve">                DENSIDAD DE CAMPO</t>
  </si>
  <si>
    <t xml:space="preserve">                PROCTOR DE CAMPO (COMPACTACIÓN)</t>
  </si>
  <si>
    <t xml:space="preserve">                PRUEBA DE CALIDAD DEL CONCRETO (PRUEBA A LA COMPRESION)</t>
  </si>
  <si>
    <t xml:space="preserve">                TESTIGOS DE CONCRETO (BRIQUETAS) Y SLUMP TEST</t>
  </si>
  <si>
    <t xml:space="preserve">                DISEÑO DE MEZCLA (CONCRETO)</t>
  </si>
  <si>
    <t xml:space="preserve">                        ENCOFRADO Y DESENCOFRADO PARA OBRAS DE ARTE</t>
  </si>
  <si>
    <t xml:space="preserve">                        ACERO DE REFUERZO GRADO 60</t>
  </si>
  <si>
    <t xml:space="preserve">                        DOWELLS DE ANCLAJE D=1"</t>
  </si>
  <si>
    <t xml:space="preserve">                        FABRICACIÓN DE ESTRUCTURA METÁLICA (UÑA)</t>
  </si>
  <si>
    <t xml:space="preserve">                        APOYO DE NEOPRENO MOVIL</t>
  </si>
  <si>
    <t xml:space="preserve">                        APOYO DE NEOPRENO FIJO</t>
  </si>
  <si>
    <t xml:space="preserve">                        PINTURA EN SARDINELES</t>
  </si>
  <si>
    <t xml:space="preserve">                        BARANDA METÁLICA, INC. PINTURA (SEGUN DISEÑO)</t>
  </si>
  <si>
    <t xml:space="preserve">                        TUBERIA DE PVC 3" PARA DRENAJE</t>
  </si>
  <si>
    <t xml:space="preserve">                        MONTAJE Y LANZAMIENTO DE ESTRUCTURA METÁLICA</t>
  </si>
  <si>
    <t xml:space="preserve">                        TRANSPORTE DE ESTRUCTURA METÁLICA A OBRA</t>
  </si>
  <si>
    <t xml:space="preserve">                        PINTURA DE ESTRUCTURAS METÁLICAS</t>
  </si>
  <si>
    <t xml:space="preserve">                        FABRICACIÓN DE ESTRUCTURA METÁLICA (ACERO A-709)</t>
  </si>
  <si>
    <t xml:space="preserve">                    ESTRUCTURA METÁLICA.</t>
  </si>
  <si>
    <t xml:space="preserve">                        ACERO DE REFUERZO GRADO 60 EN LOSA DE TABLERO</t>
  </si>
  <si>
    <t xml:space="preserve">                        ACERO DE REFUERZO GRADO 60 EN ESTRIBOS</t>
  </si>
  <si>
    <t xml:space="preserve">                        ACERO DE REFUERZO GRADO 60 EN CIMENTACIÓN</t>
  </si>
  <si>
    <t xml:space="preserve">                    CONCRETO CICLOPEO f'c=175 kg/cm2 + 30% PG</t>
  </si>
  <si>
    <t xml:space="preserve">                    CONCRETO CICLOPEO f'c=140 kg/cm2 + 30% PM</t>
  </si>
  <si>
    <t xml:space="preserve">                        ENCOFRADO Y DESENCOFRADO CARAVISTA DE TABLERO</t>
  </si>
  <si>
    <t xml:space="preserve">                    ENCOFRADO Y DESENCOFRADO DE SUPER ESTRUCTURA.</t>
  </si>
  <si>
    <t xml:space="preserve">                        ENCOFRADO Y DESENCOFRADO CARAVISTA EN ESTRIBOS</t>
  </si>
  <si>
    <t xml:space="preserve">                        ENCOFRADO Y DESENCOFRADO NORMAL DE ESTRIBOS</t>
  </si>
  <si>
    <t xml:space="preserve">                        ENCOFRADO Y DESENCOFRADO NORMAL BAJO AGUA</t>
  </si>
  <si>
    <t xml:space="preserve">                    ENCOFRADO Y DESENCOFRADO DE SUB ESTRUCTURA.</t>
  </si>
  <si>
    <t xml:space="preserve">                        TRANSPORTE DE ELIMINACIÓN DE MATERIAL A DME D&lt;=1 km</t>
  </si>
  <si>
    <t xml:space="preserve">                    ELIMINACION DE MATERIAL EXCEDENTE.</t>
  </si>
  <si>
    <t xml:space="preserve">                        RELLENO PARA ESTRUCTURAS CON MATERIAL PROPIO</t>
  </si>
  <si>
    <t xml:space="preserve">                        EXCAVACIÓN BAJO AGUA MANUAL</t>
  </si>
  <si>
    <t xml:space="preserve">                        EXCAVACIÓN BAJO AGUA CON MAQUINARIA</t>
  </si>
  <si>
    <t xml:space="preserve">                        EXCAVACIÓN EN SECO CON MAQUINARIA</t>
  </si>
  <si>
    <t xml:space="preserve">                    EXCAVACIONES.</t>
  </si>
  <si>
    <t xml:space="preserve">                    FLETE TERRESTRE DE MATERIALES A OBRA (PUENTE)</t>
  </si>
  <si>
    <t xml:space="preserve">                    TRAZO, REPLANTEO Y CONTROL TOPOGRAFICO</t>
  </si>
  <si>
    <t xml:space="preserve">                    LIMPIEZA MANUAL DE TERRENO</t>
  </si>
  <si>
    <t xml:space="preserve">                    CONFORMACIÓN Y PERFILADO DE CUNETAS (ROCA FIJA)</t>
  </si>
  <si>
    <t xml:space="preserve">                    CONFORMACIÓN Y PERFILADO DE CUNETAS (ROCA SUELTA)</t>
  </si>
  <si>
    <t xml:space="preserve">                    CONFORMACIÓN Y PERFILADO DE CUNETAS (MATERIAL SUELTO)</t>
  </si>
  <si>
    <t xml:space="preserve">                    RELLENO PARA ESTRUCTURAS CON MATERIAL PROPIO</t>
  </si>
  <si>
    <t xml:space="preserve">                    JUNTAS DE DILATACIÓN CON TECKNOPORT EN MUROS DE CONTENCIÓN</t>
  </si>
  <si>
    <t xml:space="preserve">                    TUBERIA DE PVC 4" PARA DRENAJE</t>
  </si>
  <si>
    <t xml:space="preserve">                    TUBERIA DE PVC 2" PARA DRENAJE</t>
  </si>
  <si>
    <t xml:space="preserve">                    CONCRETO CICLOPEO f'c=175 kg/cm2 + 30% PM</t>
  </si>
  <si>
    <t xml:space="preserve">                    ENCOFRADO Y DESENCOFRADO PARA OBRAS DE ARTE</t>
  </si>
  <si>
    <t xml:space="preserve">                    EXCAVACIÓN NO CLASIFICADA PARA ESTRUCTURAS</t>
  </si>
  <si>
    <t xml:space="preserve">                MURO DE CONTENCION (L=100 m).</t>
  </si>
  <si>
    <t xml:space="preserve">                    CONCRETO f'c=175 kg/cm2</t>
  </si>
  <si>
    <t xml:space="preserve">                    ACERO DE REFUERZO GRADO 60</t>
  </si>
  <si>
    <t xml:space="preserve">                    TRANSPORTE DE ELIMINACIÓN DE MATERIAL A DME &gt;1 km</t>
  </si>
  <si>
    <t xml:space="preserve">                    TRANSPORTE DE ELIMINACIÓN DE MATERIAL A DME D&lt;=1 km</t>
  </si>
  <si>
    <t xml:space="preserve">                    PERFILADO Y COMPACTADO EN ZONA DE CORTE</t>
  </si>
  <si>
    <t xml:space="preserve">                    CONFORMACION DE TERRAPLENES</t>
  </si>
  <si>
    <t xml:space="preserve">                    EXCAVACIÓN EN EXPLANACIONES EN ROCA SUELTA</t>
  </si>
  <si>
    <t xml:space="preserve">                    EXCAVACIÓN EN EXPLANACIONES EN ROCA FIJA</t>
  </si>
  <si>
    <t xml:space="preserve">                    CORTE DE MATERIAL SUELTO</t>
  </si>
  <si>
    <t xml:space="preserve">                    TOPOGRAFÍA Y GEOREFERENCIACIÓN</t>
  </si>
  <si>
    <t xml:space="preserve">                ACCESO A CANTERAS, DME Y FUENTES DE AGUA</t>
  </si>
  <si>
    <t xml:space="preserve">                MOVILIZACIÓN Y DESMOVILIZACIÓN DE MAQUINARIA, EQUIPO Y HERRAMIENTAS.</t>
  </si>
  <si>
    <t xml:space="preserve">        CONSTRUCCIÓN TROCHA CARROZABLE PACHACONAS - RAMAL HUANCARAY.</t>
  </si>
  <si>
    <t>10101</t>
  </si>
  <si>
    <t xml:space="preserve">    CONSTRUCCIÓN TROCHA CARROZABLE PACHACONAS - RAMAL HUANCARAY - DISTRITO DE PACHACONAS, PROVINCIA DE ANTABAMBA, REGION APURIMAC</t>
  </si>
  <si>
    <t>101</t>
  </si>
  <si>
    <t>JUNIO</t>
  </si>
  <si>
    <t>MAYO</t>
  </si>
  <si>
    <t>MESES</t>
  </si>
  <si>
    <t>Costo</t>
  </si>
  <si>
    <t>P.U.</t>
  </si>
  <si>
    <t>Metrado Total</t>
  </si>
  <si>
    <t>Descripción (WBS - Actividad)</t>
  </si>
  <si>
    <t>Fase</t>
  </si>
  <si>
    <t>: "CONSTRUCCIÓN TROCHA CARROZABLE PACHACONAS - RAMAL HUANCARAY"</t>
  </si>
  <si>
    <t>VIAS VECINALES</t>
  </si>
  <si>
    <t>: 0066</t>
  </si>
  <si>
    <t>GRPF</t>
  </si>
  <si>
    <t>TRANSPORTE TERRESTRE</t>
  </si>
  <si>
    <t>: 033</t>
  </si>
  <si>
    <t>DIVF</t>
  </si>
  <si>
    <t>CONSTRUCCION DE CAMINO VECINAL</t>
  </si>
  <si>
    <t>ACT/AI/OBRA</t>
  </si>
  <si>
    <t>CONSTRUCCIÓN TROCHA CARROZABLE PACHACONAS - RAMAL HUANCARAY</t>
  </si>
  <si>
    <t>: 2114044</t>
  </si>
  <si>
    <t>PROD/PRY</t>
  </si>
  <si>
    <t>ASIGNACIONES PRESUPUESTARIAS QUE NO RESULTAN EN PRODUCTOS</t>
  </si>
  <si>
    <t>: 9002</t>
  </si>
  <si>
    <t>: 3-19</t>
  </si>
  <si>
    <t>FTE.FTO</t>
  </si>
  <si>
    <t>CRONOGRAMA VALORIZADO DE EJECUCIÓN</t>
  </si>
  <si>
    <t>*</t>
  </si>
  <si>
    <t>HOJA DE METRADOS MES DE FEBRERO - 2016</t>
  </si>
  <si>
    <t>03.02</t>
  </si>
  <si>
    <t>03.02.01</t>
  </si>
  <si>
    <t>03.02.02</t>
  </si>
  <si>
    <t>03.02.03</t>
  </si>
  <si>
    <t>03.02.04</t>
  </si>
  <si>
    <t>03.02.05</t>
  </si>
  <si>
    <t>03.02.06</t>
  </si>
  <si>
    <t>03.02.07</t>
  </si>
  <si>
    <t>03.02.08</t>
  </si>
  <si>
    <t>03.03</t>
  </si>
  <si>
    <t>03.03.01</t>
  </si>
  <si>
    <t>03.03.02</t>
  </si>
  <si>
    <t>03.03.03</t>
  </si>
  <si>
    <t>04</t>
  </si>
  <si>
    <t>04.01</t>
  </si>
  <si>
    <t>04.01.01</t>
  </si>
  <si>
    <t>04.01.02</t>
  </si>
  <si>
    <t>04.01.03</t>
  </si>
  <si>
    <t>04.02</t>
  </si>
  <si>
    <t>04.02.01</t>
  </si>
  <si>
    <t>04.02.02</t>
  </si>
  <si>
    <t>04.02.03</t>
  </si>
  <si>
    <t>04.03</t>
  </si>
  <si>
    <t>04.03.01</t>
  </si>
  <si>
    <t>04.03.02</t>
  </si>
  <si>
    <t>04.04</t>
  </si>
  <si>
    <t>04.04.01</t>
  </si>
  <si>
    <t>04.04.02</t>
  </si>
  <si>
    <t>04.04.03</t>
  </si>
  <si>
    <t>04.04.04</t>
  </si>
  <si>
    <t>04.05</t>
  </si>
  <si>
    <t>04.05.01</t>
  </si>
  <si>
    <t>04.05.02</t>
  </si>
  <si>
    <t>04.05.03</t>
  </si>
  <si>
    <t>04.06.01</t>
  </si>
  <si>
    <t>04.06.02</t>
  </si>
  <si>
    <t>05</t>
  </si>
  <si>
    <t>05.01</t>
  </si>
  <si>
    <t>05.02</t>
  </si>
  <si>
    <t>06</t>
  </si>
  <si>
    <t>06.01</t>
  </si>
  <si>
    <t>02.04</t>
  </si>
  <si>
    <t>02.04.01</t>
  </si>
  <si>
    <t>03.04</t>
  </si>
  <si>
    <t>03.04.01</t>
  </si>
  <si>
    <t>03.04.01.01</t>
  </si>
  <si>
    <t>03.04.01.02</t>
  </si>
  <si>
    <t>03.04.02</t>
  </si>
  <si>
    <t>03.04.02.01</t>
  </si>
  <si>
    <t>03.04.03</t>
  </si>
  <si>
    <t>03.04.03.01</t>
  </si>
  <si>
    <t>03.05</t>
  </si>
  <si>
    <t>03.05.01</t>
  </si>
  <si>
    <t>03.05.01.01</t>
  </si>
  <si>
    <t>JULIO</t>
  </si>
  <si>
    <t>PUENTE</t>
  </si>
  <si>
    <t>AGOSTO</t>
  </si>
  <si>
    <t>“MEJORAMIENTO DEL SERVICIO EDUCATIVO DE NIVEL INICIAL EN LA IEI 1100 PICHIUCA PROVINCIA DE ABANCAY - REGIÓN APURÍMAC".</t>
  </si>
  <si>
    <t>22 EDUCACION</t>
  </si>
  <si>
    <t>RECURSOS ORDINARIOS</t>
  </si>
  <si>
    <t>LAMBRAMA</t>
  </si>
  <si>
    <t>ABANCAY</t>
  </si>
  <si>
    <t>01.01.01</t>
  </si>
  <si>
    <t>01.01.02</t>
  </si>
  <si>
    <t>01.01.03</t>
  </si>
  <si>
    <t>01.01.04</t>
  </si>
  <si>
    <t>01.01.05</t>
  </si>
  <si>
    <t>01.02.01</t>
  </si>
  <si>
    <t>01.02.02</t>
  </si>
  <si>
    <t>01.02.03</t>
  </si>
  <si>
    <t>01.03</t>
  </si>
  <si>
    <t>01.03.01</t>
  </si>
  <si>
    <t>01.03.02</t>
  </si>
  <si>
    <t>01.04</t>
  </si>
  <si>
    <t>01.04.01</t>
  </si>
  <si>
    <t>01.04.02</t>
  </si>
  <si>
    <t>01.05</t>
  </si>
  <si>
    <t>01.05.01</t>
  </si>
  <si>
    <t>01.05.02</t>
  </si>
  <si>
    <t>01.05.03</t>
  </si>
  <si>
    <t>01.05.04</t>
  </si>
  <si>
    <t>01.05.05</t>
  </si>
  <si>
    <t>01.05.06</t>
  </si>
  <si>
    <t>02.01.01.01</t>
  </si>
  <si>
    <t>02.01.01.02</t>
  </si>
  <si>
    <t>02.01.01.03</t>
  </si>
  <si>
    <t>02.01.01.04</t>
  </si>
  <si>
    <t>02.01.01.05</t>
  </si>
  <si>
    <t>02.01.01.06</t>
  </si>
  <si>
    <t>02.01.02</t>
  </si>
  <si>
    <t>02.01.02.01</t>
  </si>
  <si>
    <t>02.01.02.02</t>
  </si>
  <si>
    <t>02.01.02.03</t>
  </si>
  <si>
    <t>02.01.02.04</t>
  </si>
  <si>
    <t>02.01.02.05</t>
  </si>
  <si>
    <t>02.01.02.06</t>
  </si>
  <si>
    <t>02.01.03</t>
  </si>
  <si>
    <t>02.01.03.01</t>
  </si>
  <si>
    <t>02.01.03.01.01</t>
  </si>
  <si>
    <t>02.01.03.01.02</t>
  </si>
  <si>
    <t>02.01.03.02</t>
  </si>
  <si>
    <t>02.01.03.02.01</t>
  </si>
  <si>
    <t>02.01.03.02.02</t>
  </si>
  <si>
    <t>02.01.03.02.03</t>
  </si>
  <si>
    <t>02.01.03.03</t>
  </si>
  <si>
    <t>02.01.03.03.01</t>
  </si>
  <si>
    <t>02.01.03.03.02</t>
  </si>
  <si>
    <t>02.01.03.03.03</t>
  </si>
  <si>
    <t>02.01.03.04</t>
  </si>
  <si>
    <t>02.01.03.04.01</t>
  </si>
  <si>
    <t>02.01.03.04.02</t>
  </si>
  <si>
    <t>02.01.03.04.03</t>
  </si>
  <si>
    <t>02.01.03.05</t>
  </si>
  <si>
    <t>02.01.03.05.01</t>
  </si>
  <si>
    <t>02.01.03.05.02</t>
  </si>
  <si>
    <t>02.01.03.05.03</t>
  </si>
  <si>
    <t>02.01.03.06</t>
  </si>
  <si>
    <t>02.01.03.06.01</t>
  </si>
  <si>
    <t>02.01.03.06.02</t>
  </si>
  <si>
    <t>02.01.03.06.03</t>
  </si>
  <si>
    <t>02.01.03.06.04</t>
  </si>
  <si>
    <t>02.01.03.07</t>
  </si>
  <si>
    <t>02.01.03.07.01</t>
  </si>
  <si>
    <t>02.01.03.07.02</t>
  </si>
  <si>
    <t>02.01.03.07.03</t>
  </si>
  <si>
    <t>02.01.04</t>
  </si>
  <si>
    <t>02.01.04.01</t>
  </si>
  <si>
    <t>02.01.05</t>
  </si>
  <si>
    <t>02.01.05.01</t>
  </si>
  <si>
    <t>02.01.05.02</t>
  </si>
  <si>
    <t>02.02.01.01</t>
  </si>
  <si>
    <t>02.02.01.02</t>
  </si>
  <si>
    <t>02.02.01.03</t>
  </si>
  <si>
    <t>02.02.01.04</t>
  </si>
  <si>
    <t>02.02.01.05</t>
  </si>
  <si>
    <t>02.02.01.06</t>
  </si>
  <si>
    <t>02.02.02.01</t>
  </si>
  <si>
    <t>02.02.02.02</t>
  </si>
  <si>
    <t>02.02.02.03</t>
  </si>
  <si>
    <t>02.02.02.04</t>
  </si>
  <si>
    <t>02.02.02.05</t>
  </si>
  <si>
    <t>02.02.03</t>
  </si>
  <si>
    <t>02.02.03.01</t>
  </si>
  <si>
    <t>02.02.03.01.01</t>
  </si>
  <si>
    <t>02.02.03.01.02</t>
  </si>
  <si>
    <t>02.02.03.02</t>
  </si>
  <si>
    <t>02.02.03.02.01</t>
  </si>
  <si>
    <t>02.02.03.02.02</t>
  </si>
  <si>
    <t>02.02.03.02.03</t>
  </si>
  <si>
    <t>02.02.03.03</t>
  </si>
  <si>
    <t>02.02.03.03.01</t>
  </si>
  <si>
    <t>02.02.03.03.02</t>
  </si>
  <si>
    <t>02.02.03.03.03</t>
  </si>
  <si>
    <t>02.02.03.04</t>
  </si>
  <si>
    <t>02.02.03.04.01</t>
  </si>
  <si>
    <t>02.02.03.04.02</t>
  </si>
  <si>
    <t>02.02.03.04.03</t>
  </si>
  <si>
    <t>02.02.03.05</t>
  </si>
  <si>
    <t>02.02.03.05.01</t>
  </si>
  <si>
    <t>02.02.03.05.02</t>
  </si>
  <si>
    <t>02.02.03.05.03</t>
  </si>
  <si>
    <t>02.02.03.06</t>
  </si>
  <si>
    <t>02.02.03.06.01</t>
  </si>
  <si>
    <t>02.02.03.06.02</t>
  </si>
  <si>
    <t>02.02.03.06.03</t>
  </si>
  <si>
    <t>02.02.03.06.04</t>
  </si>
  <si>
    <t>02.02.03.07</t>
  </si>
  <si>
    <t>02.02.03.07.01</t>
  </si>
  <si>
    <t>02.02.03.07.02</t>
  </si>
  <si>
    <t>02.02.03.07.03</t>
  </si>
  <si>
    <t>02.02.04</t>
  </si>
  <si>
    <t>02.02.04.01</t>
  </si>
  <si>
    <t>02.02.05</t>
  </si>
  <si>
    <t>02.02.05.01</t>
  </si>
  <si>
    <t>02.02.05.02</t>
  </si>
  <si>
    <t>02.03.01.01</t>
  </si>
  <si>
    <t>02.03.01.02</t>
  </si>
  <si>
    <t>02.03.01.03</t>
  </si>
  <si>
    <t>02.03.01.04</t>
  </si>
  <si>
    <t>02.03.01.05</t>
  </si>
  <si>
    <t>02.03.01.06</t>
  </si>
  <si>
    <t>02.03.02.01</t>
  </si>
  <si>
    <t>02.03.02.02</t>
  </si>
  <si>
    <t>02.03.02.03</t>
  </si>
  <si>
    <t>02.03.02.04</t>
  </si>
  <si>
    <t>02.03.02.05</t>
  </si>
  <si>
    <t>02.03.03</t>
  </si>
  <si>
    <t>02.03.03.01</t>
  </si>
  <si>
    <t>02.03.03.01.01</t>
  </si>
  <si>
    <t>02.03.03.01.02</t>
  </si>
  <si>
    <t>02.03.03.02</t>
  </si>
  <si>
    <t>02.03.03.02.01</t>
  </si>
  <si>
    <t>02.03.03.02.02</t>
  </si>
  <si>
    <t>02.03.03.02.03</t>
  </si>
  <si>
    <t>02.03.03.03</t>
  </si>
  <si>
    <t>02.03.03.03.01</t>
  </si>
  <si>
    <t>02.03.03.03.02</t>
  </si>
  <si>
    <t>02.03.03.03.03</t>
  </si>
  <si>
    <t>02.03.03.04</t>
  </si>
  <si>
    <t>02.03.03.04.01</t>
  </si>
  <si>
    <t>02.03.03.04.02</t>
  </si>
  <si>
    <t>02.03.03.04.03</t>
  </si>
  <si>
    <t>02.03.03.05</t>
  </si>
  <si>
    <t>02.03.03.05.01</t>
  </si>
  <si>
    <t>02.03.03.05.02</t>
  </si>
  <si>
    <t>02.03.03.05.03</t>
  </si>
  <si>
    <t>02.03.03.06</t>
  </si>
  <si>
    <t>02.03.03.06.01</t>
  </si>
  <si>
    <t>02.03.03.06.02</t>
  </si>
  <si>
    <t>02.03.03.06.03</t>
  </si>
  <si>
    <t>02.03.03.06.04</t>
  </si>
  <si>
    <t>02.03.03.07</t>
  </si>
  <si>
    <t>02.03.03.07.01</t>
  </si>
  <si>
    <t>02.03.03.07.02</t>
  </si>
  <si>
    <t>02.03.03.07.03</t>
  </si>
  <si>
    <t>02.03.04</t>
  </si>
  <si>
    <t>02.03.04.01</t>
  </si>
  <si>
    <t>02.03.05</t>
  </si>
  <si>
    <t>02.03.05.01</t>
  </si>
  <si>
    <t>02.03.05.02</t>
  </si>
  <si>
    <t>02.04.01.01</t>
  </si>
  <si>
    <t>02.04.01.02</t>
  </si>
  <si>
    <t>02.04.01.03</t>
  </si>
  <si>
    <t>02.04.01.04</t>
  </si>
  <si>
    <t>02.04.01.05</t>
  </si>
  <si>
    <t>02.04.01.06</t>
  </si>
  <si>
    <t>02.04.02</t>
  </si>
  <si>
    <t>02.04.02.01</t>
  </si>
  <si>
    <t>02.04.02.02</t>
  </si>
  <si>
    <t>02.04.02.03</t>
  </si>
  <si>
    <t>02.04.02.04</t>
  </si>
  <si>
    <t>02.04.02.05</t>
  </si>
  <si>
    <t>02.04.02.06</t>
  </si>
  <si>
    <t>02.04.03</t>
  </si>
  <si>
    <t>02.04.03.01</t>
  </si>
  <si>
    <t>02.04.03.01.01</t>
  </si>
  <si>
    <t>02.04.03.01.02</t>
  </si>
  <si>
    <t>02.04.03.02</t>
  </si>
  <si>
    <t>02.04.03.02.01</t>
  </si>
  <si>
    <t>02.04.03.02.02</t>
  </si>
  <si>
    <t>02.04.03.02.03</t>
  </si>
  <si>
    <t>02.04.03.03</t>
  </si>
  <si>
    <t>02.04.03.03.01</t>
  </si>
  <si>
    <t>02.04.03.03.02</t>
  </si>
  <si>
    <t>02.04.03.03.03</t>
  </si>
  <si>
    <t>02.04.03.04</t>
  </si>
  <si>
    <t>02.04.03.04.01</t>
  </si>
  <si>
    <t>02.04.03.04.02</t>
  </si>
  <si>
    <t>02.04.03.04.03</t>
  </si>
  <si>
    <t>02.04.03.05</t>
  </si>
  <si>
    <t>02.04.03.05.01</t>
  </si>
  <si>
    <t>02.04.03.05.02</t>
  </si>
  <si>
    <t>02.04.03.05.03</t>
  </si>
  <si>
    <t>02.04.03.06</t>
  </si>
  <si>
    <t>02.04.03.06.01</t>
  </si>
  <si>
    <t>02.04.03.06.02</t>
  </si>
  <si>
    <t>02.04.03.06.03</t>
  </si>
  <si>
    <t>02.04.03.06.04</t>
  </si>
  <si>
    <t>02.04.03.07</t>
  </si>
  <si>
    <t>02.04.03.07.01</t>
  </si>
  <si>
    <t>02.04.03.07.02</t>
  </si>
  <si>
    <t>02.04.03.07.03</t>
  </si>
  <si>
    <t>02.04.04</t>
  </si>
  <si>
    <t>02.04.04.01</t>
  </si>
  <si>
    <t>02.04.05</t>
  </si>
  <si>
    <t>02.04.05.01</t>
  </si>
  <si>
    <t>02.04.05.02</t>
  </si>
  <si>
    <t>02.05</t>
  </si>
  <si>
    <t>02.05.01</t>
  </si>
  <si>
    <t>02.05.01.01</t>
  </si>
  <si>
    <t>02.05.01.02</t>
  </si>
  <si>
    <t>02.05.02</t>
  </si>
  <si>
    <t>02.05.02.01</t>
  </si>
  <si>
    <t>02.05.03</t>
  </si>
  <si>
    <t>02.05.03.01</t>
  </si>
  <si>
    <t>02.05.03.01.01</t>
  </si>
  <si>
    <t>02.05.03.01.02</t>
  </si>
  <si>
    <t>02.05.03.01.03</t>
  </si>
  <si>
    <t>02.05.03.02</t>
  </si>
  <si>
    <t>02.05.03.02.01</t>
  </si>
  <si>
    <t>02.05.03.02.02</t>
  </si>
  <si>
    <t>02.05.03.02.03</t>
  </si>
  <si>
    <t>02.05.03.03</t>
  </si>
  <si>
    <t>02.05.03.03.01</t>
  </si>
  <si>
    <t>02.05.03.03.02</t>
  </si>
  <si>
    <t>02.05.03.03.03</t>
  </si>
  <si>
    <t>02.05.04</t>
  </si>
  <si>
    <t>02.05.04.01</t>
  </si>
  <si>
    <t>02.06</t>
  </si>
  <si>
    <t>02.06.01</t>
  </si>
  <si>
    <t>02.06.01.01</t>
  </si>
  <si>
    <t>02.06.01.02</t>
  </si>
  <si>
    <t>02.06.02</t>
  </si>
  <si>
    <t>02.06.02.01</t>
  </si>
  <si>
    <t>02.06.02.02</t>
  </si>
  <si>
    <t>02.06.02.03</t>
  </si>
  <si>
    <t>02.06.03</t>
  </si>
  <si>
    <t>02.06.03.01</t>
  </si>
  <si>
    <t>02.06.03.02</t>
  </si>
  <si>
    <t>02.07</t>
  </si>
  <si>
    <t>02.07.01</t>
  </si>
  <si>
    <t>02.07.01.01</t>
  </si>
  <si>
    <t>02.07.01.02</t>
  </si>
  <si>
    <t>02.07.02</t>
  </si>
  <si>
    <t>02.07.02.01</t>
  </si>
  <si>
    <t>02.07.02.02</t>
  </si>
  <si>
    <t>02.08</t>
  </si>
  <si>
    <t>02.08.01</t>
  </si>
  <si>
    <t>02.08.01.01</t>
  </si>
  <si>
    <t>02.08.01.02</t>
  </si>
  <si>
    <t>02.08.01.03</t>
  </si>
  <si>
    <t>02.08.02</t>
  </si>
  <si>
    <t>02.08.02.01</t>
  </si>
  <si>
    <t>02.08.02.02</t>
  </si>
  <si>
    <t>02.08.03</t>
  </si>
  <si>
    <t>02.08.03.01</t>
  </si>
  <si>
    <t>02.08.03.01.01</t>
  </si>
  <si>
    <t>02.08.03.01.02</t>
  </si>
  <si>
    <t>02.08.04</t>
  </si>
  <si>
    <t>02.08.04.01</t>
  </si>
  <si>
    <t>02.08.04.02</t>
  </si>
  <si>
    <t>02.08.04.03</t>
  </si>
  <si>
    <t>02.08.04.04</t>
  </si>
  <si>
    <t>02.08.04.05</t>
  </si>
  <si>
    <t>02.08.05</t>
  </si>
  <si>
    <t>02.08.05.01</t>
  </si>
  <si>
    <t>03.01.01.01</t>
  </si>
  <si>
    <t>03.01.01.02</t>
  </si>
  <si>
    <t>03.01.02.01</t>
  </si>
  <si>
    <t>03.01.02.02</t>
  </si>
  <si>
    <t>03.01.02.03</t>
  </si>
  <si>
    <t>03.01.02.04</t>
  </si>
  <si>
    <t>03.01.02.05</t>
  </si>
  <si>
    <t>03.01.02.06</t>
  </si>
  <si>
    <t>03.01.02.07</t>
  </si>
  <si>
    <t>03.01.03.01</t>
  </si>
  <si>
    <t>03.01.04.01</t>
  </si>
  <si>
    <t>03.01.04.02</t>
  </si>
  <si>
    <t>03.01.04.03</t>
  </si>
  <si>
    <t>03.01.05.01</t>
  </si>
  <si>
    <t>03.01.05.02</t>
  </si>
  <si>
    <t>03.01.06.01</t>
  </si>
  <si>
    <t>03.01.07.01</t>
  </si>
  <si>
    <t>03.01.07.02</t>
  </si>
  <si>
    <t>03.01.07.03</t>
  </si>
  <si>
    <t>03.01.08.01</t>
  </si>
  <si>
    <t>03.01.08.02</t>
  </si>
  <si>
    <t>03.01.09</t>
  </si>
  <si>
    <t>03.01.09.01</t>
  </si>
  <si>
    <t>03.01.10</t>
  </si>
  <si>
    <t>03.01.10.01</t>
  </si>
  <si>
    <t>03.01.10.02</t>
  </si>
  <si>
    <t>03.01.11</t>
  </si>
  <si>
    <t>03.01.11.01</t>
  </si>
  <si>
    <t>03.01.11.02</t>
  </si>
  <si>
    <t>03.01.12</t>
  </si>
  <si>
    <t>03.01.12.01</t>
  </si>
  <si>
    <t>03.01.12.02</t>
  </si>
  <si>
    <t>03.01.12.03</t>
  </si>
  <si>
    <t>03.01.12.04</t>
  </si>
  <si>
    <t>03.01.12.05</t>
  </si>
  <si>
    <t>03.01.12.06</t>
  </si>
  <si>
    <t>03.01.12.07</t>
  </si>
  <si>
    <t>03.01.13</t>
  </si>
  <si>
    <t>03.01.13.01</t>
  </si>
  <si>
    <t>03.01.13.02</t>
  </si>
  <si>
    <t>03.01.13.03</t>
  </si>
  <si>
    <t>03.02.01.01</t>
  </si>
  <si>
    <t>03.02.01.02</t>
  </si>
  <si>
    <t>03.02.02.01</t>
  </si>
  <si>
    <t>03.02.02.02</t>
  </si>
  <si>
    <t>03.02.02.03</t>
  </si>
  <si>
    <t>03.02.02.04</t>
  </si>
  <si>
    <t>03.02.02.05</t>
  </si>
  <si>
    <t>03.02.02.06</t>
  </si>
  <si>
    <t>03.02.02.07</t>
  </si>
  <si>
    <t>03.02.03.01</t>
  </si>
  <si>
    <t>03.02.04.01</t>
  </si>
  <si>
    <t>03.02.04.02</t>
  </si>
  <si>
    <t>03.02.04.03</t>
  </si>
  <si>
    <t>03.02.04.04</t>
  </si>
  <si>
    <t>03.02.05.01</t>
  </si>
  <si>
    <t>03.02.06.01</t>
  </si>
  <si>
    <t>03.02.06.02</t>
  </si>
  <si>
    <t>03.02.06.03</t>
  </si>
  <si>
    <t>03.02.06.04</t>
  </si>
  <si>
    <t>03.02.07.01</t>
  </si>
  <si>
    <t>03.02.07.02</t>
  </si>
  <si>
    <t>03.02.07.03</t>
  </si>
  <si>
    <t>03.02.08.01</t>
  </si>
  <si>
    <t>03.02.08.02</t>
  </si>
  <si>
    <t>03.02.09</t>
  </si>
  <si>
    <t>03.02.09.01</t>
  </si>
  <si>
    <t>03.02.10</t>
  </si>
  <si>
    <t>03.02.10.01</t>
  </si>
  <si>
    <t>03.02.10.02</t>
  </si>
  <si>
    <t>03.02.10.03</t>
  </si>
  <si>
    <t>03.02.11</t>
  </si>
  <si>
    <t>03.02.11.01</t>
  </si>
  <si>
    <t>03.02.11.02</t>
  </si>
  <si>
    <t>03.02.12</t>
  </si>
  <si>
    <t>03.02.12.01</t>
  </si>
  <si>
    <t>03.02.12.02</t>
  </si>
  <si>
    <t>03.02.12.03</t>
  </si>
  <si>
    <t>03.02.12.04</t>
  </si>
  <si>
    <t>03.02.12.05</t>
  </si>
  <si>
    <t>03.02.12.06</t>
  </si>
  <si>
    <t>03.02.12.07</t>
  </si>
  <si>
    <t>03.02.13</t>
  </si>
  <si>
    <t>03.02.13.01</t>
  </si>
  <si>
    <t>03.02.13.02</t>
  </si>
  <si>
    <t>03.02.13.03</t>
  </si>
  <si>
    <t>03.03.01.01</t>
  </si>
  <si>
    <t>03.03.01.02</t>
  </si>
  <si>
    <t>03.03.02.01</t>
  </si>
  <si>
    <t>03.03.02.02</t>
  </si>
  <si>
    <t>03.03.02.03</t>
  </si>
  <si>
    <t>03.03.02.04</t>
  </si>
  <si>
    <t>03.03.02.05</t>
  </si>
  <si>
    <t>03.03.02.06</t>
  </si>
  <si>
    <t>03.03.02.07</t>
  </si>
  <si>
    <t>03.03.03.01</t>
  </si>
  <si>
    <t>03.03.04</t>
  </si>
  <si>
    <t>03.03.04.01</t>
  </si>
  <si>
    <t>03.03.04.02</t>
  </si>
  <si>
    <t>03.03.04.03</t>
  </si>
  <si>
    <t>03.03.05</t>
  </si>
  <si>
    <t>03.03.05.01</t>
  </si>
  <si>
    <t>03.03.05.02</t>
  </si>
  <si>
    <t>03.03.06</t>
  </si>
  <si>
    <t>03.03.06.01</t>
  </si>
  <si>
    <t>03.03.07</t>
  </si>
  <si>
    <t>03.03.07.01</t>
  </si>
  <si>
    <t>03.03.07.02</t>
  </si>
  <si>
    <t>03.03.07.03</t>
  </si>
  <si>
    <t>03.03.08</t>
  </si>
  <si>
    <t>03.03.08.01</t>
  </si>
  <si>
    <t>03.03.08.02</t>
  </si>
  <si>
    <t>03.03.09</t>
  </si>
  <si>
    <t>03.03.09.01</t>
  </si>
  <si>
    <t>03.03.09.02</t>
  </si>
  <si>
    <t>03.03.10</t>
  </si>
  <si>
    <t>03.03.10.01</t>
  </si>
  <si>
    <t>03.03.10.02</t>
  </si>
  <si>
    <t>03.03.10.03</t>
  </si>
  <si>
    <t>03.03.11</t>
  </si>
  <si>
    <t>03.03.11.01</t>
  </si>
  <si>
    <t>03.03.11.02</t>
  </si>
  <si>
    <t>03.03.12</t>
  </si>
  <si>
    <t>03.03.12.01</t>
  </si>
  <si>
    <t>03.03.12.02</t>
  </si>
  <si>
    <t>03.03.12.03</t>
  </si>
  <si>
    <t>03.03.12.04</t>
  </si>
  <si>
    <t>03.03.12.05</t>
  </si>
  <si>
    <t>03.03.12.06</t>
  </si>
  <si>
    <t>03.03.12.07</t>
  </si>
  <si>
    <t>03.03.13</t>
  </si>
  <si>
    <t>03.03.13.01</t>
  </si>
  <si>
    <t>03.03.13.02</t>
  </si>
  <si>
    <t>03.03.13.03</t>
  </si>
  <si>
    <t>03.04.02.02</t>
  </si>
  <si>
    <t>03.04.02.03</t>
  </si>
  <si>
    <t>03.04.02.04</t>
  </si>
  <si>
    <t>03.04.02.05</t>
  </si>
  <si>
    <t>03.04.02.06</t>
  </si>
  <si>
    <t>03.04.02.07</t>
  </si>
  <si>
    <t>03.04.04</t>
  </si>
  <si>
    <t>03.04.04.01</t>
  </si>
  <si>
    <t>03.04.04.02</t>
  </si>
  <si>
    <t>03.04.04.03</t>
  </si>
  <si>
    <t>03.04.05</t>
  </si>
  <si>
    <t>03.04.05.01</t>
  </si>
  <si>
    <t>03.04.06</t>
  </si>
  <si>
    <t>03.04.06.01</t>
  </si>
  <si>
    <t>03.04.06.02</t>
  </si>
  <si>
    <t>03.04.06.03</t>
  </si>
  <si>
    <t>03.04.06.04</t>
  </si>
  <si>
    <t>03.04.07</t>
  </si>
  <si>
    <t>03.04.07.01</t>
  </si>
  <si>
    <t>03.04.07.02</t>
  </si>
  <si>
    <t>03.04.08</t>
  </si>
  <si>
    <t>03.04.08.01</t>
  </si>
  <si>
    <t>03.04.08.02</t>
  </si>
  <si>
    <t>03.04.09</t>
  </si>
  <si>
    <t>03.04.09.01</t>
  </si>
  <si>
    <t>03.04.09.02</t>
  </si>
  <si>
    <t>03.04.09.03</t>
  </si>
  <si>
    <t>03.04.10</t>
  </si>
  <si>
    <t>03.04.10.01</t>
  </si>
  <si>
    <t>03.04.10.02</t>
  </si>
  <si>
    <t>03.04.11</t>
  </si>
  <si>
    <t>03.04.11.01</t>
  </si>
  <si>
    <t>03.04.11.02</t>
  </si>
  <si>
    <t>03.04.11.03</t>
  </si>
  <si>
    <t>03.04.11.04</t>
  </si>
  <si>
    <t>03.04.11.05</t>
  </si>
  <si>
    <t>03.04.11.06</t>
  </si>
  <si>
    <t>03.04.11.07</t>
  </si>
  <si>
    <t>03.04.12</t>
  </si>
  <si>
    <t>03.04.12.01</t>
  </si>
  <si>
    <t>03.04.12.02</t>
  </si>
  <si>
    <t>03.04.12.03</t>
  </si>
  <si>
    <t>03.05.02</t>
  </si>
  <si>
    <t>03.05.02.01</t>
  </si>
  <si>
    <t>03.05.02.02</t>
  </si>
  <si>
    <t>03.05.02.03</t>
  </si>
  <si>
    <t>03.05.03</t>
  </si>
  <si>
    <t>03.05.03.01</t>
  </si>
  <si>
    <t>03.05.04</t>
  </si>
  <si>
    <t>03.05.04.01</t>
  </si>
  <si>
    <t>03.05.04.02</t>
  </si>
  <si>
    <t>03.05.04.03</t>
  </si>
  <si>
    <t>03.06</t>
  </si>
  <si>
    <t>03.06.01</t>
  </si>
  <si>
    <t>03.06.02</t>
  </si>
  <si>
    <t>03.07</t>
  </si>
  <si>
    <t>03.07.01</t>
  </si>
  <si>
    <t>03.07.01.01</t>
  </si>
  <si>
    <t>03.07.01.02</t>
  </si>
  <si>
    <t>03.07.02</t>
  </si>
  <si>
    <t>03.07.02.01</t>
  </si>
  <si>
    <t>03.07.02.02</t>
  </si>
  <si>
    <t>03.07.03</t>
  </si>
  <si>
    <t>03.07.03.01</t>
  </si>
  <si>
    <t>03.07.04</t>
  </si>
  <si>
    <t>03.07.04.01</t>
  </si>
  <si>
    <t>03.07.04.02</t>
  </si>
  <si>
    <t>03.08</t>
  </si>
  <si>
    <t>03.08.01</t>
  </si>
  <si>
    <t>03.08.01.01</t>
  </si>
  <si>
    <t>03.08.02</t>
  </si>
  <si>
    <t>03.08.02.01</t>
  </si>
  <si>
    <t>03.08.02.02</t>
  </si>
  <si>
    <t>03.08.03</t>
  </si>
  <si>
    <t>03.08.03.01</t>
  </si>
  <si>
    <t>03.08.04</t>
  </si>
  <si>
    <t>03.08.04.01</t>
  </si>
  <si>
    <t>03.09</t>
  </si>
  <si>
    <t>03.09.01</t>
  </si>
  <si>
    <t>03.09.01.01</t>
  </si>
  <si>
    <t>03.09.01.02</t>
  </si>
  <si>
    <t>03.09.01.03</t>
  </si>
  <si>
    <t>04.01.04</t>
  </si>
  <si>
    <t>04.01.05</t>
  </si>
  <si>
    <t>04.01.06</t>
  </si>
  <si>
    <t>04.01.07</t>
  </si>
  <si>
    <t>04.01.08</t>
  </si>
  <si>
    <t>04.01.09</t>
  </si>
  <si>
    <t>04.01.10</t>
  </si>
  <si>
    <t>04.01.11</t>
  </si>
  <si>
    <t>04.02.04</t>
  </si>
  <si>
    <t>04.02.05</t>
  </si>
  <si>
    <t>04.02.06</t>
  </si>
  <si>
    <t>04.02.07</t>
  </si>
  <si>
    <t>04.02.08</t>
  </si>
  <si>
    <t>04.02.09</t>
  </si>
  <si>
    <t>04.02.10</t>
  </si>
  <si>
    <t>04.03.03</t>
  </si>
  <si>
    <t>04.03.04</t>
  </si>
  <si>
    <t>04.04.05</t>
  </si>
  <si>
    <t>04.05.04</t>
  </si>
  <si>
    <t>04.05.05</t>
  </si>
  <si>
    <t>04.05.06</t>
  </si>
  <si>
    <t>04.06</t>
  </si>
  <si>
    <t>04.07</t>
  </si>
  <si>
    <t>04.07.01</t>
  </si>
  <si>
    <t>04.07.02</t>
  </si>
  <si>
    <t>04.07.03</t>
  </si>
  <si>
    <t>04.07.04</t>
  </si>
  <si>
    <t>04.07.05</t>
  </si>
  <si>
    <t>04.07.06</t>
  </si>
  <si>
    <t>04.07.07</t>
  </si>
  <si>
    <t>04.07.08</t>
  </si>
  <si>
    <t>04.07.09</t>
  </si>
  <si>
    <t>04.07.10</t>
  </si>
  <si>
    <t>04.07.11</t>
  </si>
  <si>
    <t>04.07.12</t>
  </si>
  <si>
    <t>04.07.13</t>
  </si>
  <si>
    <t>05.01.01</t>
  </si>
  <si>
    <t>05.01.01.01</t>
  </si>
  <si>
    <t>05.01.01.02</t>
  </si>
  <si>
    <t>05.01.01.03</t>
  </si>
  <si>
    <t>05.01.01.04</t>
  </si>
  <si>
    <t>05.01.02</t>
  </si>
  <si>
    <t>05.01.02.01</t>
  </si>
  <si>
    <t>05.01.02.02</t>
  </si>
  <si>
    <t>05.01.03</t>
  </si>
  <si>
    <t>05.01.03.01</t>
  </si>
  <si>
    <t>05.01.03.02</t>
  </si>
  <si>
    <t>05.01.03.03</t>
  </si>
  <si>
    <t>05.01.03.04</t>
  </si>
  <si>
    <t>05.01.03.05</t>
  </si>
  <si>
    <t>05.01.04</t>
  </si>
  <si>
    <t>05.01.04.01</t>
  </si>
  <si>
    <t>05.01.04.02</t>
  </si>
  <si>
    <t>05.01.04.03</t>
  </si>
  <si>
    <t>05.01.05</t>
  </si>
  <si>
    <t>05.01.05.01</t>
  </si>
  <si>
    <t>05.01.05.02</t>
  </si>
  <si>
    <t>05.01.05.03</t>
  </si>
  <si>
    <t>05.01.05.04</t>
  </si>
  <si>
    <t>05.01.05.05</t>
  </si>
  <si>
    <t>05.01.06</t>
  </si>
  <si>
    <t>05.01.06.01</t>
  </si>
  <si>
    <t>05.01.06.02</t>
  </si>
  <si>
    <t>05.01.06.03</t>
  </si>
  <si>
    <t>05.01.06.04</t>
  </si>
  <si>
    <t>05.01.06.05</t>
  </si>
  <si>
    <t>05.01.07</t>
  </si>
  <si>
    <t>05.01.07.01</t>
  </si>
  <si>
    <t>05.01.08</t>
  </si>
  <si>
    <t>05.01.08.01</t>
  </si>
  <si>
    <t>05.02.01</t>
  </si>
  <si>
    <t>05.02.01.01</t>
  </si>
  <si>
    <t>05.02.02</t>
  </si>
  <si>
    <t>05.02.02.01</t>
  </si>
  <si>
    <t>05.02.03</t>
  </si>
  <si>
    <t>05.02.03.01</t>
  </si>
  <si>
    <t>05.02.04</t>
  </si>
  <si>
    <t>05.02.04.01</t>
  </si>
  <si>
    <t>05.02.05</t>
  </si>
  <si>
    <t>05.02.05.01</t>
  </si>
  <si>
    <t>05.03</t>
  </si>
  <si>
    <t>05.03.01</t>
  </si>
  <si>
    <t>05.03.01.01</t>
  </si>
  <si>
    <t>05.03.02</t>
  </si>
  <si>
    <t>05.03.02.01</t>
  </si>
  <si>
    <t>05.03.03</t>
  </si>
  <si>
    <t>05.03.03.01</t>
  </si>
  <si>
    <t>05.03.04</t>
  </si>
  <si>
    <t>05.03.04.01</t>
  </si>
  <si>
    <t>05.03.05</t>
  </si>
  <si>
    <t>05.03.05.01</t>
  </si>
  <si>
    <t>05.03.06</t>
  </si>
  <si>
    <t>05.03.06.01</t>
  </si>
  <si>
    <t>05.03.07</t>
  </si>
  <si>
    <t>05.03.07.01</t>
  </si>
  <si>
    <t>05.03.08</t>
  </si>
  <si>
    <t>05.03.08.01</t>
  </si>
  <si>
    <t>05.04</t>
  </si>
  <si>
    <t>05.04.01</t>
  </si>
  <si>
    <t>05.04.01.01</t>
  </si>
  <si>
    <t>05.04.02</t>
  </si>
  <si>
    <t>05.04.02.01</t>
  </si>
  <si>
    <t>05.04.03</t>
  </si>
  <si>
    <t>05.04.03.01</t>
  </si>
  <si>
    <t>05.04.04</t>
  </si>
  <si>
    <t>05.04.04.01</t>
  </si>
  <si>
    <t>05.04.04.02</t>
  </si>
  <si>
    <t>05.04.05</t>
  </si>
  <si>
    <t>05.04.05.01</t>
  </si>
  <si>
    <t>05.04.06</t>
  </si>
  <si>
    <t>05.04.06.01</t>
  </si>
  <si>
    <t>05.04.07</t>
  </si>
  <si>
    <t>05.04.07.01</t>
  </si>
  <si>
    <t>05.04.08</t>
  </si>
  <si>
    <t>05.04.08.01</t>
  </si>
  <si>
    <t>OBRAS PROVISIONALES, TRABAJOS PRELIMINARES, SEGURIDAD Y SALUD</t>
  </si>
  <si>
    <t>CONSTRUCCIONES PROVISIONALES</t>
  </si>
  <si>
    <t>ALMACEN OFICINA Y CASETA DE GUARDIAN</t>
  </si>
  <si>
    <t>SERVICIOS HIGIENICOS PROVISIONALES</t>
  </si>
  <si>
    <t>SERVICIO DE AGUA POTABLE PROVICIONAL</t>
  </si>
  <si>
    <t>SERVICIO DE ENERGIA ELECTRICA PROVISIONAL</t>
  </si>
  <si>
    <t>CARTEL DE IDENTIFICACION DE LA OBRA DE 3.60 X 2.40 m</t>
  </si>
  <si>
    <t>LIMPIEZA DE TERRENO MANUAL</t>
  </si>
  <si>
    <t>EXCAVACION MASIVA</t>
  </si>
  <si>
    <t>ELIMINACION MATERIAL EXCEDENTE PROCEDENTE DE CORTE</t>
  </si>
  <si>
    <t>MOVILIZACION DE CAMPAMENTO, MAQUINARIA Y HERRAMIENTAS</t>
  </si>
  <si>
    <t>MOVILIZACION DE CAMPAMENTO, MAQUINARIA Y HERRAMIENAS</t>
  </si>
  <si>
    <t>TRANSPORTE DE MATERIALES ABANCAY - PICHIUCA</t>
  </si>
  <si>
    <t>TRAZO NIVELES Y REPLANTEO</t>
  </si>
  <si>
    <t>TRAZO Y REPLANTEO PRELIMINAR</t>
  </si>
  <si>
    <t>SEGURIDAD Y SALUD</t>
  </si>
  <si>
    <t>ELABORACION E IMPLEMENTACION DEL PLAN DE SEGURIDAD Y SALUD EN EL TRABAJO</t>
  </si>
  <si>
    <t>EQUIPOS DE PROTECCION INDIVIDUAL</t>
  </si>
  <si>
    <t>EQUIPOS DE PROTECCION COLECTIVA</t>
  </si>
  <si>
    <t>SEÑALIZACION TEMPORAL DE SEGURIDAD</t>
  </si>
  <si>
    <t>CAPACITACION EN SEGURIDAD Y SALUD</t>
  </si>
  <si>
    <t>RECURSOS PARA RESPUESTA ANTE EMERGENCIA EN SEGURIDAD Y SALUD DURANTE EL TRABAJO</t>
  </si>
  <si>
    <t>ESTRUCTURAS</t>
  </si>
  <si>
    <t>AREA ADMINSTRATIVA y AMBIENTES COMPLEMENTARIOS (Bloque - 04)</t>
  </si>
  <si>
    <t>EXCAVACION PARA ZAPATAS EN TERRENO NORMAL</t>
  </si>
  <si>
    <t>EXCAVACION PARA VIGAS DE CIMENTACION Y CIMIENTOS CORRIDOS EN TERRENO NORMAL</t>
  </si>
  <si>
    <t>RELLENO Y COMPACTADO CON MATERIAL PROPIO EN ZAPATAS Y CIMIENTOS</t>
  </si>
  <si>
    <t>NIVELACION INTERIOR APISONADO MANUAL</t>
  </si>
  <si>
    <t>ACARREO INTERNO, MATERIAL PROCEDENTE DE EXCAVACIONES</t>
  </si>
  <si>
    <t>ELIMINACION MATERIAL EXCEDENTE</t>
  </si>
  <si>
    <t>OBRAS CONCRETO SIMPLE</t>
  </si>
  <si>
    <t>FALSA ZAPATA C:H 1:10+30% P.G.</t>
  </si>
  <si>
    <t>SOLADOS CONCRETO fc=140 kg/cm2 e=4"</t>
  </si>
  <si>
    <t>CONCRETO fc = 140 kg/cm2+30% PG PARA CIMIENTOS CORRIDOS</t>
  </si>
  <si>
    <t>CONCRETO fc = 175 kg/cm2+25% PM PARA SOBRECIMIENTOS</t>
  </si>
  <si>
    <t>ENCOFRADO Y DESENCOFRADO NORMAL PARA SOBRECIMIENTOS</t>
  </si>
  <si>
    <t>FALSO PISO DE 4" DE CONCRETO 1:8, F'C=140kg/cm2</t>
  </si>
  <si>
    <t>OBRAS CONCRETO ARMADO</t>
  </si>
  <si>
    <t>ZAPATAS</t>
  </si>
  <si>
    <t>CONCRETO fc= 210 kg/cm2 EN ZAPATAS</t>
  </si>
  <si>
    <t>ACERO fy=4200 kg/cm2 GRADO 60 EN ZAPATAS</t>
  </si>
  <si>
    <t>VIGAS DE CIMENTACION</t>
  </si>
  <si>
    <t>CONCRETO fc= 210 kg/cm2 EN VIGAS DE CIMENTACION</t>
  </si>
  <si>
    <t>ENCOFRADO Y DESENCOFRADO EN VIGAS DE CIMENTACION</t>
  </si>
  <si>
    <t>ACERO fy=4200 kg/cm2 GRADO 60 VIGAS DE CIMENTACION</t>
  </si>
  <si>
    <t>COLUMNAS</t>
  </si>
  <si>
    <t>CONCRETO fc= 210 kg/cm2 EN COLUMNAS</t>
  </si>
  <si>
    <t>ENCOFRADO Y DESENCOFRADO EN COLUMNAS</t>
  </si>
  <si>
    <t>ACERO fy=4200 kg/cm2 GRADO 60 EN COLUMNAS</t>
  </si>
  <si>
    <t>ELEMENTOS DE CONFINAMIENTO</t>
  </si>
  <si>
    <t>CONCRETO f'c= 210 kg/cm2 EN ELEMENTOS DE CONFINAMIENTO</t>
  </si>
  <si>
    <t>ENCOFRADO Y DESENCOFRADO EN ELEMENTOS DE CONFINAMIENTO</t>
  </si>
  <si>
    <t>ACERO fy=4200 kg/cm2 GRADO 60 EN ELEMENTOS DE CONFINAMIENTO</t>
  </si>
  <si>
    <t>VIGAS</t>
  </si>
  <si>
    <t>CONCRETO f'c= 210 kg/cm2 EN VIGAS</t>
  </si>
  <si>
    <t>ENCOFRADO Y DESENCOFRADO EN VIGAS</t>
  </si>
  <si>
    <t>ACERO fy=4200 kg/cm2 GRADO 60 EN VIGAS</t>
  </si>
  <si>
    <t>LOSAS ALIGERADAS H= 0.20CM</t>
  </si>
  <si>
    <t>CONCRETO f'c= 210 kg/cm2 EN LOSAS ALIGERADAS</t>
  </si>
  <si>
    <t>ENCOFRADO Y DESENCOFRADO EN LOSAS ALIGERADAS</t>
  </si>
  <si>
    <t>ACERO fy=4200 kg/cm2 GRADO 60 EN LOSAS ALIGERADAS</t>
  </si>
  <si>
    <t>LADRILLO DE ARCILLA HUECO 15X30X30 cm PROVEIDO Y COLOCADO</t>
  </si>
  <si>
    <t>PARAPETOS</t>
  </si>
  <si>
    <t>CONCRETO f'c= 210 kg/cm2 EN PARAPETO</t>
  </si>
  <si>
    <t>ENCOFRADO Y DESENCOFRADO</t>
  </si>
  <si>
    <t>ACERO fy=4200 kg/cm2 GRADO 60 EN PARAPETO</t>
  </si>
  <si>
    <t>COBERTURAS</t>
  </si>
  <si>
    <t>CORREAS DE TUBO LAC 2"X2"X2mm</t>
  </si>
  <si>
    <t>OTROS</t>
  </si>
  <si>
    <t>JUNTAS DE CONSTRUCCION ENTRE MUROS Y COLUMNAS</t>
  </si>
  <si>
    <t>AULA, DEPOSITO DE MATERIALES y SS.HH. (Bloque - 02)</t>
  </si>
  <si>
    <t>SOLADOS CONCRETO f'c=140 kg/cm2 e=4"</t>
  </si>
  <si>
    <t>CONCRETO f'c = 140 kg/cm2+30% PG PARA CIMIENTOS CORRIDOS</t>
  </si>
  <si>
    <t>CONCRETO f'c = 175 kg/cm2+25% PM PARA SOBRECIMIENTOS</t>
  </si>
  <si>
    <t>CONCRETO f'c= 210 kg/cm2 EN ZAPATAS</t>
  </si>
  <si>
    <t>CONCRETO f'c= 210 kg/cm2 EN VIGAS DE CIMENTACION</t>
  </si>
  <si>
    <t>CONCRETO f'c= 210 kg/cm2 EN COLUMNAS</t>
  </si>
  <si>
    <t>AULA DE PSICOMOTRICIDAD, COCINA, DEPOSITO DE ALIMENTOS Y LIMPIEZA (Bloque - 03)</t>
  </si>
  <si>
    <t>RESIDENCIA DOCENTE - BLOQUE - 01</t>
  </si>
  <si>
    <t>CERCO PERIMETRICO</t>
  </si>
  <si>
    <t>EXCAVACION DE ZANJAS EN TERRENO NORMAL</t>
  </si>
  <si>
    <t>SOBRECIMIENTOS REFORZADOS</t>
  </si>
  <si>
    <t>ENCOFRADO Y DESENCOFRADO NORMAL PARA SOBRECIMIENTO</t>
  </si>
  <si>
    <t>ACERO fy=4200 kg/cm2 GRADO 60 EN SOBRECIMIENTO</t>
  </si>
  <si>
    <t>JUNTAS DE CONSTRUCCION</t>
  </si>
  <si>
    <t>MUROS DE CONTENCION DE CONCRETO ARMADO</t>
  </si>
  <si>
    <t>MUROS ESTRUCTURALES</t>
  </si>
  <si>
    <t>CONCRETO f'c= 210 kg/cm2 EN MUROS</t>
  </si>
  <si>
    <t>ENCOFRADO Y DESENCOFRADO EN MUROS</t>
  </si>
  <si>
    <t>ACERO fy=4200 kg/cm2 GRADO 60 EN MUROS</t>
  </si>
  <si>
    <t>BARBACANES CON TUBERIA DE PVC 2"</t>
  </si>
  <si>
    <t>MURO DE CONTENCION DE CONCRETO SIMPLE</t>
  </si>
  <si>
    <t>ENCOFRADO Y DESENCOFRADO NORMAL EN MUROS</t>
  </si>
  <si>
    <t>PATIO MULTIUSOS</t>
  </si>
  <si>
    <t>EXCAVACION DE ZAPATAS EN TERRENO NORMAL</t>
  </si>
  <si>
    <t>PISO DE CONCRETO F'C=140kg/cm2 E=4"</t>
  </si>
  <si>
    <t>ESTRUCTURAS METALICAS</t>
  </si>
  <si>
    <t>COLUMNA METALICA de 8" x 6" x 6mm</t>
  </si>
  <si>
    <t>VIGAS METALICAS de 3" x 2" x 2mm</t>
  </si>
  <si>
    <t>VIGAS METALICAS de 2" x 2" x 3mm</t>
  </si>
  <si>
    <t>CORREAS DE TUBO LAC 3"X2"X3mm..</t>
  </si>
  <si>
    <t>PROTECCION ACOLCHADA DE COLUMNAS</t>
  </si>
  <si>
    <t>ARQUITECTURA</t>
  </si>
  <si>
    <t>AULA DE PSICOMOTRICIDAD, COCINA, DEPOSITO DE ALIMENTOS (Bloque - 03)</t>
  </si>
  <si>
    <t>MUROS DE ALBAÑILERIA</t>
  </si>
  <si>
    <t>MURO DE CABEZA LADRILLO KING-KONG DE ARCILLA</t>
  </si>
  <si>
    <t>MURO DE SOGA LADRILLO KING-KONG DE ARCILLA</t>
  </si>
  <si>
    <t>REVOQUES ENLUCIDOS Y MOLDURAS</t>
  </si>
  <si>
    <t>TARRAJEO EN MUROS INTERIORES MEZCLA 1:5 CEMENTO:ARENA</t>
  </si>
  <si>
    <t>TARRAJEO EN MUROS EXTERIORES MEZCLA 1:5 CEMENTO:ARENA</t>
  </si>
  <si>
    <t>TARRAJEO DE SUPERFICIE COLUMNAS INCL. ARISTAS MEZCLA 1:5</t>
  </si>
  <si>
    <t>TARRAJEO DE SUPERF.VIGAS INCL.ARISTAS, MEZCLA 1:5 CEMENTO:ARENA</t>
  </si>
  <si>
    <t>TARRAJEO CON IMPERMEABILIZANTE EN CANALETA DE EVACUACION</t>
  </si>
  <si>
    <t>VESTIDURA DE DERRAMES</t>
  </si>
  <si>
    <t>BRUÑAS DE 1 CM SEGUN DETALLE</t>
  </si>
  <si>
    <t>CIELORRASOS</t>
  </si>
  <si>
    <t>CIELORRASOS CON MEZCLA C:A 1:5 e= 1.5 CM</t>
  </si>
  <si>
    <t>PISOS Y PAVIMENTOS</t>
  </si>
  <si>
    <t>CONTRAPISO DE 40 MM</t>
  </si>
  <si>
    <t>PISO DE PORCELANATO ANTIDESLIZANTE 0.60 x 0.60 m.</t>
  </si>
  <si>
    <t>PISO DE CERAMICO ANTIDESLIZANTE 0.45X0.45 M.</t>
  </si>
  <si>
    <t>SARDINELES</t>
  </si>
  <si>
    <t>SARDINELES DE CONCRETO DE f'c=175 kg/cm2</t>
  </si>
  <si>
    <t>ENCOFRADO Y DESENCOFRADO DE SARDINEL</t>
  </si>
  <si>
    <t>VEREDAS</t>
  </si>
  <si>
    <t>VEREDA DE CONCRETO PULIDO, BRUÑADO Y COLOREADO</t>
  </si>
  <si>
    <t>ZOCALOS Y CONTRAZOCALOS</t>
  </si>
  <si>
    <t>ZOCALO DE CONCRETO PULIDO C/MORTERO 1:5 C:A</t>
  </si>
  <si>
    <t>CONTRAZOCALO DE CERAMICO 45CMX10CM</t>
  </si>
  <si>
    <t>CONTRAZOCALO DE PORCELANATO H=0.10M</t>
  </si>
  <si>
    <t>COBERTURA DE PLACA ONDUVILLA</t>
  </si>
  <si>
    <t>CUMBRERA DE ONDUVILLA</t>
  </si>
  <si>
    <t>CARPINTERIA DE MADERA</t>
  </si>
  <si>
    <t>PUERTA DE TABLERO REBAJADO CON SOBRELUZ DE CRISTAL LAMINADO DE 6mm. INCOLORO</t>
  </si>
  <si>
    <t>CERRAJERIA</t>
  </si>
  <si>
    <t>BISAGRA CAPUCHINA DE 4"</t>
  </si>
  <si>
    <t>CERRADURA PARA PUERTA DE DOS GOLPES</t>
  </si>
  <si>
    <t>VIDRIOS, CRISTALES Y SIMILARES</t>
  </si>
  <si>
    <t>VIDRIO SISTEMA NOVA INC. ACCESORIOS</t>
  </si>
  <si>
    <t>SUMINISTRO Y COLOCACION DE VIDRIO TRANSPARENTE DE 6mm</t>
  </si>
  <si>
    <t>PINTURA</t>
  </si>
  <si>
    <t>PINTURA EN CIELORRASO</t>
  </si>
  <si>
    <t>PINTURA EN MUROS INTERIORES</t>
  </si>
  <si>
    <t>PINTURA EN MUROS EXTERIORES</t>
  </si>
  <si>
    <t>PINTURA LATEX EN COLUMNAS</t>
  </si>
  <si>
    <t>PINTURA LATEX EN VIGAS</t>
  </si>
  <si>
    <t>PINTURA EN CONTRAZOCALOS Y ZOCALOS H= 0.40M C/ESMALTE</t>
  </si>
  <si>
    <t>PINTURA EN PUERTAS C/BARNIZ 2 MANOS</t>
  </si>
  <si>
    <t>VARIOS, LIMPIEZA, JARDINERIA</t>
  </si>
  <si>
    <t>LETREROS DE SEÑALIZACIÓN</t>
  </si>
  <si>
    <t>LIMPIEZA FINAL</t>
  </si>
  <si>
    <t>LIMPIEZA DE VIDRIOS</t>
  </si>
  <si>
    <t>AULA, DEPOSITO DE MATERIALES y SS.HH. (BLOQUE - 02)</t>
  </si>
  <si>
    <t>PISO DE MADERA MACHIHEMBRADA AGUANO</t>
  </si>
  <si>
    <t>ZOCALO DE CERAMICO 20X30CM</t>
  </si>
  <si>
    <t>CONTRAZOCALO DE MADERA AGUANO DE 4" RODON 1"</t>
  </si>
  <si>
    <t>COBERTURA CON LADRILLO PASTELERO</t>
  </si>
  <si>
    <t>PUERTA DE TABLERO REBAJADO CON SOBRELUZ DE CRISTAL LAMINADO DE 6.0mm. INCOLORO</t>
  </si>
  <si>
    <t>PUERTA CONTRAPLACADA. CON SOBRELUZ DE REJILLAS DE MADERA Y REJILLA INFERIOR</t>
  </si>
  <si>
    <t>CARPINTERIA METALICA Y HERRERIA</t>
  </si>
  <si>
    <t>DIVISIÓN DE ALUMINIO PARA SERVICIOS HIGIÉNICOS</t>
  </si>
  <si>
    <t>PICAPORTE EN PUERTAS SSHH</t>
  </si>
  <si>
    <t>SARDINELES DE CONCRETO DE fc=175 kg/cm2</t>
  </si>
  <si>
    <t>PUERTA CONTRAPLACADA TRIPLAY CON SOBRELUZ DE REJILLAS DE MADERA Y REJILLA INFERIOR</t>
  </si>
  <si>
    <t>CERRADURA DE PERILLA CON SEGURIDAD INTERIOR</t>
  </si>
  <si>
    <t>RESIDENCIA DE DOCENTE (Bloque - 01)</t>
  </si>
  <si>
    <t>CERCO PERIMETRICO y PORTAL DE INGRESO</t>
  </si>
  <si>
    <t>MURO DE SOGA LADRILLO CARAVISTA KING KONG CON CEMENTO ARENA</t>
  </si>
  <si>
    <t>TARRAJEO EN MUROS DE INTERIORES</t>
  </si>
  <si>
    <t>TARRAJEOS EN SUPERFICIES DE COLUMNAS C:A - 1:5</t>
  </si>
  <si>
    <t>TARRAJEO DE SUPERFICIE DE VIGAS C:A-1:5</t>
  </si>
  <si>
    <t>PUERTA METALICA S/DETALLE</t>
  </si>
  <si>
    <t>PINTURA LATEX EN MUROS DE CONTECION INTERIORES</t>
  </si>
  <si>
    <t>MUROS DE CONTENCION</t>
  </si>
  <si>
    <t>TARRAJEO EN MUROS DE CONTECION DE C°A°</t>
  </si>
  <si>
    <t>TARRAJEO EN MUROS DE CONTECION DE C°S°</t>
  </si>
  <si>
    <t>PATIO MULTIUSOS, AREAS DE DESCANSO y ATRIO DE INGRESO</t>
  </si>
  <si>
    <t>PISO DE CEMENTO PULIDO, BRUÑADO Y COLOREADO E=2"</t>
  </si>
  <si>
    <t>PISO DE CEMENTO FROTACHADO Y BRUÑADO E=2"</t>
  </si>
  <si>
    <t>SARDIENL DE CONCRETO F'C=175KG/CM2</t>
  </si>
  <si>
    <t>COBERTURA</t>
  </si>
  <si>
    <t>COBERTURA DE POLICARBONATO ALVEOLAR TRASLUCIDO DE 6 MM.</t>
  </si>
  <si>
    <t>JUNTAS ASFALTICAS</t>
  </si>
  <si>
    <t>ASTA DE BANDERA INCL. APOYO</t>
  </si>
  <si>
    <t>RAMPAS Y VEREDAS</t>
  </si>
  <si>
    <t>VEREDA DE CONCRETO FROTACHADO y BRUÑADO</t>
  </si>
  <si>
    <t>GRADERIAS</t>
  </si>
  <si>
    <t>CONCRETO fc=175 kg/cm2</t>
  </si>
  <si>
    <t>BARANDAS METALICAS H= 0.90m.</t>
  </si>
  <si>
    <t>JUNTAS</t>
  </si>
  <si>
    <t>JARDINERIA Y PAISAJISMO</t>
  </si>
  <si>
    <t>AREAS VERDES</t>
  </si>
  <si>
    <t>PREPARACION DE SUELOS</t>
  </si>
  <si>
    <t>SEMBRADO DE GRASS</t>
  </si>
  <si>
    <t>SEMBRADO DE PLANTAS ORNAMENTALES</t>
  </si>
  <si>
    <t>INSTALACIONES SANITARIAS</t>
  </si>
  <si>
    <t>APARATOS Y ACCESORIOS SANITARIOS</t>
  </si>
  <si>
    <t>LAVATORIO DE PARED DE LOSA /NIÑOS</t>
  </si>
  <si>
    <t>LAVATORIO DE PARED DE LOSA /ADULTO</t>
  </si>
  <si>
    <t>INODORO TANQUE BAJO LOSA /NIÑOS</t>
  </si>
  <si>
    <t>INODORO TANQUE BAJO LOSA /ADULTO</t>
  </si>
  <si>
    <t>URINARIO DE LOSA/NIÑOS</t>
  </si>
  <si>
    <t>PAPELERA DE LOSA BLANCA DE 8"x5"</t>
  </si>
  <si>
    <t>JABONERA SIN ASA DE LOSA PARA EMPOTRAR</t>
  </si>
  <si>
    <t>DUCHAS CROMADAS DE CABEZA MOVIBLE</t>
  </si>
  <si>
    <t>MESA DE CONCRETO PARA LAVADEROS</t>
  </si>
  <si>
    <t>LAVADERO ACERO INOX. SATINADO 1 POZAS, INCL GRIF</t>
  </si>
  <si>
    <t>INSTALACION DE APARATOS SANITARIOS</t>
  </si>
  <si>
    <t>SISTEMA DE DESAGUE</t>
  </si>
  <si>
    <t>SALIDA DE VENTILACION PVC-SAL DE 2"</t>
  </si>
  <si>
    <t>SALIDA DE DESAGUE EN PVC-SAL DE 4"</t>
  </si>
  <si>
    <t>SALIDA DE DESAGUE EN PVC-SAL DE 2"</t>
  </si>
  <si>
    <t>DISTRIBUCION TUBERIA PVC SAL DE 2"</t>
  </si>
  <si>
    <t>DISTRIBUCION TUBERIA PVC SAL DE 4"</t>
  </si>
  <si>
    <t>REGISTRO ROSCADO DE BRONCE DE 4"</t>
  </si>
  <si>
    <t>REGISTRO ROSCADO DE BRONCE DE 2"</t>
  </si>
  <si>
    <t>SUMIDERO DE 2" CON REJILLA DE FE»</t>
  </si>
  <si>
    <t>SOMBRERO DE VENTILACION DE 2"</t>
  </si>
  <si>
    <t>CAJA DE REGISTRO DE DESAGUE 12" X 24"</t>
  </si>
  <si>
    <t>BIODIGESTOR</t>
  </si>
  <si>
    <t>EXCAVACION MANUAL EN MATERIAL SUELTO</t>
  </si>
  <si>
    <t>ACARREO Y ELIMINACION DE MATERIAL EXCEDENTE</t>
  </si>
  <si>
    <t>SUMINISTRO E INSTALACION DE BIODIGESTOR 3000 LTS</t>
  </si>
  <si>
    <t>CAJA DE REGISTRO EN GENERAL</t>
  </si>
  <si>
    <t>ZANJAS DE INFILTRACION</t>
  </si>
  <si>
    <t>FILTRO CON PIEDRA CHANCADA DE 1/2"</t>
  </si>
  <si>
    <t>ACCESORIOS PVC GLOBAL</t>
  </si>
  <si>
    <t>CAMARA DE INFILTRACION</t>
  </si>
  <si>
    <t>SISTEMA DE AGUA FRIA Y CONTRAINCENDIO</t>
  </si>
  <si>
    <t>SALIDA DE AGUA FRIA CON TUBERIA DE PVC 1/2" C-10</t>
  </si>
  <si>
    <t>RED DE DISTRIBUCION DE TUBERIA PVC SAP DE 3/4"</t>
  </si>
  <si>
    <t>RED DE DISTRIBUCION DE TUBERIA PVC SAP DE 1/2"</t>
  </si>
  <si>
    <t>VALVULA COMPUERTA DE 1/2"</t>
  </si>
  <si>
    <t>TANQUE ELEVADO ROTOPLAS 1100LTROS</t>
  </si>
  <si>
    <t>EXTINTOR Y ACCESORIOS CONTRA INCENDIO</t>
  </si>
  <si>
    <t>PRUEBA HIDRAULICA Y DESINFECCION</t>
  </si>
  <si>
    <t>PRUEBA HIDRAULICA TUBERIA DE DESAGUE</t>
  </si>
  <si>
    <t>PRUEBA HIDRAULICA TUBERIA DE AGUA</t>
  </si>
  <si>
    <t>SISTEMA DE EVACUACION PLUVIAL</t>
  </si>
  <si>
    <t>MONTANTE PARA AGUAS PLUVIALES PVC 4"</t>
  </si>
  <si>
    <t>ABRAZADERAS DE FIJACION PARA MONTANTES</t>
  </si>
  <si>
    <t>ENCOFRADO Y DESENCOFRADO EN COLUMNETAS</t>
  </si>
  <si>
    <t>CONCRETO F'C= 175KG/CM2 EN COLUMNETA PARA EVACUACION PLUVIAL</t>
  </si>
  <si>
    <t>ACERO fy=4200 kg/cm2 GRADO 60 EN COLUMNETAS</t>
  </si>
  <si>
    <t>EXCAVACION DE ZANJA PARA EVACUACION PLUVIAL</t>
  </si>
  <si>
    <t>RELLENO COMPACTADO CON MATERIAL PROPIO</t>
  </si>
  <si>
    <t>CONCRETO F'C= 175KG/CM2 EN CANAL DE EVACUACION PLUVIAL</t>
  </si>
  <si>
    <t>ENCOFRADO Y DESENCOFRADO CANALES</t>
  </si>
  <si>
    <t>TARRAJEO EN CANALES CON MORTERO 1:3, E=1.00 CM.</t>
  </si>
  <si>
    <t>REJILLA METALICA ANCHO=0.20M</t>
  </si>
  <si>
    <t>CANALETA SEMICIRCULAR PLANCHA GALVANIZADA</t>
  </si>
  <si>
    <t>INSTALACIONES ELECTRICAS</t>
  </si>
  <si>
    <t>BLOQUES 1, 2, 3 y 4</t>
  </si>
  <si>
    <t>TABLEROS</t>
  </si>
  <si>
    <t>TABLERO DE DISTRIBUCION TD - 01 PICHIUCA</t>
  </si>
  <si>
    <t>TABLERO DE DISTRIBUCION TD - 02 PICHIUCA</t>
  </si>
  <si>
    <t>TABLERO DE DISTRIBUCION TD - 03 PICHIUCA</t>
  </si>
  <si>
    <t>TABLERO DE DISTRIBUCION TD - 04</t>
  </si>
  <si>
    <t>SALIDA PARA CENTRO DE LUZ</t>
  </si>
  <si>
    <t>SALIDA PARA LUZ DE EMERGENCIA</t>
  </si>
  <si>
    <t>ARTEFACTOS DE ILUMINACION</t>
  </si>
  <si>
    <t>Luminaria para Adosar, con 04 fluorescente lineales de 18W, con rejilla y sistema óptico parabólico Tipo TCS198 C6 o similar.</t>
  </si>
  <si>
    <t>Luminaria para Adosar, con 02 fluorescente lineales de 18W, con rejilla y sistema óptico parabólico Tipo TCS198 C6 o similar.</t>
  </si>
  <si>
    <t>Luminaria para Empotrar en techo con rejilla de aluminio y 2 lámpara ahorradoras de 18W modelo FBS 120 o similar.</t>
  </si>
  <si>
    <t>Luminaria para adosar en Exteriores con 2 lámparas fluorescentes compactas de 18 W, Modelo RSP/CES P5464 ed Philips o similar</t>
  </si>
  <si>
    <t>Artefacto Autónomo de Alumbrado de emergencia, con dos lámparas alógenas de 55W.</t>
  </si>
  <si>
    <t>INTERRUPTORES</t>
  </si>
  <si>
    <t>SALIDA PARA INTERRUPTOR SIMPLE, INCLUYE INSTALACION DE INTERRUPTOR</t>
  </si>
  <si>
    <t>SALIDA PARA INTERRUPTOR DOBLE, INCLUYE INSTALACION DE INTERRUPTOR</t>
  </si>
  <si>
    <t>SALIDA PARA INTERRUPTOR DE CONMUTACION SIMPLE, INCLUYE INSTALACION DE IN TERRUPTOR</t>
  </si>
  <si>
    <t>TOMACORRIENTES</t>
  </si>
  <si>
    <t>SALIDA PARA TOMACORRIENTE DOBLE CON PUESTA TIERRA, INCLUYE INSTALACIÓN DE TOMACORRIENTE EN MURO.</t>
  </si>
  <si>
    <t>SALIDA PARA TOMACORRIENTE DOBLE CON PUESTA TIERRA, INCLUYE INSTALACIÓN DE TOMACORRIENTE EN TECHO.</t>
  </si>
  <si>
    <t>SALIDA PARA TOMACORRIENTE DOBLE CON PUESTA TIERRA, INCLUYE INSTALACIÓN DE TOMACORRIENTE EN MURO A 1.2 m.</t>
  </si>
  <si>
    <t>SALIDA PARA TOMACORRIENTE DOBLE CON PUESTA TIERRA, INCLUYE INSTALACIÓN DE TOMACORRIENTE EN MURO A 1.6 m.</t>
  </si>
  <si>
    <t>SALIDA PARA TOMACORRIENTE DOBLE PUESTA TIERRA, INCLUYE INSTALACIÓN DE TOMACORRIENTE EN MURO A 2.2 m</t>
  </si>
  <si>
    <t>SALIDAS DE SISTEMAS ESPECIALES</t>
  </si>
  <si>
    <t>ENTRADA PARA PROYECTOR MULTIMEDIA PARA EMPOTRAR CON UN PUERTO HDMI EN PLACA</t>
  </si>
  <si>
    <t>SALIDA PARA PROYECTOR MULTIMEDIA</t>
  </si>
  <si>
    <t>SALIDA PARA DETECTORES DE HUMO</t>
  </si>
  <si>
    <t>SALIDA PARA CENTRAL DE ALARMA CONTRA INCENDIOS</t>
  </si>
  <si>
    <t>SALIDA PARA ESTACION MANUAL DE ALARMA CONTRA INCENDIO, PULSADOR Y ALARMA SONORA CONTRA INCENDIO.</t>
  </si>
  <si>
    <t>CAJAS METALICAS CON TAPA</t>
  </si>
  <si>
    <t>INSTALACION DE CAJA DE PASO DE 15x15X8cm.</t>
  </si>
  <si>
    <t>ARMADO DE BUZON DE CONCRETO</t>
  </si>
  <si>
    <t>CAVADO Y ARMADO DE BUZON CUADRADO DE CONCRETO EN EL PISO CON TAPA DE CONCRETO</t>
  </si>
  <si>
    <t>PATIO DE HONOR CON CUBIERTA</t>
  </si>
  <si>
    <t>EXCAVACION DE ZANJA</t>
  </si>
  <si>
    <t>CAVADO DE ZANJA, SEÑALIZACION, PROTECCION Y RELLENO DE ZANJA</t>
  </si>
  <si>
    <t>CABLE SUBTERRANEO</t>
  </si>
  <si>
    <t>TENDIDO DE CABLE SUBTERRANEO N2XOH (2-1x6+1x6 (T))mm2</t>
  </si>
  <si>
    <t>DUCTOS O TUBERIAS</t>
  </si>
  <si>
    <t>TUBERIA PVC - P 0 30 mm</t>
  </si>
  <si>
    <t>SALIDA PARA REFLECTORES</t>
  </si>
  <si>
    <t>SALIDA PARA CENTRO DE REFLECTOR</t>
  </si>
  <si>
    <t>Luminaria para adosable para exteriores 2 lamparas compactadas de 18W</t>
  </si>
  <si>
    <t>ILUMINACION DE EXTERIORES</t>
  </si>
  <si>
    <t>TENDIDO DE CABLE SUBTERRANEO N2XOH DE 2-1x4mm2</t>
  </si>
  <si>
    <t>TUBERIA PVC - P 0 25 mm</t>
  </si>
  <si>
    <t>SUMINISTRO E INSTALACION DE POSTES</t>
  </si>
  <si>
    <t>APERTURA DE HOYO, IZAJE Y CIMENTACION DE POSTE METALICO DE 03" x</t>
  </si>
  <si>
    <t>EMPALME SUBTERRANEO</t>
  </si>
  <si>
    <t>EJECUCION DE EMPALME SUBTERRANEO EN CABLE N2XOH DE 2-1x4mm2</t>
  </si>
  <si>
    <t>CAVADO Y ARMADO DE BUZON CIRCULAR DE CONCRETO EN EL PISO CON TAPA DE CONCRETO</t>
  </si>
  <si>
    <t>SALIDA PARA FAROLA EN POSTE</t>
  </si>
  <si>
    <t>Artefacto de iluminacion tipo farola de 70 W E27 TIPO CDS570 O SIMILAR</t>
  </si>
  <si>
    <t>OBRAS EXTERIORES</t>
  </si>
  <si>
    <t>TABLERO GENERAL</t>
  </si>
  <si>
    <t>TABLERO GENERAL T.G. - PICHIUCA</t>
  </si>
  <si>
    <t>SISTEMA DE PUESTA A TIERRA</t>
  </si>
  <si>
    <t>INSTALACION DE SISTEMA DE PUESTA A TIERRA</t>
  </si>
  <si>
    <t xml:space="preserve">TENDIDO DE CABLE SUBTERRANEO N2XOH (2-1x10) mm2                    </t>
  </si>
  <si>
    <t xml:space="preserve">TENDIDO DE CABLE SUBTERRANEO N2XOH (3-1x6+1x6 (T))mm2          </t>
  </si>
  <si>
    <t xml:space="preserve">TUBERIA PVC - P 0 30 mm                               </t>
  </si>
  <si>
    <t>PRUEBAS ELECTRICAS</t>
  </si>
  <si>
    <t xml:space="preserve">PRUEBAS DE AISLAMIENTO, CONTINUIDAD Y RESISTIVIDAD RED GENERAL </t>
  </si>
  <si>
    <t>ACOMETIDA DOMICILIARIA</t>
  </si>
  <si>
    <t xml:space="preserve">INSTALACION DE ACOMETIDA DOMICILIARIA                 </t>
  </si>
  <si>
    <t>u</t>
  </si>
  <si>
    <t>pza</t>
  </si>
  <si>
    <t>pto</t>
  </si>
  <si>
    <t>Eqp</t>
  </si>
  <si>
    <t>jgo</t>
  </si>
  <si>
    <t>1.00</t>
  </si>
  <si>
    <t>656.80</t>
  </si>
  <si>
    <t>607.60</t>
  </si>
  <si>
    <t>759.49</t>
  </si>
  <si>
    <t>30.00</t>
  </si>
  <si>
    <t>27.29</t>
  </si>
  <si>
    <t>8.75</t>
  </si>
  <si>
    <t>13.99</t>
  </si>
  <si>
    <t>26.03</t>
  </si>
  <si>
    <t>27.56</t>
  </si>
  <si>
    <t>7.70</t>
  </si>
  <si>
    <t>13.46</t>
  </si>
  <si>
    <t>2.97</t>
  </si>
  <si>
    <t>0.84</t>
  </si>
  <si>
    <t>23.65</t>
  </si>
  <si>
    <t>4.61</t>
  </si>
  <si>
    <t>192.70</t>
  </si>
  <si>
    <t>1.93</t>
  </si>
  <si>
    <t>15.42</t>
  </si>
  <si>
    <t>275.55</t>
  </si>
  <si>
    <t>2.83</t>
  </si>
  <si>
    <t>40.02</t>
  </si>
  <si>
    <t>444.48</t>
  </si>
  <si>
    <t>1.49</t>
  </si>
  <si>
    <t>19.71</t>
  </si>
  <si>
    <t>659.98</t>
  </si>
  <si>
    <t>4.54</t>
  </si>
  <si>
    <t>38.93</t>
  </si>
  <si>
    <t>563.81</t>
  </si>
  <si>
    <t>3.65</t>
  </si>
  <si>
    <t>41.77</t>
  </si>
  <si>
    <t>298.24</t>
  </si>
  <si>
    <t>347.95</t>
  </si>
  <si>
    <t>1.20</t>
  </si>
  <si>
    <t>16.00</t>
  </si>
  <si>
    <t>124.05</t>
  </si>
  <si>
    <t>59.04</t>
  </si>
  <si>
    <t>100.30</t>
  </si>
  <si>
    <t>15.00</t>
  </si>
  <si>
    <t>34.27</t>
  </si>
  <si>
    <t>16.99</t>
  </si>
  <si>
    <t>28.37</t>
  </si>
  <si>
    <t>57.19</t>
  </si>
  <si>
    <t>28.61</t>
  </si>
  <si>
    <t>26.55</t>
  </si>
  <si>
    <t>12.87</t>
  </si>
  <si>
    <t>2.68</t>
  </si>
  <si>
    <t>96.66</t>
  </si>
  <si>
    <t>8.06</t>
  </si>
  <si>
    <t>337.22</t>
  </si>
  <si>
    <t>3.81</t>
  </si>
  <si>
    <t>30.45</t>
  </si>
  <si>
    <t>322.07</t>
  </si>
  <si>
    <t>5.95</t>
  </si>
  <si>
    <t>77.91</t>
  </si>
  <si>
    <t>2,582.91</t>
  </si>
  <si>
    <t>2.82</t>
  </si>
  <si>
    <t>35.44</t>
  </si>
  <si>
    <t>536.94</t>
  </si>
  <si>
    <t>10.33</t>
  </si>
  <si>
    <t>116.46</t>
  </si>
  <si>
    <t>1,452.85</t>
  </si>
  <si>
    <t>8.94</t>
  </si>
  <si>
    <t>102.17</t>
  </si>
  <si>
    <t>1,062.45</t>
  </si>
  <si>
    <t>851.11</t>
  </si>
  <si>
    <t>2.66</t>
  </si>
  <si>
    <t>179.59</t>
  </si>
  <si>
    <t>158.40</t>
  </si>
  <si>
    <t>83.20</t>
  </si>
  <si>
    <t>28.51</t>
  </si>
  <si>
    <t>19.80</t>
  </si>
  <si>
    <t>34.56</t>
  </si>
  <si>
    <t>72.33</t>
  </si>
  <si>
    <t>17.19</t>
  </si>
  <si>
    <t>23.07</t>
  </si>
  <si>
    <t>10.40</t>
  </si>
  <si>
    <t>2.18</t>
  </si>
  <si>
    <t>29.03</t>
  </si>
  <si>
    <t>6.34</t>
  </si>
  <si>
    <t>264.96</t>
  </si>
  <si>
    <t>3.77</t>
  </si>
  <si>
    <t>30.18</t>
  </si>
  <si>
    <t>365.33</t>
  </si>
  <si>
    <t>6.40</t>
  </si>
  <si>
    <t>76.70</t>
  </si>
  <si>
    <t>1,929.18</t>
  </si>
  <si>
    <t>3.44</t>
  </si>
  <si>
    <t>21.46</t>
  </si>
  <si>
    <t>302.90</t>
  </si>
  <si>
    <t>11.56</t>
  </si>
  <si>
    <t>101.84</t>
  </si>
  <si>
    <t>1,333.50</t>
  </si>
  <si>
    <t>13.47</t>
  </si>
  <si>
    <t>153.93</t>
  </si>
  <si>
    <t>1,781.46</t>
  </si>
  <si>
    <t>1,146.14</t>
  </si>
  <si>
    <t>2.57</t>
  </si>
  <si>
    <t>178.66</t>
  </si>
  <si>
    <t>377.52</t>
  </si>
  <si>
    <t>75.40</t>
  </si>
  <si>
    <t>39.86</t>
  </si>
  <si>
    <t>9.10</t>
  </si>
  <si>
    <t>15.72</t>
  </si>
  <si>
    <t>22.03</t>
  </si>
  <si>
    <t>41.56</t>
  </si>
  <si>
    <t>20.28</t>
  </si>
  <si>
    <t>14.79</t>
  </si>
  <si>
    <t>3.22</t>
  </si>
  <si>
    <t>1.61</t>
  </si>
  <si>
    <t>42.40</t>
  </si>
  <si>
    <t>2.19</t>
  </si>
  <si>
    <t>17.49</t>
  </si>
  <si>
    <t>179.25</t>
  </si>
  <si>
    <t>34.80</t>
  </si>
  <si>
    <t>314.66</t>
  </si>
  <si>
    <t>5.60</t>
  </si>
  <si>
    <t>48.75</t>
  </si>
  <si>
    <t>642.09</t>
  </si>
  <si>
    <t>3.36</t>
  </si>
  <si>
    <t>38.35</t>
  </si>
  <si>
    <t>276.96</t>
  </si>
  <si>
    <t>319.48</t>
  </si>
  <si>
    <t>1.03</t>
  </si>
  <si>
    <t>13.74</t>
  </si>
  <si>
    <t>65.35</t>
  </si>
  <si>
    <t>110.70</t>
  </si>
  <si>
    <t>46.00</t>
  </si>
  <si>
    <t>467.39</t>
  </si>
  <si>
    <t>560.87</t>
  </si>
  <si>
    <t>13.83</t>
  </si>
  <si>
    <t>4.89</t>
  </si>
  <si>
    <t>76.69</t>
  </si>
  <si>
    <t>947.80</t>
  </si>
  <si>
    <t>4.23</t>
  </si>
  <si>
    <t>49.66</t>
  </si>
  <si>
    <t>483.02</t>
  </si>
  <si>
    <t>4.24</t>
  </si>
  <si>
    <t>56.57</t>
  </si>
  <si>
    <t>438.73</t>
  </si>
  <si>
    <t>36.00</t>
  </si>
  <si>
    <t>441.64</t>
  </si>
  <si>
    <t>574.13</t>
  </si>
  <si>
    <t>204.01</t>
  </si>
  <si>
    <t>550.44</t>
  </si>
  <si>
    <t>15,448.74</t>
  </si>
  <si>
    <t>111.93</t>
  </si>
  <si>
    <t>24.00</t>
  </si>
  <si>
    <t>95.88</t>
  </si>
  <si>
    <t>124.65</t>
  </si>
  <si>
    <t>81.67</t>
  </si>
  <si>
    <t>221.37</t>
  </si>
  <si>
    <t>2.81</t>
  </si>
  <si>
    <t>60.00</t>
  </si>
  <si>
    <t>3.51</t>
  </si>
  <si>
    <t>2.16</t>
  </si>
  <si>
    <t>2.52</t>
  </si>
  <si>
    <t>186.08</t>
  </si>
  <si>
    <t>899.99</t>
  </si>
  <si>
    <t>394.52</t>
  </si>
  <si>
    <t>271.91</t>
  </si>
  <si>
    <t>80.92</t>
  </si>
  <si>
    <t>6.00</t>
  </si>
  <si>
    <t>3.00</t>
  </si>
  <si>
    <t>72.27</t>
  </si>
  <si>
    <t>15.22</t>
  </si>
  <si>
    <t>123.10</t>
  </si>
  <si>
    <t>54.38</t>
  </si>
  <si>
    <t>34.44</t>
  </si>
  <si>
    <t>30.39</t>
  </si>
  <si>
    <t>39.17</t>
  </si>
  <si>
    <t>68.38</t>
  </si>
  <si>
    <t>228.32</t>
  </si>
  <si>
    <t>90.62</t>
  </si>
  <si>
    <t>72.22</t>
  </si>
  <si>
    <t>56.44</t>
  </si>
  <si>
    <t>15.78</t>
  </si>
  <si>
    <t>11.52</t>
  </si>
  <si>
    <t>5.18</t>
  </si>
  <si>
    <t>73.50</t>
  </si>
  <si>
    <t>15.80</t>
  </si>
  <si>
    <t>27.62</t>
  </si>
  <si>
    <t>30.20</t>
  </si>
  <si>
    <t>90.78</t>
  </si>
  <si>
    <t>29.18</t>
  </si>
  <si>
    <t>6.30</t>
  </si>
  <si>
    <t>9.00</t>
  </si>
  <si>
    <t>19.15</t>
  </si>
  <si>
    <t>1.50</t>
  </si>
  <si>
    <t>12.60</t>
  </si>
  <si>
    <t>21.02</t>
  </si>
  <si>
    <t>73.59</t>
  </si>
  <si>
    <t>6.44</t>
  </si>
  <si>
    <t>99.99</t>
  </si>
  <si>
    <t>60.07</t>
  </si>
  <si>
    <t>33.60</t>
  </si>
  <si>
    <t>27.42</t>
  </si>
  <si>
    <t>79.46</t>
  </si>
  <si>
    <t>80.02</t>
  </si>
  <si>
    <t>245.52</t>
  </si>
  <si>
    <t>65.92</t>
  </si>
  <si>
    <t>57.88</t>
  </si>
  <si>
    <t>40.20</t>
  </si>
  <si>
    <t>5.72</t>
  </si>
  <si>
    <t>11.96</t>
  </si>
  <si>
    <t>55.35</t>
  </si>
  <si>
    <t>29.40</t>
  </si>
  <si>
    <t>9.60</t>
  </si>
  <si>
    <t>23.08</t>
  </si>
  <si>
    <t>48.24</t>
  </si>
  <si>
    <t>34.88</t>
  </si>
  <si>
    <t>22.97</t>
  </si>
  <si>
    <t>5.88</t>
  </si>
  <si>
    <t>1.68</t>
  </si>
  <si>
    <t>9.24</t>
  </si>
  <si>
    <t>20.00</t>
  </si>
  <si>
    <t>4.00</t>
  </si>
  <si>
    <t>18.09</t>
  </si>
  <si>
    <t>1.75</t>
  </si>
  <si>
    <t>14.70</t>
  </si>
  <si>
    <t>8.00</t>
  </si>
  <si>
    <t>19.84</t>
  </si>
  <si>
    <t>45.75</t>
  </si>
  <si>
    <t>18.92</t>
  </si>
  <si>
    <t>83.58</t>
  </si>
  <si>
    <t>12.95</t>
  </si>
  <si>
    <t>24.87</t>
  </si>
  <si>
    <t>17.22</t>
  </si>
  <si>
    <t>48.70</t>
  </si>
  <si>
    <t>172.48</t>
  </si>
  <si>
    <t>38.24</t>
  </si>
  <si>
    <t>33.03</t>
  </si>
  <si>
    <t>30.08</t>
  </si>
  <si>
    <t>2.95</t>
  </si>
  <si>
    <t>6.15</t>
  </si>
  <si>
    <t>2.77</t>
  </si>
  <si>
    <t>8.30</t>
  </si>
  <si>
    <t>6.66</t>
  </si>
  <si>
    <t>7.76</t>
  </si>
  <si>
    <t>25.31</t>
  </si>
  <si>
    <t>34.93</t>
  </si>
  <si>
    <t>3.78</t>
  </si>
  <si>
    <t>1.47</t>
  </si>
  <si>
    <t>2.00</t>
  </si>
  <si>
    <t>7.54</t>
  </si>
  <si>
    <t>1.25</t>
  </si>
  <si>
    <t>12.48</t>
  </si>
  <si>
    <t>6.79</t>
  </si>
  <si>
    <t>56.66</t>
  </si>
  <si>
    <t>8.17</t>
  </si>
  <si>
    <t>77.68</t>
  </si>
  <si>
    <t>51.98</t>
  </si>
  <si>
    <t>12.00</t>
  </si>
  <si>
    <t>19.97</t>
  </si>
  <si>
    <t>35.73</t>
  </si>
  <si>
    <t>35.90</t>
  </si>
  <si>
    <t>151.28</t>
  </si>
  <si>
    <t>33.95</t>
  </si>
  <si>
    <t>22.08</t>
  </si>
  <si>
    <t>12.13</t>
  </si>
  <si>
    <t>9.95</t>
  </si>
  <si>
    <t>8.93</t>
  </si>
  <si>
    <t>6.91</t>
  </si>
  <si>
    <t>8.86</t>
  </si>
  <si>
    <t>10.78</t>
  </si>
  <si>
    <t>14.40</t>
  </si>
  <si>
    <t>21.28</t>
  </si>
  <si>
    <t>1.89</t>
  </si>
  <si>
    <t>3.15</t>
  </si>
  <si>
    <t>4.96</t>
  </si>
  <si>
    <t>10.50</t>
  </si>
  <si>
    <t>11.00</t>
  </si>
  <si>
    <t>8.15</t>
  </si>
  <si>
    <t>239.98</t>
  </si>
  <si>
    <t>117.85</t>
  </si>
  <si>
    <t>65.94</t>
  </si>
  <si>
    <t>7.98</t>
  </si>
  <si>
    <t>154.19</t>
  </si>
  <si>
    <t>48.81</t>
  </si>
  <si>
    <t>73.98</t>
  </si>
  <si>
    <t>44.39</t>
  </si>
  <si>
    <t>64.00</t>
  </si>
  <si>
    <t>22.00</t>
  </si>
  <si>
    <t>28.21</t>
  </si>
  <si>
    <t>5.90</t>
  </si>
  <si>
    <t>36.80</t>
  </si>
  <si>
    <t>42.32</t>
  </si>
  <si>
    <t>10.00</t>
  </si>
  <si>
    <t>19.00</t>
  </si>
  <si>
    <t>32.45</t>
  </si>
  <si>
    <t>45.55</t>
  </si>
  <si>
    <t>18.04</t>
  </si>
  <si>
    <t>10.08</t>
  </si>
  <si>
    <t>5.04</t>
  </si>
  <si>
    <t>31.60</t>
  </si>
  <si>
    <t>46.35</t>
  </si>
  <si>
    <t>77.95</t>
  </si>
  <si>
    <t>110.78</t>
  </si>
  <si>
    <t>34.00</t>
  </si>
  <si>
    <t>35.20</t>
  </si>
  <si>
    <t>1.32</t>
  </si>
  <si>
    <t>114.40</t>
  </si>
  <si>
    <t>89.98</t>
  </si>
  <si>
    <t>33.78</t>
  </si>
  <si>
    <t>18.00</t>
  </si>
  <si>
    <t>56.20</t>
  </si>
  <si>
    <t>59.01</t>
  </si>
  <si>
    <t>36.12</t>
  </si>
  <si>
    <t>43.00</t>
  </si>
  <si>
    <t>7.00</t>
  </si>
  <si>
    <t>17.00</t>
  </si>
  <si>
    <t>23.00</t>
  </si>
  <si>
    <t>14.00</t>
  </si>
  <si>
    <t>29.00</t>
  </si>
  <si>
    <t>56.00</t>
  </si>
  <si>
    <t>80.00</t>
  </si>
  <si>
    <t>90.00</t>
  </si>
  <si>
    <t>2,518.18</t>
  </si>
  <si>
    <t>566.40</t>
  </si>
  <si>
    <t>1,180.00</t>
  </si>
  <si>
    <t>3,245.00</t>
  </si>
  <si>
    <t>374.06</t>
  </si>
  <si>
    <t>2,380.00</t>
  </si>
  <si>
    <t>1,104.00</t>
  </si>
  <si>
    <t>3,950.00</t>
  </si>
  <si>
    <t>4,966.95</t>
  </si>
  <si>
    <t>33.36</t>
  </si>
  <si>
    <t>304.09</t>
  </si>
  <si>
    <t>421.77</t>
  </si>
  <si>
    <t>40.16</t>
  </si>
  <si>
    <t>455.88</t>
  </si>
  <si>
    <t>4.78</t>
  </si>
  <si>
    <t>54.98</t>
  </si>
  <si>
    <t>567.53</t>
  </si>
  <si>
    <t>54.48</t>
  </si>
  <si>
    <t>469.01</t>
  </si>
  <si>
    <t>63.47</t>
  </si>
  <si>
    <t>39.19</t>
  </si>
  <si>
    <t>55.64</t>
  </si>
  <si>
    <t>149.57</t>
  </si>
  <si>
    <t>: 4000035</t>
  </si>
  <si>
    <t>: 22</t>
  </si>
  <si>
    <t>EDUCACION</t>
  </si>
  <si>
    <t>ABRIL</t>
  </si>
  <si>
    <t>COMUNIDAD CAMPESINA PICHIUCA</t>
  </si>
  <si>
    <t>INFORME MENSUAL CORRESPONDIENTE AL MES DE ABRIL DEL 2017</t>
  </si>
  <si>
    <t>ING. FERNANDO ESPINOZA MOSCOSO</t>
  </si>
  <si>
    <t>CONTROL DE METRADOS MENSUAL DE OBRA PROGRAMADOS  Nº 01</t>
  </si>
  <si>
    <t>CONTROL DE METRADOS MENSUAL DE OBRA DE PARTIDAS NUEVAS  Nº 01</t>
  </si>
  <si>
    <t>VARIOS</t>
  </si>
  <si>
    <t>06.01.01</t>
  </si>
  <si>
    <t>GASTOS GENERALES (13.51%)</t>
  </si>
  <si>
    <t>GESTION DE PROYECTO (2.58%)</t>
  </si>
  <si>
    <t>GASTOS DE SUPERVISION (5.41%)</t>
  </si>
  <si>
    <t>LIQUIDACION DE OBRA (1.48%)</t>
  </si>
  <si>
    <t>EXPEDIENTE TECNICO (3.23%)</t>
  </si>
  <si>
    <t>PRESUPUESTO DE INFRAESTRUCTURA</t>
  </si>
  <si>
    <t>MITIGACION AMBIENTAL</t>
  </si>
  <si>
    <t>EQUIPAMIENTO Y MOBILIRARIO</t>
  </si>
  <si>
    <t>MATERIALES PEDAGOGICOS</t>
  </si>
  <si>
    <t>CAPACITACION</t>
  </si>
  <si>
    <t>PRESUPUESTO TOTAL</t>
  </si>
  <si>
    <t>GASTOS DE SUPERVISION</t>
  </si>
  <si>
    <t>EQUIPAMIENTO Y MOBILIARIO</t>
  </si>
  <si>
    <t>REPLANTEO DURANTE EL PROCESO DE EJECUCION</t>
  </si>
  <si>
    <t>ELIMINACION DE MATERIAL EXCEDENTE PROCEDENTE DE CORTE EN FORMA MANUAL</t>
  </si>
  <si>
    <t>Metrado EXP</t>
  </si>
  <si>
    <t>ACUMUL</t>
  </si>
  <si>
    <t>SERVICIO DE AGUA POTABLE PROVISIONAL</t>
  </si>
  <si>
    <t>PARA L PROXIMO MES</t>
  </si>
  <si>
    <t>DEL EXPEDIENTE TECNICO APROBADO(Costo Directo)</t>
  </si>
  <si>
    <t>VALORIZACION DE INFRAESTRUCTURA</t>
  </si>
  <si>
    <t>PRESUPUESTO (COSTO DIRECTO) - INFRAESTRUCTURA</t>
  </si>
  <si>
    <t>06.01.02</t>
  </si>
  <si>
    <t>TRANSPORTE INTERNO DE MATERIALES DE CONSTRUCCION CON TUBERIA PVC SEL DE 8"</t>
  </si>
  <si>
    <t>06.01.03</t>
  </si>
  <si>
    <t>06.01.04</t>
  </si>
  <si>
    <t>06.01.05</t>
  </si>
  <si>
    <t>06.01.06</t>
  </si>
  <si>
    <t>ACARREO DE AGREGADOS (D=0.35KM)</t>
  </si>
  <si>
    <t>ACARREO DE PIEDRA MEDIANA DE 6 A 8" (D=0.35KM)</t>
  </si>
  <si>
    <t>ACARREO DE PIEDRA GRANDE DE 8 A 10" (D=0.35KM)</t>
  </si>
  <si>
    <t>Kg</t>
  </si>
  <si>
    <t>ACARREO DE ACERO DE REFUERZO F'y=4200 Kg/cm2  (D=0.35KM)</t>
  </si>
  <si>
    <t>06.01.07</t>
  </si>
  <si>
    <t>06.01.08</t>
  </si>
  <si>
    <t>06.01.09</t>
  </si>
  <si>
    <t>p2</t>
  </si>
  <si>
    <t>ACARREO DE MADERA PARA ENCOFRADO  (D=0.35KM)</t>
  </si>
  <si>
    <t>ACARREO DE ROLLIZO PARA ENCOFRADO  (D=0.35KM)</t>
  </si>
  <si>
    <t>ACARREO DE TRIPLAY LUPUNA PARA ENCOFRADO  (D=0.35KM)</t>
  </si>
  <si>
    <t>VALORIZACION PARTIDAS NUEVAS JUNIO 2017</t>
  </si>
  <si>
    <t>REPLANTEO DURANTE EL PROCESO EJECUCION</t>
  </si>
  <si>
    <t>OBRAS DE CONCRETO SIMPLE</t>
  </si>
  <si>
    <t>FALSA ZAPATA C:H 1:10 +30%P.G</t>
  </si>
  <si>
    <t>cemento</t>
  </si>
  <si>
    <t>FECHA</t>
  </si>
  <si>
    <t>ENCOFRADO C Y S/C DE BLOQUE 03</t>
  </si>
  <si>
    <t>BLOQUE 01</t>
  </si>
  <si>
    <t>BLOQUE 02</t>
  </si>
  <si>
    <t>BLOQUE 03</t>
  </si>
  <si>
    <t>BLOQUE 04</t>
  </si>
  <si>
    <t>VACIADO DE V.C DEL BLOQUE 02</t>
  </si>
  <si>
    <t>VACIADO DE CERCO PERIMETRICO</t>
  </si>
  <si>
    <t>VACIADO C Y S/C DE BLOQUE 03</t>
  </si>
  <si>
    <t>ENCOFRADO C Y S/C DE BLOQUE 02</t>
  </si>
  <si>
    <t>ENCOFRADO DE COLUMNAS 04 COLUMNAS/ VACIADAS</t>
  </si>
  <si>
    <t>VACIADO DE C Y S/C  DEL BLOQUE 02</t>
  </si>
  <si>
    <t>ENCOFRADO DE CERCO PERIMETRICO CADA 9 ML</t>
  </si>
  <si>
    <t>ENCOFRADO DE COLUMNAS 06 COLUMNAS/ VACIADAS</t>
  </si>
  <si>
    <t>ACERO REFUERZO VIGAS</t>
  </si>
  <si>
    <t>ENCOFRADO LOSA ALIGERADA</t>
  </si>
  <si>
    <t>VACIADO DE TECHO</t>
  </si>
  <si>
    <t>MURO DE ESTRUCTURALES</t>
  </si>
  <si>
    <t>EXCAVACION DE MURO ESTRUCTURALES BLOQUE 01 Y BLOQUE 04</t>
  </si>
  <si>
    <t>ACERO PARA ZAPATAS Y MURO DE ACEO</t>
  </si>
  <si>
    <t>ENCOFRADO DE MURO ESTRUCTURAL</t>
  </si>
  <si>
    <t>VACIADO DE MURO ESTRUCTURAL</t>
  </si>
  <si>
    <t>EXCAVACION DE MURO ESTRUCTURALES DETRÁS DE BLOQUE 02</t>
  </si>
  <si>
    <t xml:space="preserve">ACERO PARA ZAPATAS Y MURO DE ACERO </t>
  </si>
  <si>
    <t>ASENTADO DE MUROS DE LADRILLO</t>
  </si>
  <si>
    <t>EXCAVACION DE ZAPATAS</t>
  </si>
  <si>
    <t xml:space="preserve">VACIADO DEFALSAS ZAPATAS </t>
  </si>
  <si>
    <t>EXCAVACION PRELIMINAR</t>
  </si>
  <si>
    <t>DE BLOQUES 02 Y 03</t>
  </si>
  <si>
    <t>lunes</t>
  </si>
  <si>
    <t>martes</t>
  </si>
  <si>
    <t>miércoles</t>
  </si>
  <si>
    <t>jueves</t>
  </si>
  <si>
    <t>viernes</t>
  </si>
  <si>
    <t>sábado</t>
  </si>
  <si>
    <t>domingo</t>
  </si>
  <si>
    <t>sabado</t>
  </si>
  <si>
    <t>domindo</t>
  </si>
  <si>
    <t>06.01.10</t>
  </si>
  <si>
    <t>OBRAS DE CONCRETO ARMADO</t>
  </si>
  <si>
    <t>CIMIENTO REFORZADO</t>
  </si>
  <si>
    <t>CONCRETO F'C=210 KG/CM2 EN CIMIENTOS REFORZADOS</t>
  </si>
  <si>
    <t>ENCOFRADO Y DESENCOFRADO EN CIMIENTOS REFORZADOS</t>
  </si>
  <si>
    <t>ACERO FY=4200KG/CM2 EN CIMIENTOS REFORZADOS</t>
  </si>
  <si>
    <t>SOBRECIMIENTO REFORZADO</t>
  </si>
  <si>
    <t>CONCRETO F'C=210 KG/CM2 EN SOBRECIMIENTOS REFORZADOS</t>
  </si>
  <si>
    <t>ENCOFRADO Y DESENCOFRADO EN SOBRECIMIENTOS REFORZADOS</t>
  </si>
  <si>
    <t>ACERO FY=4200KG/CM2 EN SOBRECIMIENTOS REFORZADOS</t>
  </si>
  <si>
    <t>ENCOFRADO Y DESENCOFRADO CIMIENTOS CORRIDOS</t>
  </si>
  <si>
    <t>06.01.11</t>
  </si>
  <si>
    <t>ACARREO DE LADRILLO DE TECHO 15X15X30CM  (D=0.35KM)</t>
  </si>
  <si>
    <t>ACARREO DE LADRILLO DE ARCILLA KING KONG DE 18 HUECOS DE 9 X 12 X 24 cm (D=0.35KM)</t>
  </si>
  <si>
    <t>ACARREO DE CEMENTO PORTLAND TIPO I (D=0.35KM)</t>
  </si>
  <si>
    <t>06.01.12</t>
  </si>
  <si>
    <t>ACARREO DE LADRILLO PASTELERO 24 X 24 X 3 CM  (D=0.35KM)</t>
  </si>
  <si>
    <t>06.01.13</t>
  </si>
  <si>
    <t>ACARREO DE LADRILLO CARAVISTA DE 18 HUECOS 9X12X24 CM  (D=0.35KM)</t>
  </si>
  <si>
    <t>06.01.14</t>
  </si>
  <si>
    <t>ACARREO DE COBERTURA DE PLACA ONDUVILLA  (D=0.35KM)</t>
  </si>
  <si>
    <t>06.01.15</t>
  </si>
  <si>
    <t>ACARREO DE CUMBRERA DE PLACA ONDUVILLA  (D=0.35KM)</t>
  </si>
  <si>
    <t>06.01.16</t>
  </si>
  <si>
    <t>ACARREO DE TUBO LAC DE 3"X2"X3MM PARA COBERTURA DE TECHO (D=0.35KM)</t>
  </si>
  <si>
    <t>06.01.17</t>
  </si>
  <si>
    <t>ACARREO DE PINTURA PARA INTERIORES Y EXTERIORES (D=0.35KM)</t>
  </si>
  <si>
    <t>06.01.18</t>
  </si>
  <si>
    <t>ACARREO DE IMPRIMANTE PARA PINTURA  (D=0.35KM)</t>
  </si>
  <si>
    <t>06.01.19</t>
  </si>
  <si>
    <t>06.01.20</t>
  </si>
  <si>
    <t>ACARREO DE TUBERIA PARA LUZ LONGITUD DE 3ML  (D=0.35KM)</t>
  </si>
  <si>
    <t>ACARREO DE TUBERIA PARA AGUA LONGITUD DE 5ML (D=0.35KM)</t>
  </si>
  <si>
    <t>06.01.21</t>
  </si>
  <si>
    <t>06.01.22</t>
  </si>
  <si>
    <t>ACARREO DE PORCELANATOS 60X60CM (D=0.35KM)</t>
  </si>
  <si>
    <t>06.01.23</t>
  </si>
  <si>
    <t>ACARREO DE CERAMICO 45X45CM (D=0.35KM)</t>
  </si>
  <si>
    <t>ACARREO DE PEGAMENTO PARA CERAMICOS, PORCELANATOS (25KG) (D=0.35KM)</t>
  </si>
  <si>
    <t>06.01.24</t>
  </si>
  <si>
    <t>06.01.25</t>
  </si>
  <si>
    <t>ACARREO DE TUBERIA PARA DESAGUE, DRENAJE PLUVIAL DE 3ML (D=0.35KM)</t>
  </si>
  <si>
    <t>07.02</t>
  </si>
  <si>
    <t>07.03</t>
  </si>
  <si>
    <t>07.02.01</t>
  </si>
  <si>
    <t>07.02.01.01</t>
  </si>
  <si>
    <t>07.02.02</t>
  </si>
  <si>
    <t>07.02.02.01</t>
  </si>
  <si>
    <t>07.02.02.02</t>
  </si>
  <si>
    <t>07.02.02.01.01</t>
  </si>
  <si>
    <t>07.02.02.01.02</t>
  </si>
  <si>
    <t>07.02.02.01.03</t>
  </si>
  <si>
    <t>07.02.02.02.01</t>
  </si>
  <si>
    <t>07.02.02.02.02</t>
  </si>
  <si>
    <t>07.02.02.02.03</t>
  </si>
  <si>
    <t>07.03.01</t>
  </si>
  <si>
    <t>07.03.02</t>
  </si>
  <si>
    <t>07.03.01.01</t>
  </si>
  <si>
    <t>07.03.02.01</t>
  </si>
  <si>
    <t>07.03.02.02</t>
  </si>
  <si>
    <t>07.03.02.01.01</t>
  </si>
  <si>
    <t>07.03.02.01.02</t>
  </si>
  <si>
    <t>07.03.02.01.03</t>
  </si>
  <si>
    <t>07.03.02.02.01</t>
  </si>
  <si>
    <t>07.03.02.02.02</t>
  </si>
  <si>
    <t>07.03.02.02.03</t>
  </si>
  <si>
    <t>07.04</t>
  </si>
  <si>
    <t>07.04.01</t>
  </si>
  <si>
    <t>07.04.01.01</t>
  </si>
  <si>
    <t>07.04.01.02</t>
  </si>
  <si>
    <t>BLS</t>
  </si>
  <si>
    <t>ELIMINACION DE MATERIAL EXCEDENTE PROCEDENTE DE CORTE DE FORMA MANUAL</t>
  </si>
  <si>
    <t>06.02</t>
  </si>
  <si>
    <t>06.02.01</t>
  </si>
  <si>
    <t>06.02.01.01</t>
  </si>
  <si>
    <t>06.02.02</t>
  </si>
  <si>
    <t>06.02.02.01</t>
  </si>
  <si>
    <t>06.02.02.01.01</t>
  </si>
  <si>
    <t>06.02.02.01.02</t>
  </si>
  <si>
    <t>06.02.02.01.03</t>
  </si>
  <si>
    <t>06.02.02.02</t>
  </si>
  <si>
    <t>06.02.02.02.01</t>
  </si>
  <si>
    <t>06.02.02.02.02</t>
  </si>
  <si>
    <t>06.02.02.02.03</t>
  </si>
  <si>
    <t>06.03</t>
  </si>
  <si>
    <t>06.03.01</t>
  </si>
  <si>
    <t>06.03.01.01</t>
  </si>
  <si>
    <t>06.03.02</t>
  </si>
  <si>
    <t>06.03.02.01</t>
  </si>
  <si>
    <t>06.03.02.01.01</t>
  </si>
  <si>
    <t>06.03.02.01.02</t>
  </si>
  <si>
    <t>06.03.02.01.03</t>
  </si>
  <si>
    <t>06.03.02.02</t>
  </si>
  <si>
    <t>06.03.02.02.01</t>
  </si>
  <si>
    <t>06.03.02.02.02</t>
  </si>
  <si>
    <t>06.03.02.02.03</t>
  </si>
  <si>
    <t>06.04</t>
  </si>
  <si>
    <t>06.04.01</t>
  </si>
  <si>
    <t>06.04.01.01</t>
  </si>
  <si>
    <t>06.04.01.02</t>
  </si>
  <si>
    <t>VALORIZACIÓN DE PARTIDAS PROGRAMADAS  JULIO 2017</t>
  </si>
  <si>
    <t>INFORME CORRESPONDIENTE AL MES DE JULIO DEL 2017</t>
  </si>
  <si>
    <t>ACARREO DE LADRILLO DE TECHO 15X30X30CM  (D=0.35KM)</t>
  </si>
  <si>
    <t>WW</t>
  </si>
  <si>
    <t xml:space="preserve">OTROS </t>
  </si>
  <si>
    <t>ACARREO DE CEMENTO PORTLAND TIPO I   (D=0.35KM)</t>
  </si>
  <si>
    <t>BRUÑAS DE 1CMX1CM EN CERCO PERIMETRICO</t>
  </si>
  <si>
    <t>M</t>
  </si>
  <si>
    <t>RELLENO Y COMPACTADO DE AREA DEJUEGOS</t>
  </si>
  <si>
    <t>06.04.02</t>
  </si>
  <si>
    <t>06.04.02.01</t>
  </si>
  <si>
    <t>06.05</t>
  </si>
  <si>
    <t>06.06</t>
  </si>
  <si>
    <t>06.05.01</t>
  </si>
  <si>
    <t>06.05.01.01</t>
  </si>
  <si>
    <t>06.06.01</t>
  </si>
  <si>
    <t xml:space="preserve">viernes </t>
  </si>
  <si>
    <t>06.07</t>
  </si>
  <si>
    <t>06.07.02.02</t>
  </si>
  <si>
    <t>06.07.02.02.01</t>
  </si>
  <si>
    <t>06.07.02.02.02</t>
  </si>
  <si>
    <t>06.07.02.02.03</t>
  </si>
  <si>
    <t>06.08</t>
  </si>
  <si>
    <t>06.04.03</t>
  </si>
  <si>
    <t>06.04.03.01</t>
  </si>
  <si>
    <t>06.04.03.01.01</t>
  </si>
  <si>
    <t>ZAPATAS - PUERTA PRICIPAL</t>
  </si>
  <si>
    <t>06.04.03.01.02</t>
  </si>
  <si>
    <t>CONCRETO f'c= 210 kg/cm2 EN ZAPATA - PUERTA PRINCIPAL</t>
  </si>
  <si>
    <t>ACERO fy=4200 kg/cm2 GRADO 60 EN ZAPATA - PUERTA PRINCIPAL</t>
  </si>
  <si>
    <t>06.08.01</t>
  </si>
  <si>
    <t>06.08.01.01</t>
  </si>
  <si>
    <t>06.08.01.01.01</t>
  </si>
  <si>
    <t>06.08.01.01.02</t>
  </si>
  <si>
    <t>06.08.01.01.03</t>
  </si>
  <si>
    <t>06.08.01.02</t>
  </si>
  <si>
    <t>06.08.01.02.01</t>
  </si>
  <si>
    <t>06.08.01.02.02</t>
  </si>
  <si>
    <t>06.08.01.02.03</t>
  </si>
  <si>
    <t>ACARREO DE PLACA Y CUMBRERA ONDUVILLA PARA TECHO (D=0.35KM)</t>
  </si>
  <si>
    <t>PZA</t>
  </si>
  <si>
    <t>U</t>
  </si>
  <si>
    <t>06.04.03.01.03</t>
  </si>
  <si>
    <t>06.05.02</t>
  </si>
  <si>
    <t>CONCRETO f'c= 210 kg/cm2 EN MUROS INTERIORES</t>
  </si>
  <si>
    <t>ENCOFRADO Y DESENCOFRADO EN MUROS INTERIORES</t>
  </si>
  <si>
    <t>ACERO fy=4200 kg/cm2 GRADO 60 EN MUROS INTERIORES</t>
  </si>
  <si>
    <t>06.07.01</t>
  </si>
  <si>
    <t>06.07.01.01</t>
  </si>
  <si>
    <t>06.07.01.01.01</t>
  </si>
  <si>
    <t>06.07.01.01.02</t>
  </si>
  <si>
    <t>06.07.01.01.03</t>
  </si>
  <si>
    <t>06.07.01.03</t>
  </si>
  <si>
    <t>06.07.01.03.02</t>
  </si>
  <si>
    <t>06.07.01.03.03</t>
  </si>
  <si>
    <t>06.07.01.03.04</t>
  </si>
  <si>
    <t>06.05.02.01</t>
  </si>
  <si>
    <t>06.05.02.02</t>
  </si>
  <si>
    <t>06.05.02.03</t>
  </si>
  <si>
    <t>06.08.02.01</t>
  </si>
  <si>
    <t>06.08.02.02</t>
  </si>
  <si>
    <t>06.08.02.03</t>
  </si>
  <si>
    <t>NOVIEMBRE</t>
  </si>
  <si>
    <t>06.07.01.03.01</t>
  </si>
  <si>
    <t>Domingo</t>
  </si>
  <si>
    <t>Lunes</t>
  </si>
  <si>
    <t>Martes</t>
  </si>
  <si>
    <t>Miércoles</t>
  </si>
  <si>
    <t>Jueves</t>
  </si>
  <si>
    <t>Viernes</t>
  </si>
  <si>
    <t>Sábado</t>
  </si>
  <si>
    <t>06.06.02</t>
  </si>
  <si>
    <t xml:space="preserve">RELLENO Y COMPACTADO DE RAMPA DE ACCESO </t>
  </si>
  <si>
    <t>06.06.03</t>
  </si>
  <si>
    <t>06.05.01.02</t>
  </si>
  <si>
    <t>ESTABILIZACION DE SUELOS CON PIEDRA MEDIANA DE 6" - 8" -  RAMPAS DE ACCESO, VEREDAS DE BLOQUES (01,02.03 Y 04) Y PISOS DE BLOQUES (01,02,03 Y 04)</t>
  </si>
  <si>
    <t>06.07.01.03.01.01</t>
  </si>
  <si>
    <t>06.07.01.03.01.02</t>
  </si>
  <si>
    <t>06.07.01.03.02.01</t>
  </si>
  <si>
    <t>06.07.01.03.02.02</t>
  </si>
  <si>
    <t>06.07.01.03.02.03</t>
  </si>
  <si>
    <t>GLN</t>
  </si>
  <si>
    <t>ACARREO DE TUBO LAC 2"X2"X6M, E=2MM (D=0.35KM)</t>
  </si>
  <si>
    <t>ACARREO DE BALDES DE PINTURA (IMPRIMANTE, COLOR MARFIL, BLANCO, SALMON,)  (D=0.35KM)</t>
  </si>
  <si>
    <t>06.06.04</t>
  </si>
  <si>
    <t>RELLENO Y COMPACTADO DE MUROS INTERIORES</t>
  </si>
  <si>
    <t>Miercoles</t>
  </si>
  <si>
    <t>06.03.02.03</t>
  </si>
  <si>
    <t>06.03.02.03.01</t>
  </si>
  <si>
    <t>06.03.02.03.02</t>
  </si>
  <si>
    <t>06.03.02.03.03</t>
  </si>
  <si>
    <t>06.09</t>
  </si>
  <si>
    <t>06.09.01</t>
  </si>
  <si>
    <t>06.06.05</t>
  </si>
  <si>
    <t>RELLENO Y COMPACTADO DE VEREDAS BLOQUES (01,02,03 Y 04)</t>
  </si>
  <si>
    <t>MURO DE CABEZA LADRILLO CARAVISTA KING KONG CON CEMENTO ARENA</t>
  </si>
  <si>
    <t>SUMINISTRO E INSTALACION DE BIODIGESTOR 1300 LTS</t>
  </si>
  <si>
    <t xml:space="preserve">Viernes </t>
  </si>
  <si>
    <t>BRUÑAS DE 1CMX1CM EN MUROS INTERIORES</t>
  </si>
  <si>
    <t>06.05.03</t>
  </si>
  <si>
    <t>06.05.03.01</t>
  </si>
  <si>
    <t>06.07.01.03.03.01</t>
  </si>
  <si>
    <t>CAMARA DE INFILTRACION(CON LADRILLO KING KONG 9X12X24CM)</t>
  </si>
  <si>
    <t>TAPA DE CONCRETO F'C= 175 KG/CM2 PARA CAMARA DE INFILTRACION</t>
  </si>
  <si>
    <t>06.10</t>
  </si>
  <si>
    <t>06.10.01</t>
  </si>
  <si>
    <t>06.10.02</t>
  </si>
  <si>
    <t>06.10.03</t>
  </si>
  <si>
    <t>06.10.04</t>
  </si>
  <si>
    <t>06.10.05</t>
  </si>
  <si>
    <t>06.11</t>
  </si>
  <si>
    <t>06.11.01</t>
  </si>
  <si>
    <t>BRUÑAS DE 1CMX1CM EN MUROS EXTERIORES</t>
  </si>
  <si>
    <t>ACARREO DE PEGAMENTO PARA CERAMICOS, PORCELANATO (25KG)  (D=0.35KM)</t>
  </si>
  <si>
    <t>BOLSA</t>
  </si>
  <si>
    <t>ACARREO DE PORCELANATO DE 60X60CM  (D=0.35KM)</t>
  </si>
  <si>
    <t>ACARREO DE CERAMICO DE 45X45CM(D=0.35KM)</t>
  </si>
  <si>
    <t>06.04.02.01.01</t>
  </si>
  <si>
    <t>TARRAJEO EN COLUMNAS EXTERIORES</t>
  </si>
  <si>
    <t>06.04.02.01.02</t>
  </si>
  <si>
    <t>06.07.01.03.04.01</t>
  </si>
  <si>
    <t>06.11.02</t>
  </si>
  <si>
    <t>PEDESTAL CON LADRILLO KING KONG 9X12X24CM</t>
  </si>
  <si>
    <t>PARARRAYOS</t>
  </si>
  <si>
    <t>SUMINISTRO E INSTALACION DE DE PARARRAYOS</t>
  </si>
  <si>
    <t xml:space="preserve">SISTEMA DE PUESTA A TIERRA </t>
  </si>
  <si>
    <t>MATERIAL ORGANICO DE CANTERA PARA POZO A TIERRA D=8.5KM</t>
  </si>
  <si>
    <t>SISTEMA CON MALLA DE PUESTA A TIERRA R&lt;25 ohms</t>
  </si>
  <si>
    <t>EMPASTADO EN INTERIORES BLOQUES 01,02,03 Y 04</t>
  </si>
  <si>
    <t>B01</t>
  </si>
  <si>
    <t>B02</t>
  </si>
  <si>
    <t>B03</t>
  </si>
  <si>
    <t>B04</t>
  </si>
  <si>
    <t>06.04.04</t>
  </si>
  <si>
    <t>06.04.04.01</t>
  </si>
  <si>
    <t>DESCRIPCIÓN</t>
  </si>
  <si>
    <t>U.M</t>
  </si>
  <si>
    <t>MEDIDAS</t>
  </si>
  <si>
    <t>Ø</t>
  </si>
  <si>
    <t>5/8"</t>
  </si>
  <si>
    <t>3/4"</t>
  </si>
  <si>
    <t>1"</t>
  </si>
  <si>
    <t>AREA=</t>
  </si>
  <si>
    <t>PARTIDA                                    Nº</t>
  </si>
  <si>
    <t>Diseño del Acero</t>
  </si>
  <si>
    <t>N° de  Elem. Iguales</t>
  </si>
  <si>
    <t>N° de  Piezas x Elemento</t>
  </si>
  <si>
    <t>Long. por  Pieza</t>
  </si>
  <si>
    <t>Longitud (m) por Ø</t>
  </si>
  <si>
    <t>Peso                      Kg</t>
  </si>
  <si>
    <t>N°  VARILLAS</t>
  </si>
  <si>
    <t>EN BLOQUE 8</t>
  </si>
  <si>
    <t>EN BLOQUE 6</t>
  </si>
  <si>
    <t>EN BLOQUE 9</t>
  </si>
  <si>
    <t>EN BLOQUE 5</t>
  </si>
  <si>
    <t>EN BLOQUE 4</t>
  </si>
  <si>
    <t>EN BLOQUE 1</t>
  </si>
  <si>
    <t>EN BLOQUE 3</t>
  </si>
  <si>
    <t>EN BLOQUE 7</t>
  </si>
  <si>
    <t>EN BLOQUE 10</t>
  </si>
  <si>
    <t>EN BLOQUE 2</t>
  </si>
  <si>
    <t>EN MUROS INTERIORES</t>
  </si>
  <si>
    <t>: "MEJORAMIENTO DEL SERVICIO EDUCATIVO EN LA IEP Nº 54002 SANTA ROSA E IES SANTA ROSA DEL DISTRITO DE ABANCAY, PROVINCIA DE ABANCAY, REGION APURIMAC"</t>
  </si>
  <si>
    <t>METRADO DE ACERO CONTRACTUAL</t>
  </si>
  <si>
    <t>OBRAS DE TRABAJOS PRELIMINARES</t>
  </si>
  <si>
    <t>DEMOLICION DE CONTRAPISO EXSISTENTE E=5mm</t>
  </si>
  <si>
    <t>EN MUROS EXTERIORES</t>
  </si>
  <si>
    <t>LIJADO DE MURO EN  PINTURA ESMALTE EXISTENTE</t>
  </si>
  <si>
    <t>FALTA</t>
  </si>
  <si>
    <t>EN COLUMNAS DE PASADIZO EJE 1-2(1-10)</t>
  </si>
  <si>
    <t>EN CLOSET EXISTENTE DEL 1° AL 3° NIVEL INTERIOR Y EXTERIOR</t>
  </si>
  <si>
    <t>EN AREA DE PLACAS/VIGAS DE REFORZAMIENTO (PLACA RECTANGULAR)</t>
  </si>
  <si>
    <t>EN AREA DE PLACAS/VIGAS DE REFORZAMIENTO (PLACA EN ESQUINA)</t>
  </si>
  <si>
    <t>EN PRIMIER NIVEL</t>
  </si>
  <si>
    <t>EN SEGUNDO NIVEL</t>
  </si>
  <si>
    <t>EN TERCER NIVEL</t>
  </si>
  <si>
    <t>EN BLOQUE 11</t>
  </si>
  <si>
    <t>EN MURO INTERIOR</t>
  </si>
  <si>
    <t>EN 1° NIVEL</t>
  </si>
  <si>
    <t>EN 2° NIVEL</t>
  </si>
  <si>
    <t>EN 3° NIVEL</t>
  </si>
  <si>
    <t xml:space="preserve"> COLUMNAS CIRCULAR - ACERO f'y=4200 Kg/cm2</t>
  </si>
  <si>
    <t xml:space="preserve">ACERO EN COLUMNAS EN LOSA DEPORTIVA PRIMARIO </t>
  </si>
  <si>
    <t>ACERO EN COLUMNAS EN LOSA DEPORTIVA SECUNDARIO</t>
  </si>
  <si>
    <t>TRASLADO INTERNO EN OBRA</t>
  </si>
  <si>
    <t>ACARREO DE MEZCLA DE CONCRETO</t>
  </si>
  <si>
    <t>EN LOSA DEPORTIVA PRIMARIO Y SECUNDARIO</t>
  </si>
  <si>
    <t>EN MUROS, CANAL DE CONCRETO, RAMPAS</t>
  </si>
  <si>
    <t>Proyecto     :</t>
  </si>
  <si>
    <t xml:space="preserve">"MEJORAMIENTO DEL SERVICIO EDUCATIVO EN LA I.E.P. N°54002 SANTA ROSA E I.E.S. SANTA ROSA DEL DISTRITO DE ABANCAY, PROVINCIA DE ABANCAY - REGIÓN APURIMAC"_x000D_
</t>
  </si>
  <si>
    <t>Propietario   :</t>
  </si>
  <si>
    <t>G.R.A</t>
  </si>
  <si>
    <t>Fecha          :</t>
  </si>
  <si>
    <t>Especialidad:</t>
  </si>
  <si>
    <t>HOJA DE METRADOS - ESTRUCTURAS</t>
  </si>
  <si>
    <t>Modalidad:</t>
  </si>
  <si>
    <t>Ubicación:</t>
  </si>
  <si>
    <t>ABANCAY-ABANCAY-APURIMAC</t>
  </si>
  <si>
    <t>MONTAJE Y DESMONTAJE DE ANDAMIO PARA PINTURA PARA EXTERIOR</t>
  </si>
  <si>
    <t>EN GENERAL</t>
  </si>
  <si>
    <t>1.01.01</t>
  </si>
  <si>
    <t>LIMPIEZA DE JUNTAS DE PORCELANATO PARA FRAGUA</t>
  </si>
  <si>
    <t>01.02.04</t>
  </si>
  <si>
    <t xml:space="preserve">ELIMINACION DE DESMONTE PROVENIENTE DE DEMOLICION </t>
  </si>
  <si>
    <t>EQUIPOS DE PROTECCION INDIVIDUAL COMPLEMENTARIA</t>
  </si>
  <si>
    <t xml:space="preserve">     TRASLADO INTERNO EN OBRA</t>
  </si>
  <si>
    <t xml:space="preserve">      ACARREO DE MEZCLA DE CONCRETO</t>
  </si>
  <si>
    <t xml:space="preserve">DESCASCARAMIENTO DE TARRAJEO EXISTENTE </t>
  </si>
  <si>
    <t>1.02.01</t>
  </si>
  <si>
    <t xml:space="preserve"> LIMPIEZA DE JUNTAS DE PORCELANATO PARA FRAGUA EN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</si>
</sst>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_ * #,##0.00_ ;_ * \-#,##0.00_ ;_ * &quot;-&quot;??_ ;_ @_ "/>
    <numFmt numFmtId="165" formatCode="_(* #,##0.00_);_(* \(#,##0.00\);_(* &quot;-&quot;??_);_(@_)"/>
    <numFmt numFmtId="166" formatCode="&quot;S/.&quot;\ #,##0.00"/>
    <numFmt numFmtId="167" formatCode="_ [$€]* #,##0.00_ ;_ [$€]* \-#,##0.00_ ;_ [$€]* &quot;-&quot;??_ ;_ @_ "/>
    <numFmt numFmtId="168" formatCode="#,##0.00_);\-#,##0.00"/>
    <numFmt numFmtId="169" formatCode="#,##0.0000000000"/>
    <numFmt numFmtId="170" formatCode="[$-F800]dddd\,\ mmmm\ dd\,\ yyyy"/>
    <numFmt numFmtId="171" formatCode="#,##0.000"/>
    <numFmt numFmtId="172" formatCode="###,###,###,###,###,##0.0000"/>
    <numFmt numFmtId="173" formatCode="General_)"/>
    <numFmt numFmtId="174" formatCode="_-[$€-2]* #,##0.00_-;\-[$€-2]* #,##0.00_-;_-[$€-2]* &quot;-&quot;??_-"/>
    <numFmt numFmtId="175" formatCode="_ * #,##0.000_ ;_ * \-#,##0.000_ ;_ * &quot;-&quot;??_ ;_ @_ "/>
    <numFmt numFmtId="176" formatCode="_ * #,##0.0_ ;_ * \-#,##0.0_ ;_ * &quot;-&quot;??_ ;_ @_ "/>
    <numFmt numFmtId="177" formatCode="_ * #,##0_ ;_ * \-#,##0_ ;_ * &quot;-&quot;??_ ;_ @_ "/>
    <numFmt numFmtId="178" formatCode="0.000"/>
    <numFmt numFmtId="179" formatCode="mmmm\-yyyy"/>
  </numFmts>
  <fonts count="11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color indexed="10"/>
      <name val="Arial Narrow"/>
      <family val="2"/>
    </font>
    <font>
      <sz val="8"/>
      <name val="Arial Narrow"/>
      <family val="2"/>
    </font>
    <font>
      <sz val="8"/>
      <color indexed="57"/>
      <name val="Arial Narrow"/>
      <family val="2"/>
    </font>
    <font>
      <sz val="8"/>
      <color indexed="72"/>
      <name val="Arial Narrow"/>
      <family val="2"/>
    </font>
    <font>
      <b/>
      <sz val="8"/>
      <name val="Arial Narrow"/>
      <family val="2"/>
    </font>
    <font>
      <b/>
      <sz val="10"/>
      <name val="Arial"/>
      <family val="2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b/>
      <u/>
      <sz val="9"/>
      <name val="Arial"/>
      <family val="2"/>
    </font>
    <font>
      <b/>
      <sz val="11"/>
      <name val="Arial"/>
      <family val="2"/>
    </font>
    <font>
      <b/>
      <u/>
      <sz val="12"/>
      <name val="ARIAL"/>
      <family val="2"/>
    </font>
    <font>
      <b/>
      <i/>
      <sz val="9"/>
      <name val="Arial"/>
      <family val="2"/>
    </font>
    <font>
      <b/>
      <i/>
      <sz val="12"/>
      <name val="Arial"/>
      <family val="2"/>
    </font>
    <font>
      <i/>
      <sz val="9"/>
      <name val="Arial"/>
      <family val="2"/>
    </font>
    <font>
      <b/>
      <i/>
      <sz val="11"/>
      <name val="Arial"/>
      <family val="2"/>
    </font>
    <font>
      <sz val="10"/>
      <name val="MS Sans Serif"/>
      <family val="2"/>
    </font>
    <font>
      <b/>
      <sz val="8"/>
      <name val="Times New Roman"/>
      <family val="1"/>
    </font>
    <font>
      <sz val="8"/>
      <name val="Times New Roman"/>
      <family val="1"/>
    </font>
    <font>
      <sz val="11"/>
      <name val="Arial"/>
      <family val="2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sz val="8"/>
      <color indexed="8"/>
      <name val="MS Sans Serif"/>
      <family val="2"/>
    </font>
    <font>
      <b/>
      <sz val="10"/>
      <name val="Arial Narrow"/>
      <family val="2"/>
    </font>
    <font>
      <sz val="10"/>
      <name val="Arial Narrow"/>
      <family val="2"/>
    </font>
    <font>
      <sz val="9"/>
      <name val="Arial Narrow"/>
      <family val="2"/>
    </font>
    <font>
      <i/>
      <sz val="10"/>
      <name val="Arial"/>
      <family val="2"/>
    </font>
    <font>
      <sz val="9"/>
      <color indexed="8"/>
      <name val="Arial"/>
      <family val="2"/>
    </font>
    <font>
      <sz val="9"/>
      <color indexed="8"/>
      <name val="Calibri"/>
      <family val="2"/>
    </font>
    <font>
      <sz val="9"/>
      <color indexed="8"/>
      <name val="MS Sans Serif"/>
      <family val="2"/>
    </font>
    <font>
      <b/>
      <sz val="10"/>
      <color indexed="8"/>
      <name val="MS Sans Serif"/>
      <family val="2"/>
    </font>
    <font>
      <b/>
      <sz val="11"/>
      <color indexed="8"/>
      <name val="MS Sans Serif"/>
      <family val="2"/>
    </font>
    <font>
      <b/>
      <sz val="12"/>
      <name val="Arial Narrow"/>
      <family val="2"/>
    </font>
    <font>
      <sz val="12"/>
      <name val="Arial"/>
      <family val="2"/>
    </font>
    <font>
      <sz val="12"/>
      <name val="Arial Narrow"/>
      <family val="2"/>
    </font>
    <font>
      <sz val="10"/>
      <color indexed="8"/>
      <name val="Arial"/>
      <family val="2"/>
    </font>
    <font>
      <b/>
      <sz val="14"/>
      <name val="Arial"/>
      <family val="2"/>
    </font>
    <font>
      <sz val="8"/>
      <color indexed="10"/>
      <name val="Arial"/>
      <family val="2"/>
    </font>
    <font>
      <sz val="8"/>
      <color indexed="30"/>
      <name val="Arial"/>
      <family val="2"/>
    </font>
    <font>
      <sz val="8"/>
      <color indexed="9"/>
      <name val="Arial"/>
      <family val="2"/>
    </font>
    <font>
      <b/>
      <sz val="12"/>
      <name val="Arial"/>
      <family val="2"/>
    </font>
    <font>
      <b/>
      <sz val="10"/>
      <name val="Garamond"/>
      <family val="1"/>
    </font>
    <font>
      <sz val="8"/>
      <name val="Garamond"/>
      <family val="1"/>
    </font>
    <font>
      <b/>
      <sz val="8"/>
      <name val="Garamond"/>
      <family val="1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rgb="FFFF0000"/>
      <name val="Arial"/>
      <family val="2"/>
    </font>
    <font>
      <sz val="8"/>
      <color rgb="FF000080"/>
      <name val="Arial"/>
      <family val="2"/>
    </font>
    <font>
      <sz val="8"/>
      <color rgb="FF003300"/>
      <name val="Arial"/>
      <family val="2"/>
    </font>
    <font>
      <b/>
      <sz val="8"/>
      <color rgb="FFFF0000"/>
      <name val="Arial"/>
      <family val="2"/>
    </font>
    <font>
      <b/>
      <sz val="10"/>
      <color rgb="FFFF0000"/>
      <name val="Arial Narrow"/>
      <family val="2"/>
    </font>
    <font>
      <sz val="8"/>
      <color theme="0"/>
      <name val="Arial"/>
      <family val="2"/>
    </font>
    <font>
      <b/>
      <sz val="8"/>
      <color rgb="FF000080"/>
      <name val="Arial"/>
      <family val="2"/>
    </font>
    <font>
      <b/>
      <sz val="8"/>
      <color theme="4"/>
      <name val="Arial"/>
      <family val="2"/>
    </font>
    <font>
      <b/>
      <sz val="10"/>
      <color rgb="FFFF0000"/>
      <name val="Arial"/>
      <family val="2"/>
    </font>
    <font>
      <sz val="11"/>
      <color indexed="8"/>
      <name val="Calibri"/>
      <family val="2"/>
    </font>
    <font>
      <sz val="10"/>
      <color theme="1"/>
      <name val="Palatino Linotype"/>
      <family val="2"/>
    </font>
    <font>
      <sz val="12"/>
      <color rgb="FFFF0000"/>
      <name val="Palatino Linotype"/>
      <family val="2"/>
    </font>
    <font>
      <sz val="10"/>
      <color rgb="FFFF0000"/>
      <name val="Palatino Linotype"/>
      <family val="2"/>
    </font>
    <font>
      <b/>
      <sz val="10"/>
      <color theme="1"/>
      <name val="Palatino Linotype"/>
      <family val="1"/>
    </font>
    <font>
      <b/>
      <sz val="10"/>
      <name val="Palatino Linotype"/>
      <family val="1"/>
    </font>
    <font>
      <sz val="10"/>
      <name val="Palatino Linotype"/>
      <family val="1"/>
    </font>
    <font>
      <sz val="10"/>
      <name val="Palatino Linotype"/>
      <family val="2"/>
    </font>
    <font>
      <b/>
      <sz val="10"/>
      <color theme="8" tint="-0.499984740745262"/>
      <name val="Palatino Linotype"/>
      <family val="1"/>
    </font>
    <font>
      <sz val="8"/>
      <color theme="1"/>
      <name val="Arial"/>
      <family val="2"/>
    </font>
    <font>
      <sz val="8"/>
      <color rgb="FF3366FF"/>
      <name val="Arial"/>
      <family val="2"/>
    </font>
    <font>
      <sz val="8"/>
      <color rgb="FF339966"/>
      <name val="Arial"/>
      <family val="2"/>
    </font>
    <font>
      <sz val="8.25"/>
      <color rgb="FF000000"/>
      <name val="Palatino Linotype"/>
      <family val="2"/>
    </font>
    <font>
      <sz val="8.25"/>
      <color theme="1"/>
      <name val="Palatino Linotype"/>
      <family val="2"/>
    </font>
    <font>
      <sz val="10"/>
      <name val="Antique Olive"/>
      <family val="2"/>
    </font>
    <font>
      <b/>
      <sz val="18"/>
      <name val="Antique Olive"/>
      <family val="2"/>
    </font>
    <font>
      <b/>
      <sz val="8"/>
      <color theme="1"/>
      <name val="Arial"/>
      <family val="2"/>
    </font>
    <font>
      <sz val="8"/>
      <color theme="1"/>
      <name val="Arial Narrow"/>
      <family val="2"/>
    </font>
    <font>
      <b/>
      <sz val="9"/>
      <color rgb="FFFF0000"/>
      <name val="Arial"/>
      <family val="2"/>
    </font>
    <font>
      <sz val="10"/>
      <name val="Garamond"/>
      <family val="1"/>
    </font>
    <font>
      <sz val="10"/>
      <color rgb="FFFF0000"/>
      <name val="Garamond"/>
      <family val="1"/>
    </font>
    <font>
      <sz val="10"/>
      <color theme="1"/>
      <name val="Garamond"/>
      <family val="1"/>
    </font>
    <font>
      <b/>
      <sz val="10"/>
      <color theme="1"/>
      <name val="Garamond"/>
      <family val="1"/>
    </font>
    <font>
      <b/>
      <sz val="10"/>
      <color rgb="FFFF0000"/>
      <name val="Garamond"/>
      <family val="1"/>
    </font>
    <font>
      <sz val="8"/>
      <name val="Calibri"/>
      <family val="2"/>
      <scheme val="minor"/>
    </font>
    <font>
      <sz val="10"/>
      <color theme="0"/>
      <name val="Arial"/>
      <family val="2"/>
    </font>
    <font>
      <sz val="8"/>
      <color theme="0"/>
      <name val="Arial Narrow"/>
      <family val="2"/>
    </font>
    <font>
      <b/>
      <sz val="9"/>
      <name val="Garamond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Garamond"/>
      <family val="1"/>
    </font>
    <font>
      <sz val="18"/>
      <name val="Garamond"/>
      <family val="1"/>
    </font>
    <font>
      <b/>
      <sz val="18"/>
      <name val="Garamond"/>
      <family val="1"/>
    </font>
    <font>
      <sz val="5"/>
      <name val="Garamond"/>
      <family val="1"/>
    </font>
    <font>
      <b/>
      <sz val="12"/>
      <name val="Garamond"/>
      <family val="1"/>
    </font>
    <font>
      <sz val="9"/>
      <name val="Garamond"/>
      <family val="1"/>
    </font>
    <font>
      <b/>
      <i/>
      <sz val="14"/>
      <name val="Arial"/>
      <family val="2"/>
    </font>
    <font>
      <b/>
      <sz val="8"/>
      <color indexed="72"/>
      <name val="Arial Narrow"/>
      <family val="2"/>
    </font>
    <font>
      <sz val="11"/>
      <name val="Arial Black"/>
      <family val="2"/>
    </font>
    <font>
      <b/>
      <sz val="3"/>
      <name val="Arial Narrow"/>
      <family val="2"/>
    </font>
    <font>
      <sz val="8"/>
      <color theme="1" tint="4.9989318521683403E-2"/>
      <name val="Arial Narrow"/>
      <family val="2"/>
    </font>
    <font>
      <b/>
      <sz val="8"/>
      <color theme="1" tint="4.9989318521683403E-2"/>
      <name val="Arial Narrow"/>
      <family val="2"/>
    </font>
    <font>
      <sz val="3"/>
      <name val="Arial Narrow"/>
      <family val="2"/>
    </font>
    <font>
      <sz val="10"/>
      <name val="Arial Black"/>
      <family val="2"/>
    </font>
  </fonts>
  <fills count="3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auto="1"/>
      </patternFill>
    </fill>
    <fill>
      <patternFill patternType="lightGray">
        <fgColor auto="1"/>
        <bgColor auto="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lightGray">
        <fgColor auto="1"/>
        <bgColor theme="3" tint="0.79998168889431442"/>
      </patternFill>
    </fill>
    <fill>
      <patternFill patternType="lightGray">
        <fgColor auto="1"/>
        <bgColor theme="5" tint="0.79998168889431442"/>
      </patternFill>
    </fill>
    <fill>
      <patternFill patternType="lightGray">
        <fgColor auto="1"/>
        <bgColor theme="5" tint="0.59999389629810485"/>
      </patternFill>
    </fill>
    <fill>
      <patternFill patternType="lightGray">
        <fgColor auto="1"/>
        <bgColor theme="2" tint="-9.9978637043366805E-2"/>
      </patternFill>
    </fill>
    <fill>
      <patternFill patternType="lightGray">
        <fgColor auto="1"/>
        <bgColor theme="6" tint="0.39997558519241921"/>
      </patternFill>
    </fill>
    <fill>
      <patternFill patternType="lightGray">
        <fgColor auto="1"/>
        <bgColor theme="7" tint="0.59999389629810485"/>
      </patternFill>
    </fill>
    <fill>
      <patternFill patternType="lightGray">
        <fgColor auto="1"/>
        <bgColor rgb="FFFFFF00"/>
      </patternFill>
    </fill>
    <fill>
      <patternFill patternType="solid">
        <fgColor theme="0" tint="-0.249977111117893"/>
        <bgColor indexed="64"/>
      </patternFill>
    </fill>
  </fills>
  <borders count="14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</borders>
  <cellStyleXfs count="60">
    <xf numFmtId="0" fontId="0" fillId="0" borderId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58" fillId="0" borderId="0" applyFont="0" applyFill="0" applyBorder="0" applyAlignment="0" applyProtection="0"/>
    <xf numFmtId="168" fontId="13" fillId="0" borderId="0" applyFont="0" applyFill="0" applyBorder="0" applyAlignment="0" applyProtection="0"/>
    <xf numFmtId="164" fontId="58" fillId="0" borderId="0" applyFont="0" applyFill="0" applyBorder="0" applyAlignment="0" applyProtection="0"/>
    <xf numFmtId="165" fontId="13" fillId="0" borderId="0" applyFont="0" applyFill="0" applyBorder="0" applyAlignment="0" applyProtection="0">
      <alignment vertical="center"/>
    </xf>
    <xf numFmtId="0" fontId="13" fillId="0" borderId="0" applyFont="0" applyFill="0" applyBorder="0" applyAlignment="0" applyProtection="0"/>
    <xf numFmtId="0" fontId="58" fillId="0" borderId="0"/>
    <xf numFmtId="0" fontId="49" fillId="0" borderId="0">
      <alignment vertical="top"/>
    </xf>
    <xf numFmtId="0" fontId="58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>
      <alignment vertical="center"/>
    </xf>
    <xf numFmtId="0" fontId="58" fillId="0" borderId="0"/>
    <xf numFmtId="0" fontId="13" fillId="0" borderId="0"/>
    <xf numFmtId="0" fontId="21" fillId="0" borderId="0"/>
    <xf numFmtId="0" fontId="58" fillId="0" borderId="0"/>
    <xf numFmtId="0" fontId="58" fillId="0" borderId="0"/>
    <xf numFmtId="0" fontId="13" fillId="0" borderId="0"/>
    <xf numFmtId="0" fontId="49" fillId="0" borderId="0">
      <alignment vertical="top"/>
    </xf>
    <xf numFmtId="0" fontId="14" fillId="0" borderId="0">
      <alignment vertical="center"/>
    </xf>
    <xf numFmtId="0" fontId="14" fillId="0" borderId="0">
      <alignment vertical="center"/>
    </xf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22" fillId="0" borderId="0" applyNumberFormat="0" applyFill="0" applyBorder="0" applyProtection="0">
      <alignment vertical="center"/>
    </xf>
    <xf numFmtId="9" fontId="58" fillId="0" borderId="0" applyFont="0" applyFill="0" applyBorder="0" applyAlignment="0" applyProtection="0"/>
    <xf numFmtId="0" fontId="9" fillId="0" borderId="0"/>
    <xf numFmtId="9" fontId="71" fillId="0" borderId="0" applyFont="0" applyFill="0" applyBorder="0" applyAlignment="0" applyProtection="0"/>
    <xf numFmtId="0" fontId="8" fillId="0" borderId="0"/>
    <xf numFmtId="0" fontId="7" fillId="0" borderId="0"/>
    <xf numFmtId="0" fontId="7" fillId="0" borderId="0"/>
    <xf numFmtId="0" fontId="72" fillId="0" borderId="0"/>
    <xf numFmtId="0" fontId="6" fillId="0" borderId="0"/>
    <xf numFmtId="0" fontId="13" fillId="0" borderId="0"/>
    <xf numFmtId="17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" fillId="0" borderId="0"/>
  </cellStyleXfs>
  <cellXfs count="1666">
    <xf numFmtId="0" fontId="0" fillId="0" borderId="0" xfId="0"/>
    <xf numFmtId="0" fontId="14" fillId="0" borderId="0" xfId="12" applyFont="1"/>
    <xf numFmtId="0" fontId="12" fillId="0" borderId="0" xfId="12" applyFont="1"/>
    <xf numFmtId="0" fontId="14" fillId="0" borderId="0" xfId="12" applyFont="1" applyAlignment="1">
      <alignment horizontal="center"/>
    </xf>
    <xf numFmtId="0" fontId="14" fillId="0" borderId="0" xfId="12" applyFont="1" applyFill="1"/>
    <xf numFmtId="0" fontId="13" fillId="0" borderId="0" xfId="12" applyFont="1"/>
    <xf numFmtId="0" fontId="12" fillId="0" borderId="0" xfId="12" applyFont="1" applyFill="1" applyAlignment="1">
      <alignment horizontal="center"/>
    </xf>
    <xf numFmtId="0" fontId="12" fillId="0" borderId="0" xfId="12" applyFont="1" applyFill="1"/>
    <xf numFmtId="4" fontId="12" fillId="0" borderId="0" xfId="12" applyNumberFormat="1" applyFont="1" applyFill="1" applyAlignment="1">
      <alignment vertical="top"/>
    </xf>
    <xf numFmtId="4" fontId="12" fillId="0" borderId="0" xfId="12" applyNumberFormat="1" applyFont="1" applyFill="1" applyAlignment="1">
      <alignment horizontal="center" vertical="top"/>
    </xf>
    <xf numFmtId="0" fontId="12" fillId="0" borderId="0" xfId="12" applyFont="1" applyAlignment="1">
      <alignment vertical="top"/>
    </xf>
    <xf numFmtId="4" fontId="12" fillId="0" borderId="0" xfId="12" applyNumberFormat="1" applyFont="1" applyFill="1"/>
    <xf numFmtId="4" fontId="12" fillId="0" borderId="0" xfId="12" applyNumberFormat="1" applyFont="1" applyFill="1" applyAlignment="1">
      <alignment horizontal="center"/>
    </xf>
    <xf numFmtId="14" fontId="14" fillId="0" borderId="0" xfId="12" applyNumberFormat="1" applyFont="1" applyAlignment="1">
      <alignment horizontal="left"/>
    </xf>
    <xf numFmtId="49" fontId="14" fillId="0" borderId="0" xfId="12" applyNumberFormat="1" applyFont="1"/>
    <xf numFmtId="1" fontId="14" fillId="0" borderId="0" xfId="12" applyNumberFormat="1" applyFont="1" applyAlignment="1">
      <alignment horizontal="left"/>
    </xf>
    <xf numFmtId="0" fontId="13" fillId="4" borderId="0" xfId="12" applyFont="1" applyFill="1"/>
    <xf numFmtId="0" fontId="15" fillId="0" borderId="12" xfId="12" applyFont="1" applyBorder="1" applyAlignment="1" applyProtection="1">
      <alignment vertical="center"/>
      <protection locked="0"/>
    </xf>
    <xf numFmtId="0" fontId="16" fillId="0" borderId="0" xfId="12" applyFont="1"/>
    <xf numFmtId="0" fontId="17" fillId="0" borderId="12" xfId="12" applyFont="1" applyBorder="1" applyAlignment="1" applyProtection="1">
      <alignment vertical="center"/>
      <protection locked="0"/>
    </xf>
    <xf numFmtId="4" fontId="16" fillId="0" borderId="12" xfId="12" applyNumberFormat="1" applyFont="1" applyFill="1" applyBorder="1"/>
    <xf numFmtId="2" fontId="16" fillId="0" borderId="12" xfId="12" applyNumberFormat="1" applyFont="1" applyBorder="1"/>
    <xf numFmtId="4" fontId="16" fillId="0" borderId="12" xfId="12" applyNumberFormat="1" applyFont="1" applyBorder="1"/>
    <xf numFmtId="10" fontId="16" fillId="0" borderId="12" xfId="12" applyNumberFormat="1" applyFont="1" applyBorder="1"/>
    <xf numFmtId="0" fontId="18" fillId="0" borderId="12" xfId="12" applyFont="1" applyBorder="1" applyAlignment="1" applyProtection="1">
      <alignment vertical="center"/>
      <protection locked="0"/>
    </xf>
    <xf numFmtId="4" fontId="18" fillId="0" borderId="12" xfId="12" applyNumberFormat="1" applyFont="1" applyBorder="1" applyAlignment="1" applyProtection="1">
      <alignment vertical="center"/>
      <protection locked="0"/>
    </xf>
    <xf numFmtId="4" fontId="16" fillId="0" borderId="0" xfId="12" applyNumberFormat="1" applyFont="1"/>
    <xf numFmtId="0" fontId="13" fillId="0" borderId="0" xfId="12" applyNumberFormat="1" applyFont="1"/>
    <xf numFmtId="10" fontId="12" fillId="0" borderId="5" xfId="12" applyNumberFormat="1" applyFont="1" applyBorder="1" applyAlignment="1">
      <alignment horizontal="center"/>
    </xf>
    <xf numFmtId="0" fontId="14" fillId="0" borderId="0" xfId="12" applyNumberFormat="1" applyFont="1" applyBorder="1"/>
    <xf numFmtId="0" fontId="12" fillId="0" borderId="0" xfId="12" applyNumberFormat="1" applyFont="1" applyBorder="1" applyAlignment="1">
      <alignment horizontal="right"/>
    </xf>
    <xf numFmtId="0" fontId="14" fillId="0" borderId="0" xfId="12" applyNumberFormat="1" applyFont="1" applyBorder="1" applyAlignment="1">
      <alignment horizontal="center" vertical="center"/>
    </xf>
    <xf numFmtId="0" fontId="12" fillId="0" borderId="0" xfId="12" applyNumberFormat="1" applyFont="1" applyBorder="1"/>
    <xf numFmtId="0" fontId="12" fillId="0" borderId="0" xfId="12" applyNumberFormat="1" applyFont="1" applyFill="1" applyBorder="1"/>
    <xf numFmtId="0" fontId="12" fillId="0" borderId="0" xfId="12" applyNumberFormat="1" applyFont="1" applyFill="1" applyBorder="1" applyAlignment="1">
      <alignment horizontal="right"/>
    </xf>
    <xf numFmtId="0" fontId="14" fillId="0" borderId="0" xfId="12" applyNumberFormat="1" applyFont="1" applyFill="1" applyBorder="1" applyAlignment="1">
      <alignment horizontal="right"/>
    </xf>
    <xf numFmtId="4" fontId="12" fillId="0" borderId="0" xfId="12" applyNumberFormat="1" applyFont="1" applyBorder="1" applyAlignment="1">
      <alignment horizontal="right"/>
    </xf>
    <xf numFmtId="10" fontId="20" fillId="0" borderId="16" xfId="12" applyNumberFormat="1" applyFont="1" applyFill="1" applyBorder="1" applyAlignment="1">
      <alignment horizontal="right"/>
    </xf>
    <xf numFmtId="0" fontId="13" fillId="2" borderId="16" xfId="12" applyNumberFormat="1" applyFont="1" applyFill="1" applyBorder="1"/>
    <xf numFmtId="0" fontId="0" fillId="2" borderId="16" xfId="12" applyNumberFormat="1" applyFont="1" applyFill="1" applyBorder="1"/>
    <xf numFmtId="0" fontId="20" fillId="2" borderId="16" xfId="12" applyNumberFormat="1" applyFont="1" applyFill="1" applyBorder="1" applyAlignment="1">
      <alignment horizontal="right"/>
    </xf>
    <xf numFmtId="0" fontId="13" fillId="0" borderId="0" xfId="12" applyNumberFormat="1" applyFont="1" applyBorder="1"/>
    <xf numFmtId="0" fontId="13" fillId="0" borderId="0" xfId="12" applyNumberFormat="1" applyFont="1" applyAlignment="1">
      <alignment horizontal="center" vertical="center"/>
    </xf>
    <xf numFmtId="0" fontId="20" fillId="0" borderId="0" xfId="12" applyNumberFormat="1" applyFont="1" applyBorder="1"/>
    <xf numFmtId="0" fontId="13" fillId="0" borderId="0" xfId="12" applyNumberFormat="1" applyFont="1" applyFill="1" applyBorder="1"/>
    <xf numFmtId="0" fontId="20" fillId="0" borderId="0" xfId="12" applyNumberFormat="1" applyFont="1" applyFill="1" applyBorder="1" applyAlignment="1">
      <alignment horizontal="right"/>
    </xf>
    <xf numFmtId="0" fontId="13" fillId="0" borderId="0" xfId="12" applyNumberFormat="1" applyFont="1" applyBorder="1" applyAlignment="1">
      <alignment horizontal="right"/>
    </xf>
    <xf numFmtId="0" fontId="0" fillId="0" borderId="0" xfId="12" applyNumberFormat="1" applyFont="1" applyBorder="1"/>
    <xf numFmtId="0" fontId="0" fillId="0" borderId="0" xfId="12" applyNumberFormat="1" applyFont="1" applyFill="1" applyBorder="1" applyAlignment="1">
      <alignment horizontal="right"/>
    </xf>
    <xf numFmtId="0" fontId="16" fillId="0" borderId="0" xfId="12" applyFont="1" applyFill="1"/>
    <xf numFmtId="4" fontId="12" fillId="0" borderId="0" xfId="12" applyNumberFormat="1" applyFont="1" applyBorder="1"/>
    <xf numFmtId="14" fontId="14" fillId="0" borderId="0" xfId="12" applyNumberFormat="1" applyFont="1" applyAlignment="1">
      <alignment vertical="top"/>
    </xf>
    <xf numFmtId="0" fontId="13" fillId="0" borderId="0" xfId="12" applyFont="1" applyBorder="1"/>
    <xf numFmtId="0" fontId="13" fillId="0" borderId="0" xfId="12" applyFont="1" applyFill="1" applyBorder="1"/>
    <xf numFmtId="0" fontId="13" fillId="0" borderId="5" xfId="12" applyFont="1" applyFill="1" applyBorder="1"/>
    <xf numFmtId="0" fontId="20" fillId="0" borderId="0" xfId="12" applyNumberFormat="1" applyFont="1" applyFill="1" applyBorder="1" applyAlignment="1">
      <alignment horizontal="center"/>
    </xf>
    <xf numFmtId="0" fontId="13" fillId="0" borderId="0" xfId="12" applyFont="1" applyFill="1"/>
    <xf numFmtId="0" fontId="13" fillId="0" borderId="0" xfId="12" applyNumberFormat="1" applyFont="1" applyFill="1"/>
    <xf numFmtId="0" fontId="20" fillId="0" borderId="16" xfId="12" applyNumberFormat="1" applyFont="1" applyFill="1" applyBorder="1"/>
    <xf numFmtId="0" fontId="20" fillId="0" borderId="0" xfId="12" applyNumberFormat="1" applyFont="1" applyFill="1" applyBorder="1"/>
    <xf numFmtId="2" fontId="23" fillId="0" borderId="0" xfId="23" applyNumberFormat="1" applyFont="1" applyFill="1" applyBorder="1" applyAlignment="1"/>
    <xf numFmtId="2" fontId="10" fillId="0" borderId="0" xfId="23" applyNumberFormat="1" applyFont="1" applyFill="1" applyBorder="1"/>
    <xf numFmtId="2" fontId="10" fillId="0" borderId="0" xfId="23" applyNumberFormat="1" applyFont="1" applyFill="1" applyBorder="1" applyAlignment="1">
      <alignment horizontal="center"/>
    </xf>
    <xf numFmtId="2" fontId="10" fillId="0" borderId="0" xfId="23" applyNumberFormat="1" applyFont="1" applyFill="1" applyBorder="1" applyAlignment="1">
      <alignment horizontal="right"/>
    </xf>
    <xf numFmtId="2" fontId="11" fillId="0" borderId="0" xfId="23" applyNumberFormat="1" applyFont="1" applyFill="1" applyBorder="1" applyAlignment="1">
      <alignment horizontal="right"/>
    </xf>
    <xf numFmtId="2" fontId="24" fillId="0" borderId="0" xfId="23" applyNumberFormat="1" applyFont="1" applyFill="1" applyBorder="1" applyAlignment="1">
      <alignment horizontal="right"/>
    </xf>
    <xf numFmtId="2" fontId="10" fillId="0" borderId="0" xfId="23" applyNumberFormat="1" applyFont="1" applyFill="1" applyBorder="1" applyAlignment="1"/>
    <xf numFmtId="2" fontId="24" fillId="0" borderId="0" xfId="23" applyNumberFormat="1" applyFont="1" applyFill="1" applyBorder="1" applyAlignment="1"/>
    <xf numFmtId="2" fontId="11" fillId="0" borderId="0" xfId="23" applyNumberFormat="1" applyFont="1" applyFill="1" applyBorder="1" applyAlignment="1"/>
    <xf numFmtId="2" fontId="11" fillId="0" borderId="0" xfId="23" applyNumberFormat="1" applyFont="1" applyFill="1" applyBorder="1"/>
    <xf numFmtId="2" fontId="26" fillId="0" borderId="0" xfId="23" applyNumberFormat="1" applyFont="1" applyFill="1" applyBorder="1"/>
    <xf numFmtId="2" fontId="27" fillId="0" borderId="0" xfId="23" applyNumberFormat="1" applyFont="1" applyFill="1"/>
    <xf numFmtId="2" fontId="26" fillId="0" borderId="0" xfId="23" applyNumberFormat="1" applyFont="1" applyFill="1" applyBorder="1" applyAlignment="1">
      <alignment horizontal="center"/>
    </xf>
    <xf numFmtId="2" fontId="28" fillId="0" borderId="0" xfId="23" applyNumberFormat="1" applyFont="1" applyFill="1" applyBorder="1" applyAlignment="1">
      <alignment horizontal="center"/>
    </xf>
    <xf numFmtId="2" fontId="28" fillId="0" borderId="0" xfId="23" applyNumberFormat="1" applyFont="1" applyFill="1" applyBorder="1" applyAlignment="1">
      <alignment horizontal="right"/>
    </xf>
    <xf numFmtId="2" fontId="28" fillId="0" borderId="0" xfId="23" applyNumberFormat="1" applyFont="1" applyFill="1" applyAlignment="1">
      <alignment horizontal="right"/>
    </xf>
    <xf numFmtId="2" fontId="26" fillId="0" borderId="0" xfId="23" applyNumberFormat="1" applyFont="1" applyFill="1" applyBorder="1" applyAlignment="1">
      <alignment horizontal="right"/>
    </xf>
    <xf numFmtId="2" fontId="29" fillId="0" borderId="0" xfId="23" applyNumberFormat="1" applyFont="1" applyFill="1" applyAlignment="1">
      <alignment horizontal="right"/>
    </xf>
    <xf numFmtId="2" fontId="11" fillId="5" borderId="8" xfId="23" applyNumberFormat="1" applyFont="1" applyFill="1" applyBorder="1" applyAlignment="1">
      <alignment horizontal="center"/>
    </xf>
    <xf numFmtId="2" fontId="24" fillId="5" borderId="8" xfId="23" applyNumberFormat="1" applyFont="1" applyFill="1" applyBorder="1" applyAlignment="1">
      <alignment horizontal="center"/>
    </xf>
    <xf numFmtId="2" fontId="27" fillId="0" borderId="0" xfId="23" applyNumberFormat="1" applyFont="1" applyFill="1" applyBorder="1"/>
    <xf numFmtId="2" fontId="13" fillId="0" borderId="23" xfId="8" applyNumberFormat="1" applyFont="1" applyFill="1" applyBorder="1" applyAlignment="1">
      <alignment horizontal="center"/>
    </xf>
    <xf numFmtId="2" fontId="13" fillId="0" borderId="23" xfId="8" applyNumberFormat="1" applyFont="1" applyFill="1" applyBorder="1" applyAlignment="1">
      <alignment horizontal="right"/>
    </xf>
    <xf numFmtId="2" fontId="13" fillId="0" borderId="24" xfId="8" applyNumberFormat="1" applyFont="1" applyFill="1" applyBorder="1" applyAlignment="1">
      <alignment horizontal="right"/>
    </xf>
    <xf numFmtId="2" fontId="24" fillId="0" borderId="24" xfId="23" applyNumberFormat="1" applyFont="1" applyFill="1" applyBorder="1" applyAlignment="1">
      <alignment horizontal="right"/>
    </xf>
    <xf numFmtId="2" fontId="13" fillId="0" borderId="24" xfId="8" applyNumberFormat="1" applyFont="1" applyFill="1" applyBorder="1" applyAlignment="1">
      <alignment horizontal="center"/>
    </xf>
    <xf numFmtId="2" fontId="37" fillId="0" borderId="0" xfId="23" applyNumberFormat="1" applyFont="1" applyFill="1" applyAlignment="1"/>
    <xf numFmtId="2" fontId="38" fillId="0" borderId="0" xfId="23" applyNumberFormat="1" applyFont="1" applyFill="1"/>
    <xf numFmtId="2" fontId="38" fillId="0" borderId="0" xfId="23" applyNumberFormat="1" applyFont="1" applyFill="1" applyAlignment="1">
      <alignment horizontal="center"/>
    </xf>
    <xf numFmtId="2" fontId="37" fillId="0" borderId="0" xfId="23" applyNumberFormat="1" applyFont="1" applyFill="1" applyAlignment="1">
      <alignment horizontal="center"/>
    </xf>
    <xf numFmtId="2" fontId="38" fillId="0" borderId="0" xfId="23" applyNumberFormat="1" applyFont="1" applyFill="1" applyAlignment="1">
      <alignment horizontal="right"/>
    </xf>
    <xf numFmtId="2" fontId="37" fillId="0" borderId="0" xfId="23" applyNumberFormat="1" applyFont="1" applyFill="1" applyAlignment="1">
      <alignment horizontal="right"/>
    </xf>
    <xf numFmtId="2" fontId="39" fillId="0" borderId="0" xfId="23" applyNumberFormat="1" applyFont="1" applyFill="1"/>
    <xf numFmtId="2" fontId="39" fillId="0" borderId="0" xfId="23" applyNumberFormat="1" applyFont="1" applyFill="1" applyBorder="1"/>
    <xf numFmtId="0" fontId="18" fillId="0" borderId="12" xfId="12" applyFont="1" applyBorder="1" applyAlignment="1" applyProtection="1">
      <alignment horizontal="center" vertical="center"/>
      <protection locked="0"/>
    </xf>
    <xf numFmtId="0" fontId="14" fillId="0" borderId="0" xfId="12" applyNumberFormat="1" applyFont="1" applyBorder="1" applyAlignment="1">
      <alignment horizontal="center"/>
    </xf>
    <xf numFmtId="0" fontId="13" fillId="0" borderId="0" xfId="12" applyNumberFormat="1" applyFont="1" applyBorder="1" applyAlignment="1">
      <alignment horizontal="center"/>
    </xf>
    <xf numFmtId="0" fontId="16" fillId="0" borderId="0" xfId="12" applyFont="1" applyAlignment="1">
      <alignment horizontal="center"/>
    </xf>
    <xf numFmtId="4" fontId="16" fillId="0" borderId="12" xfId="12" applyNumberFormat="1" applyFont="1" applyBorder="1" applyAlignment="1" applyProtection="1">
      <alignment vertical="center"/>
      <protection locked="0"/>
    </xf>
    <xf numFmtId="10" fontId="20" fillId="0" borderId="5" xfId="12" applyNumberFormat="1" applyFont="1" applyBorder="1" applyAlignment="1">
      <alignment horizontal="center"/>
    </xf>
    <xf numFmtId="0" fontId="20" fillId="0" borderId="0" xfId="12" applyNumberFormat="1" applyFont="1" applyBorder="1" applyAlignment="1">
      <alignment horizontal="right"/>
    </xf>
    <xf numFmtId="0" fontId="13" fillId="0" borderId="0" xfId="12" applyNumberFormat="1" applyFont="1" applyBorder="1" applyAlignment="1">
      <alignment horizontal="center" vertical="center"/>
    </xf>
    <xf numFmtId="10" fontId="20" fillId="5" borderId="16" xfId="12" applyNumberFormat="1" applyFont="1" applyFill="1" applyBorder="1" applyAlignment="1">
      <alignment horizontal="center"/>
    </xf>
    <xf numFmtId="4" fontId="40" fillId="0" borderId="5" xfId="12" applyNumberFormat="1" applyFont="1" applyFill="1" applyBorder="1" applyAlignment="1">
      <alignment horizontal="center" vertical="center"/>
    </xf>
    <xf numFmtId="10" fontId="40" fillId="0" borderId="5" xfId="29" applyNumberFormat="1" applyFont="1" applyFill="1" applyBorder="1" applyAlignment="1">
      <alignment horizontal="center" vertical="center"/>
    </xf>
    <xf numFmtId="0" fontId="60" fillId="0" borderId="0" xfId="0" applyFont="1" applyFill="1"/>
    <xf numFmtId="0" fontId="42" fillId="0" borderId="0" xfId="0" applyFont="1" applyFill="1"/>
    <xf numFmtId="0" fontId="42" fillId="0" borderId="0" xfId="0" applyFont="1" applyFill="1" applyBorder="1"/>
    <xf numFmtId="0" fontId="42" fillId="0" borderId="8" xfId="0" applyFont="1" applyFill="1" applyBorder="1"/>
    <xf numFmtId="0" fontId="0" fillId="0" borderId="0" xfId="0" applyAlignment="1">
      <alignment horizontal="center"/>
    </xf>
    <xf numFmtId="0" fontId="43" fillId="0" borderId="0" xfId="0" applyFont="1" applyFill="1"/>
    <xf numFmtId="0" fontId="44" fillId="0" borderId="0" xfId="0" applyFont="1" applyFill="1"/>
    <xf numFmtId="0" fontId="61" fillId="0" borderId="0" xfId="0" applyFont="1" applyFill="1"/>
    <xf numFmtId="0" fontId="45" fillId="0" borderId="0" xfId="0" applyFont="1" applyFill="1"/>
    <xf numFmtId="0" fontId="41" fillId="4" borderId="0" xfId="0" applyFont="1" applyFill="1"/>
    <xf numFmtId="0" fontId="38" fillId="0" borderId="5" xfId="0" applyFont="1" applyBorder="1"/>
    <xf numFmtId="0" fontId="37" fillId="0" borderId="5" xfId="0" applyFont="1" applyBorder="1" applyAlignment="1">
      <alignment horizontal="center"/>
    </xf>
    <xf numFmtId="2" fontId="37" fillId="0" borderId="5" xfId="0" applyNumberFormat="1" applyFont="1" applyFill="1" applyBorder="1"/>
    <xf numFmtId="2" fontId="38" fillId="0" borderId="5" xfId="0" applyNumberFormat="1" applyFont="1" applyFill="1" applyBorder="1"/>
    <xf numFmtId="2" fontId="37" fillId="0" borderId="5" xfId="0" applyNumberFormat="1" applyFont="1" applyFill="1" applyBorder="1" applyAlignment="1">
      <alignment horizontal="right"/>
    </xf>
    <xf numFmtId="4" fontId="10" fillId="0" borderId="0" xfId="23" applyNumberFormat="1" applyFont="1" applyFill="1" applyBorder="1" applyAlignment="1">
      <alignment horizontal="center"/>
    </xf>
    <xf numFmtId="4" fontId="38" fillId="0" borderId="5" xfId="23" applyNumberFormat="1" applyFont="1" applyFill="1" applyBorder="1" applyAlignment="1">
      <alignment horizontal="center"/>
    </xf>
    <xf numFmtId="4" fontId="38" fillId="0" borderId="5" xfId="0" applyNumberFormat="1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20" fillId="0" borderId="0" xfId="0" applyFont="1" applyAlignment="1">
      <alignment horizontal="center"/>
    </xf>
    <xf numFmtId="0" fontId="47" fillId="0" borderId="0" xfId="0" applyFont="1"/>
    <xf numFmtId="49" fontId="62" fillId="0" borderId="4" xfId="0" applyNumberFormat="1" applyFont="1" applyBorder="1"/>
    <xf numFmtId="49" fontId="62" fillId="0" borderId="9" xfId="0" applyNumberFormat="1" applyFont="1" applyBorder="1"/>
    <xf numFmtId="49" fontId="14" fillId="0" borderId="4" xfId="0" applyNumberFormat="1" applyFont="1" applyBorder="1"/>
    <xf numFmtId="49" fontId="14" fillId="0" borderId="9" xfId="0" applyNumberFormat="1" applyFont="1" applyBorder="1"/>
    <xf numFmtId="49" fontId="63" fillId="0" borderId="4" xfId="0" applyNumberFormat="1" applyFont="1" applyBorder="1"/>
    <xf numFmtId="49" fontId="63" fillId="0" borderId="9" xfId="0" applyNumberFormat="1" applyFont="1" applyBorder="1"/>
    <xf numFmtId="49" fontId="14" fillId="0" borderId="9" xfId="0" applyNumberFormat="1" applyFont="1" applyBorder="1" applyAlignment="1"/>
    <xf numFmtId="49" fontId="64" fillId="0" borderId="4" xfId="0" applyNumberFormat="1" applyFont="1" applyBorder="1"/>
    <xf numFmtId="49" fontId="64" fillId="0" borderId="9" xfId="0" applyNumberFormat="1" applyFont="1" applyBorder="1"/>
    <xf numFmtId="4" fontId="14" fillId="0" borderId="5" xfId="0" applyNumberFormat="1" applyFont="1" applyBorder="1"/>
    <xf numFmtId="2" fontId="38" fillId="0" borderId="5" xfId="0" applyNumberFormat="1" applyFont="1" applyBorder="1"/>
    <xf numFmtId="2" fontId="38" fillId="0" borderId="5" xfId="2" applyNumberFormat="1" applyFont="1" applyFill="1" applyBorder="1" applyAlignment="1">
      <alignment horizontal="right"/>
    </xf>
    <xf numFmtId="4" fontId="38" fillId="0" borderId="5" xfId="0" applyNumberFormat="1" applyFont="1" applyFill="1" applyBorder="1" applyAlignment="1">
      <alignment horizontal="center"/>
    </xf>
    <xf numFmtId="2" fontId="38" fillId="0" borderId="5" xfId="0" applyNumberFormat="1" applyFont="1" applyFill="1" applyBorder="1" applyAlignment="1">
      <alignment horizontal="center"/>
    </xf>
    <xf numFmtId="0" fontId="37" fillId="0" borderId="5" xfId="0" applyFont="1" applyBorder="1"/>
    <xf numFmtId="0" fontId="16" fillId="0" borderId="5" xfId="12" applyFont="1" applyBorder="1" applyAlignment="1" applyProtection="1">
      <alignment horizontal="center" vertical="center"/>
      <protection locked="0"/>
    </xf>
    <xf numFmtId="2" fontId="37" fillId="0" borderId="24" xfId="23" applyNumberFormat="1" applyFont="1" applyFill="1" applyBorder="1" applyAlignment="1">
      <alignment horizontal="right"/>
    </xf>
    <xf numFmtId="2" fontId="38" fillId="0" borderId="5" xfId="23" applyNumberFormat="1" applyFont="1" applyFill="1" applyBorder="1" applyAlignment="1">
      <alignment horizontal="center"/>
    </xf>
    <xf numFmtId="0" fontId="37" fillId="0" borderId="11" xfId="0" applyFont="1" applyBorder="1" applyAlignment="1">
      <alignment horizontal="center"/>
    </xf>
    <xf numFmtId="2" fontId="13" fillId="0" borderId="0" xfId="8" applyNumberFormat="1" applyFont="1" applyFill="1" applyBorder="1" applyAlignment="1">
      <alignment horizontal="right"/>
    </xf>
    <xf numFmtId="4" fontId="19" fillId="0" borderId="5" xfId="12" applyNumberFormat="1" applyFont="1" applyFill="1" applyBorder="1"/>
    <xf numFmtId="4" fontId="0" fillId="0" borderId="5" xfId="0" applyNumberFormat="1" applyBorder="1" applyAlignment="1">
      <alignment horizontal="center"/>
    </xf>
    <xf numFmtId="0" fontId="0" fillId="0" borderId="5" xfId="0" applyBorder="1"/>
    <xf numFmtId="4" fontId="0" fillId="0" borderId="8" xfId="0" applyNumberFormat="1" applyBorder="1" applyAlignment="1">
      <alignment horizontal="center"/>
    </xf>
    <xf numFmtId="0" fontId="0" fillId="0" borderId="8" xfId="0" applyBorder="1"/>
    <xf numFmtId="2" fontId="46" fillId="0" borderId="6" xfId="23" applyNumberFormat="1" applyFont="1" applyFill="1" applyBorder="1" applyAlignment="1">
      <alignment horizontal="center"/>
    </xf>
    <xf numFmtId="0" fontId="38" fillId="0" borderId="6" xfId="0" applyFont="1" applyFill="1" applyBorder="1" applyAlignment="1">
      <alignment horizontal="center"/>
    </xf>
    <xf numFmtId="2" fontId="37" fillId="0" borderId="6" xfId="8" applyNumberFormat="1" applyFont="1" applyFill="1" applyBorder="1" applyAlignment="1">
      <alignment horizontal="right"/>
    </xf>
    <xf numFmtId="0" fontId="37" fillId="0" borderId="6" xfId="0" applyFont="1" applyBorder="1"/>
    <xf numFmtId="0" fontId="37" fillId="0" borderId="6" xfId="0" applyFont="1" applyFill="1" applyBorder="1" applyAlignment="1">
      <alignment horizontal="left"/>
    </xf>
    <xf numFmtId="0" fontId="38" fillId="0" borderId="6" xfId="0" applyFont="1" applyBorder="1"/>
    <xf numFmtId="2" fontId="37" fillId="0" borderId="6" xfId="2" applyNumberFormat="1" applyFont="1" applyFill="1" applyBorder="1" applyAlignment="1">
      <alignment horizontal="center" vertical="center"/>
    </xf>
    <xf numFmtId="0" fontId="48" fillId="0" borderId="6" xfId="0" applyFont="1" applyBorder="1"/>
    <xf numFmtId="2" fontId="38" fillId="4" borderId="6" xfId="23" applyNumberFormat="1" applyFont="1" applyFill="1" applyBorder="1" applyAlignment="1">
      <alignment horizontal="right"/>
    </xf>
    <xf numFmtId="2" fontId="66" fillId="0" borderId="6" xfId="2" applyNumberFormat="1" applyFont="1" applyFill="1" applyBorder="1" applyAlignment="1">
      <alignment horizontal="center" vertical="center"/>
    </xf>
    <xf numFmtId="0" fontId="0" fillId="0" borderId="6" xfId="0" applyBorder="1"/>
    <xf numFmtId="0" fontId="0" fillId="0" borderId="34" xfId="0" applyBorder="1"/>
    <xf numFmtId="2" fontId="10" fillId="0" borderId="0" xfId="23" applyNumberFormat="1" applyFont="1" applyFill="1" applyBorder="1" applyAlignment="1">
      <alignment horizontal="left"/>
    </xf>
    <xf numFmtId="2" fontId="23" fillId="0" borderId="0" xfId="23" applyNumberFormat="1" applyFont="1" applyFill="1" applyBorder="1" applyAlignment="1">
      <alignment horizontal="left"/>
    </xf>
    <xf numFmtId="2" fontId="11" fillId="0" borderId="0" xfId="23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4" fontId="47" fillId="0" borderId="0" xfId="0" applyNumberFormat="1" applyFont="1"/>
    <xf numFmtId="0" fontId="10" fillId="0" borderId="0" xfId="12" applyFont="1" applyAlignment="1">
      <alignment vertical="top"/>
    </xf>
    <xf numFmtId="0" fontId="10" fillId="0" borderId="0" xfId="12" applyFont="1"/>
    <xf numFmtId="0" fontId="10" fillId="0" borderId="0" xfId="12" applyFont="1" applyAlignment="1">
      <alignment horizontal="center"/>
    </xf>
    <xf numFmtId="4" fontId="10" fillId="0" borderId="0" xfId="12" applyNumberFormat="1" applyFont="1" applyFill="1" applyAlignment="1">
      <alignment vertical="top"/>
    </xf>
    <xf numFmtId="4" fontId="10" fillId="0" borderId="0" xfId="12" applyNumberFormat="1" applyFont="1" applyFill="1" applyAlignment="1">
      <alignment horizontal="center" vertical="top"/>
    </xf>
    <xf numFmtId="0" fontId="20" fillId="0" borderId="0" xfId="12" applyFont="1"/>
    <xf numFmtId="0" fontId="13" fillId="0" borderId="0" xfId="12" applyFont="1" applyAlignment="1">
      <alignment horizontal="center"/>
    </xf>
    <xf numFmtId="169" fontId="16" fillId="0" borderId="0" xfId="12" applyNumberFormat="1" applyFont="1"/>
    <xf numFmtId="49" fontId="14" fillId="0" borderId="35" xfId="0" applyNumberFormat="1" applyFont="1" applyBorder="1"/>
    <xf numFmtId="49" fontId="62" fillId="0" borderId="35" xfId="0" applyNumberFormat="1" applyFont="1" applyBorder="1"/>
    <xf numFmtId="49" fontId="63" fillId="0" borderId="35" xfId="0" applyNumberFormat="1" applyFont="1" applyBorder="1"/>
    <xf numFmtId="49" fontId="64" fillId="0" borderId="35" xfId="0" applyNumberFormat="1" applyFont="1" applyBorder="1"/>
    <xf numFmtId="49" fontId="14" fillId="0" borderId="36" xfId="0" applyNumberFormat="1" applyFont="1" applyBorder="1"/>
    <xf numFmtId="49" fontId="14" fillId="0" borderId="30" xfId="0" applyNumberFormat="1" applyFont="1" applyBorder="1"/>
    <xf numFmtId="49" fontId="14" fillId="0" borderId="30" xfId="0" applyNumberFormat="1" applyFont="1" applyBorder="1" applyAlignment="1"/>
    <xf numFmtId="49" fontId="63" fillId="0" borderId="30" xfId="0" applyNumberFormat="1" applyFont="1" applyBorder="1" applyAlignment="1"/>
    <xf numFmtId="49" fontId="63" fillId="0" borderId="30" xfId="0" applyNumberFormat="1" applyFont="1" applyBorder="1"/>
    <xf numFmtId="49" fontId="62" fillId="0" borderId="30" xfId="0" applyNumberFormat="1" applyFont="1" applyBorder="1"/>
    <xf numFmtId="49" fontId="64" fillId="0" borderId="30" xfId="0" applyNumberFormat="1" applyFont="1" applyBorder="1"/>
    <xf numFmtId="49" fontId="14" fillId="0" borderId="38" xfId="0" applyNumberFormat="1" applyFont="1" applyBorder="1"/>
    <xf numFmtId="0" fontId="12" fillId="4" borderId="10" xfId="12" applyFont="1" applyFill="1" applyBorder="1" applyAlignment="1">
      <alignment horizontal="center" vertical="center"/>
    </xf>
    <xf numFmtId="0" fontId="16" fillId="0" borderId="10" xfId="12" applyFont="1" applyBorder="1" applyAlignment="1" applyProtection="1">
      <alignment horizontal="center" vertical="center"/>
      <protection locked="0"/>
    </xf>
    <xf numFmtId="0" fontId="18" fillId="0" borderId="10" xfId="12" applyFont="1" applyBorder="1" applyAlignment="1" applyProtection="1">
      <alignment horizontal="center" vertical="center"/>
      <protection locked="0"/>
    </xf>
    <xf numFmtId="0" fontId="15" fillId="0" borderId="10" xfId="12" applyFont="1" applyBorder="1" applyAlignment="1" applyProtection="1">
      <alignment horizontal="center" vertical="center"/>
      <protection locked="0"/>
    </xf>
    <xf numFmtId="0" fontId="14" fillId="4" borderId="10" xfId="12" applyFont="1" applyFill="1" applyBorder="1" applyAlignment="1">
      <alignment horizontal="center" vertical="center"/>
    </xf>
    <xf numFmtId="0" fontId="15" fillId="0" borderId="10" xfId="12" applyFont="1" applyBorder="1" applyAlignment="1" applyProtection="1">
      <alignment vertical="center"/>
      <protection locked="0"/>
    </xf>
    <xf numFmtId="0" fontId="16" fillId="0" borderId="10" xfId="12" applyFont="1" applyBorder="1" applyAlignment="1" applyProtection="1">
      <alignment vertical="center"/>
      <protection locked="0"/>
    </xf>
    <xf numFmtId="0" fontId="18" fillId="0" borderId="10" xfId="12" applyFont="1" applyBorder="1" applyAlignment="1" applyProtection="1">
      <alignment vertical="center"/>
      <protection locked="0"/>
    </xf>
    <xf numFmtId="0" fontId="17" fillId="0" borderId="10" xfId="12" applyFont="1" applyBorder="1" applyAlignment="1" applyProtection="1">
      <alignment horizontal="center" vertical="center"/>
      <protection locked="0"/>
    </xf>
    <xf numFmtId="0" fontId="17" fillId="0" borderId="10" xfId="12" applyFont="1" applyBorder="1" applyAlignment="1" applyProtection="1">
      <alignment vertical="center"/>
      <protection locked="0"/>
    </xf>
    <xf numFmtId="0" fontId="18" fillId="0" borderId="40" xfId="12" applyFont="1" applyBorder="1" applyAlignment="1" applyProtection="1">
      <alignment horizontal="center" vertical="center"/>
      <protection locked="0"/>
    </xf>
    <xf numFmtId="4" fontId="13" fillId="4" borderId="0" xfId="12" applyNumberFormat="1" applyFont="1" applyFill="1"/>
    <xf numFmtId="10" fontId="16" fillId="0" borderId="0" xfId="12" applyNumberFormat="1" applyFont="1"/>
    <xf numFmtId="10" fontId="13" fillId="0" borderId="0" xfId="12" applyNumberFormat="1" applyFont="1" applyFill="1" applyBorder="1"/>
    <xf numFmtId="4" fontId="14" fillId="0" borderId="0" xfId="15" applyNumberFormat="1" applyFont="1" applyBorder="1"/>
    <xf numFmtId="4" fontId="52" fillId="0" borderId="0" xfId="15" applyNumberFormat="1" applyFont="1" applyBorder="1" applyAlignment="1">
      <alignment horizontal="center"/>
    </xf>
    <xf numFmtId="4" fontId="14" fillId="0" borderId="0" xfId="17" applyNumberFormat="1">
      <alignment vertical="center"/>
    </xf>
    <xf numFmtId="4" fontId="14" fillId="0" borderId="0" xfId="15" applyNumberFormat="1" applyFont="1" applyFill="1" applyBorder="1"/>
    <xf numFmtId="4" fontId="12" fillId="0" borderId="0" xfId="15" applyNumberFormat="1" applyFont="1" applyBorder="1"/>
    <xf numFmtId="49" fontId="14" fillId="0" borderId="42" xfId="25" applyNumberFormat="1" applyFont="1" applyBorder="1" applyAlignment="1">
      <alignment horizontal="left" vertical="center"/>
    </xf>
    <xf numFmtId="4" fontId="14" fillId="0" borderId="0" xfId="15" applyNumberFormat="1" applyFont="1" applyBorder="1" applyAlignment="1">
      <alignment horizontal="center"/>
    </xf>
    <xf numFmtId="4" fontId="12" fillId="0" borderId="0" xfId="15" applyNumberFormat="1" applyFont="1" applyFill="1" applyBorder="1"/>
    <xf numFmtId="4" fontId="14" fillId="0" borderId="25" xfId="15" applyNumberFormat="1" applyFont="1" applyFill="1" applyBorder="1"/>
    <xf numFmtId="4" fontId="52" fillId="0" borderId="0" xfId="15" applyNumberFormat="1" applyFont="1" applyFill="1" applyAlignment="1">
      <alignment horizontal="center"/>
    </xf>
    <xf numFmtId="4" fontId="14" fillId="0" borderId="45" xfId="15" applyNumberFormat="1" applyFont="1" applyFill="1" applyBorder="1" applyAlignment="1">
      <alignment horizontal="center"/>
    </xf>
    <xf numFmtId="4" fontId="12" fillId="0" borderId="0" xfId="15" applyNumberFormat="1" applyFont="1" applyFill="1" applyBorder="1" applyAlignment="1">
      <alignment horizontal="center"/>
    </xf>
    <xf numFmtId="4" fontId="14" fillId="0" borderId="0" xfId="15" applyNumberFormat="1" applyFont="1" applyFill="1"/>
    <xf numFmtId="4" fontId="14" fillId="0" borderId="42" xfId="15" applyNumberFormat="1" applyFont="1" applyFill="1" applyBorder="1" applyAlignment="1">
      <alignment horizontal="center"/>
    </xf>
    <xf numFmtId="4" fontId="14" fillId="0" borderId="26" xfId="15" applyNumberFormat="1" applyFont="1" applyFill="1" applyBorder="1" applyAlignment="1">
      <alignment horizontal="center"/>
    </xf>
    <xf numFmtId="4" fontId="14" fillId="0" borderId="4" xfId="15" applyNumberFormat="1" applyFont="1" applyFill="1" applyBorder="1"/>
    <xf numFmtId="4" fontId="12" fillId="0" borderId="5" xfId="15" applyNumberFormat="1" applyFont="1" applyFill="1" applyBorder="1" applyAlignment="1">
      <alignment horizontal="center"/>
    </xf>
    <xf numFmtId="3" fontId="67" fillId="0" borderId="5" xfId="15" applyNumberFormat="1" applyFont="1" applyFill="1" applyBorder="1" applyAlignment="1">
      <alignment horizontal="center"/>
    </xf>
    <xf numFmtId="3" fontId="67" fillId="0" borderId="6" xfId="15" applyNumberFormat="1" applyFont="1" applyFill="1" applyBorder="1" applyAlignment="1">
      <alignment horizontal="center"/>
    </xf>
    <xf numFmtId="4" fontId="53" fillId="0" borderId="0" xfId="15" applyNumberFormat="1" applyFont="1" applyFill="1" applyBorder="1" applyAlignment="1">
      <alignment horizontal="center"/>
    </xf>
    <xf numFmtId="4" fontId="14" fillId="0" borderId="0" xfId="7" applyNumberFormat="1" applyFont="1" applyBorder="1" applyAlignment="1">
      <alignment horizontal="center"/>
    </xf>
    <xf numFmtId="4" fontId="14" fillId="0" borderId="5" xfId="15" applyNumberFormat="1" applyFont="1" applyFill="1" applyBorder="1"/>
    <xf numFmtId="4" fontId="14" fillId="0" borderId="6" xfId="15" applyNumberFormat="1" applyFont="1" applyFill="1" applyBorder="1"/>
    <xf numFmtId="4" fontId="51" fillId="0" borderId="0" xfId="15" applyNumberFormat="1" applyFont="1"/>
    <xf numFmtId="10" fontId="0" fillId="0" borderId="0" xfId="28" applyNumberFormat="1" applyFont="1">
      <alignment vertical="center"/>
    </xf>
    <xf numFmtId="10" fontId="62" fillId="0" borderId="0" xfId="28" applyNumberFormat="1" applyFont="1">
      <alignment vertical="center"/>
    </xf>
    <xf numFmtId="4" fontId="65" fillId="0" borderId="4" xfId="15" applyNumberFormat="1" applyFont="1" applyFill="1" applyBorder="1" applyAlignment="1">
      <alignment horizontal="center"/>
    </xf>
    <xf numFmtId="49" fontId="68" fillId="0" borderId="4" xfId="12" applyNumberFormat="1" applyFont="1" applyBorder="1" applyAlignment="1">
      <alignment horizontal="left"/>
    </xf>
    <xf numFmtId="4" fontId="14" fillId="0" borderId="5" xfId="17" applyNumberFormat="1" applyBorder="1">
      <alignment vertical="center"/>
    </xf>
    <xf numFmtId="4" fontId="14" fillId="0" borderId="4" xfId="15" applyNumberFormat="1" applyFont="1" applyFill="1" applyBorder="1" applyAlignment="1">
      <alignment horizontal="left"/>
    </xf>
    <xf numFmtId="4" fontId="69" fillId="0" borderId="4" xfId="15" applyNumberFormat="1" applyFont="1" applyFill="1" applyBorder="1"/>
    <xf numFmtId="4" fontId="14" fillId="0" borderId="0" xfId="7" applyNumberFormat="1" applyFont="1" applyFill="1" applyBorder="1" applyAlignment="1"/>
    <xf numFmtId="4" fontId="14" fillId="0" borderId="11" xfId="15" applyNumberFormat="1" applyFont="1" applyFill="1" applyBorder="1"/>
    <xf numFmtId="4" fontId="14" fillId="0" borderId="42" xfId="15" applyNumberFormat="1" applyFont="1" applyFill="1" applyBorder="1"/>
    <xf numFmtId="4" fontId="14" fillId="0" borderId="13" xfId="15" applyNumberFormat="1" applyFont="1" applyFill="1" applyBorder="1"/>
    <xf numFmtId="4" fontId="14" fillId="0" borderId="13" xfId="7" applyNumberFormat="1" applyFont="1" applyFill="1" applyBorder="1" applyAlignment="1"/>
    <xf numFmtId="4" fontId="14" fillId="0" borderId="42" xfId="15" applyNumberFormat="1" applyFont="1" applyBorder="1"/>
    <xf numFmtId="4" fontId="14" fillId="0" borderId="11" xfId="15" applyNumberFormat="1" applyFont="1" applyBorder="1"/>
    <xf numFmtId="4" fontId="12" fillId="0" borderId="13" xfId="7" applyNumberFormat="1" applyFont="1" applyFill="1" applyBorder="1" applyAlignment="1"/>
    <xf numFmtId="4" fontId="14" fillId="0" borderId="5" xfId="15" applyNumberFormat="1" applyFont="1" applyFill="1" applyBorder="1" applyAlignment="1">
      <alignment horizontal="center"/>
    </xf>
    <xf numFmtId="4" fontId="14" fillId="0" borderId="0" xfId="17" applyNumberFormat="1" applyAlignment="1">
      <alignment horizontal="center" vertical="center"/>
    </xf>
    <xf numFmtId="49" fontId="14" fillId="0" borderId="48" xfId="26" applyNumberFormat="1" applyFont="1" applyBorder="1" applyAlignment="1">
      <alignment horizontal="left" vertical="center"/>
    </xf>
    <xf numFmtId="49" fontId="14" fillId="0" borderId="21" xfId="26" applyNumberFormat="1" applyFont="1" applyBorder="1" applyAlignment="1">
      <alignment horizontal="left" vertical="center"/>
    </xf>
    <xf numFmtId="14" fontId="12" fillId="0" borderId="0" xfId="24" applyNumberFormat="1" applyFont="1" applyFill="1" applyBorder="1" applyAlignment="1">
      <alignment horizontal="left" vertical="top"/>
    </xf>
    <xf numFmtId="0" fontId="14" fillId="0" borderId="0" xfId="25" applyFont="1" applyBorder="1" applyAlignment="1">
      <alignment horizontal="center" vertical="center"/>
    </xf>
    <xf numFmtId="4" fontId="14" fillId="0" borderId="0" xfId="25" applyNumberFormat="1" applyFont="1" applyBorder="1">
      <alignment vertical="center"/>
    </xf>
    <xf numFmtId="0" fontId="14" fillId="0" borderId="0" xfId="17" applyBorder="1">
      <alignment vertical="center"/>
    </xf>
    <xf numFmtId="49" fontId="14" fillId="0" borderId="49" xfId="26" applyNumberFormat="1" applyFont="1" applyBorder="1" applyAlignment="1">
      <alignment horizontal="left" vertical="center"/>
    </xf>
    <xf numFmtId="170" fontId="12" fillId="0" borderId="50" xfId="26" applyNumberFormat="1" applyFont="1" applyFill="1" applyBorder="1" applyAlignment="1">
      <alignment horizontal="left" vertical="center"/>
    </xf>
    <xf numFmtId="0" fontId="14" fillId="0" borderId="50" xfId="25" applyFont="1" applyBorder="1" applyAlignment="1">
      <alignment horizontal="center" vertical="center"/>
    </xf>
    <xf numFmtId="4" fontId="14" fillId="0" borderId="50" xfId="25" applyNumberFormat="1" applyFont="1" applyBorder="1">
      <alignment vertical="center"/>
    </xf>
    <xf numFmtId="0" fontId="14" fillId="0" borderId="50" xfId="17" applyBorder="1">
      <alignment vertical="center"/>
    </xf>
    <xf numFmtId="4" fontId="65" fillId="0" borderId="1" xfId="15" applyNumberFormat="1" applyFont="1" applyFill="1" applyBorder="1" applyAlignment="1">
      <alignment horizontal="right"/>
    </xf>
    <xf numFmtId="4" fontId="65" fillId="0" borderId="2" xfId="15" applyNumberFormat="1" applyFont="1" applyFill="1" applyBorder="1" applyAlignment="1">
      <alignment horizontal="right"/>
    </xf>
    <xf numFmtId="4" fontId="12" fillId="0" borderId="2" xfId="15" applyNumberFormat="1" applyFont="1" applyFill="1" applyBorder="1" applyAlignment="1">
      <alignment horizontal="center"/>
    </xf>
    <xf numFmtId="4" fontId="12" fillId="0" borderId="3" xfId="15" applyNumberFormat="1" applyFont="1" applyFill="1" applyBorder="1" applyAlignment="1">
      <alignment horizontal="center"/>
    </xf>
    <xf numFmtId="3" fontId="12" fillId="4" borderId="5" xfId="15" applyNumberFormat="1" applyFont="1" applyFill="1" applyBorder="1" applyAlignment="1">
      <alignment horizontal="center"/>
    </xf>
    <xf numFmtId="4" fontId="14" fillId="0" borderId="5" xfId="7" applyNumberFormat="1" applyFont="1" applyFill="1" applyBorder="1" applyAlignment="1"/>
    <xf numFmtId="2" fontId="11" fillId="3" borderId="11" xfId="15" applyNumberFormat="1" applyFont="1" applyFill="1" applyBorder="1" applyAlignment="1">
      <alignment horizontal="center"/>
    </xf>
    <xf numFmtId="4" fontId="65" fillId="0" borderId="5" xfId="15" applyNumberFormat="1" applyFont="1" applyFill="1" applyBorder="1" applyAlignment="1">
      <alignment horizontal="center"/>
    </xf>
    <xf numFmtId="49" fontId="63" fillId="0" borderId="5" xfId="12" applyNumberFormat="1" applyFont="1" applyBorder="1" applyAlignment="1">
      <alignment horizontal="left"/>
    </xf>
    <xf numFmtId="4" fontId="14" fillId="0" borderId="7" xfId="15" applyNumberFormat="1" applyFont="1" applyFill="1" applyBorder="1"/>
    <xf numFmtId="4" fontId="14" fillId="0" borderId="8" xfId="15" applyNumberFormat="1" applyFont="1" applyFill="1" applyBorder="1"/>
    <xf numFmtId="4" fontId="52" fillId="0" borderId="0" xfId="15" applyNumberFormat="1" applyFont="1" applyFill="1" applyBorder="1" applyAlignment="1">
      <alignment horizontal="center"/>
    </xf>
    <xf numFmtId="4" fontId="12" fillId="0" borderId="45" xfId="15" applyNumberFormat="1" applyFont="1" applyFill="1" applyBorder="1"/>
    <xf numFmtId="4" fontId="12" fillId="0" borderId="53" xfId="15" applyNumberFormat="1" applyFont="1" applyFill="1" applyBorder="1"/>
    <xf numFmtId="4" fontId="12" fillId="0" borderId="10" xfId="15" applyNumberFormat="1" applyFont="1" applyFill="1" applyBorder="1"/>
    <xf numFmtId="49" fontId="20" fillId="6" borderId="1" xfId="0" applyNumberFormat="1" applyFont="1" applyFill="1" applyBorder="1" applyAlignment="1">
      <alignment horizontal="right"/>
    </xf>
    <xf numFmtId="2" fontId="20" fillId="6" borderId="2" xfId="0" applyNumberFormat="1" applyFont="1" applyFill="1" applyBorder="1" applyAlignment="1">
      <alignment horizontal="center"/>
    </xf>
    <xf numFmtId="2" fontId="13" fillId="6" borderId="2" xfId="0" applyNumberFormat="1" applyFont="1" applyFill="1" applyBorder="1" applyAlignment="1">
      <alignment horizontal="center"/>
    </xf>
    <xf numFmtId="4" fontId="20" fillId="6" borderId="2" xfId="0" applyNumberFormat="1" applyFont="1" applyFill="1" applyBorder="1" applyAlignment="1">
      <alignment horizontal="center"/>
    </xf>
    <xf numFmtId="2" fontId="20" fillId="6" borderId="3" xfId="0" applyNumberFormat="1" applyFont="1" applyFill="1" applyBorder="1" applyAlignment="1">
      <alignment horizontal="center"/>
    </xf>
    <xf numFmtId="49" fontId="20" fillId="6" borderId="7" xfId="0" applyNumberFormat="1" applyFont="1" applyFill="1" applyBorder="1" applyAlignment="1">
      <alignment horizontal="right"/>
    </xf>
    <xf numFmtId="2" fontId="20" fillId="6" borderId="8" xfId="0" applyNumberFormat="1" applyFont="1" applyFill="1" applyBorder="1" applyAlignment="1">
      <alignment horizontal="center"/>
    </xf>
    <xf numFmtId="2" fontId="13" fillId="6" borderId="8" xfId="0" applyNumberFormat="1" applyFont="1" applyFill="1" applyBorder="1" applyAlignment="1">
      <alignment horizontal="center"/>
    </xf>
    <xf numFmtId="4" fontId="20" fillId="6" borderId="8" xfId="0" applyNumberFormat="1" applyFont="1" applyFill="1" applyBorder="1" applyAlignment="1">
      <alignment horizontal="center"/>
    </xf>
    <xf numFmtId="2" fontId="20" fillId="6" borderId="34" xfId="0" applyNumberFormat="1" applyFont="1" applyFill="1" applyBorder="1" applyAlignment="1">
      <alignment horizontal="center"/>
    </xf>
    <xf numFmtId="2" fontId="13" fillId="0" borderId="13" xfId="0" applyNumberFormat="1" applyFont="1" applyFill="1" applyBorder="1" applyAlignment="1">
      <alignment horizontal="center"/>
    </xf>
    <xf numFmtId="2" fontId="20" fillId="0" borderId="13" xfId="0" applyNumberFormat="1" applyFont="1" applyFill="1" applyBorder="1" applyAlignment="1">
      <alignment horizontal="center"/>
    </xf>
    <xf numFmtId="4" fontId="20" fillId="0" borderId="13" xfId="0" applyNumberFormat="1" applyFont="1" applyFill="1" applyBorder="1" applyAlignment="1">
      <alignment horizontal="center"/>
    </xf>
    <xf numFmtId="2" fontId="20" fillId="0" borderId="47" xfId="0" applyNumberFormat="1" applyFont="1" applyFill="1" applyBorder="1" applyAlignment="1">
      <alignment horizontal="center"/>
    </xf>
    <xf numFmtId="49" fontId="13" fillId="0" borderId="4" xfId="0" applyNumberFormat="1" applyFont="1" applyFill="1" applyBorder="1" applyAlignment="1">
      <alignment horizontal="right"/>
    </xf>
    <xf numFmtId="2" fontId="13" fillId="0" borderId="5" xfId="0" applyNumberFormat="1" applyFont="1" applyFill="1" applyBorder="1" applyAlignment="1">
      <alignment horizontal="left"/>
    </xf>
    <xf numFmtId="2" fontId="13" fillId="0" borderId="5" xfId="0" applyNumberFormat="1" applyFont="1" applyFill="1" applyBorder="1" applyAlignment="1">
      <alignment horizontal="center"/>
    </xf>
    <xf numFmtId="2" fontId="13" fillId="0" borderId="5" xfId="0" applyNumberFormat="1" applyFont="1" applyFill="1" applyBorder="1" applyAlignment="1">
      <alignment horizontal="right"/>
    </xf>
    <xf numFmtId="2" fontId="20" fillId="0" borderId="6" xfId="0" applyNumberFormat="1" applyFont="1" applyFill="1" applyBorder="1" applyAlignment="1">
      <alignment horizontal="right"/>
    </xf>
    <xf numFmtId="49" fontId="20" fillId="0" borderId="4" xfId="0" applyNumberFormat="1" applyFont="1" applyFill="1" applyBorder="1" applyAlignment="1">
      <alignment horizontal="right"/>
    </xf>
    <xf numFmtId="2" fontId="20" fillId="0" borderId="5" xfId="0" applyNumberFormat="1" applyFont="1" applyFill="1" applyBorder="1" applyAlignment="1">
      <alignment horizontal="center"/>
    </xf>
    <xf numFmtId="4" fontId="20" fillId="0" borderId="5" xfId="0" applyNumberFormat="1" applyFont="1" applyFill="1" applyBorder="1" applyAlignment="1">
      <alignment horizontal="center"/>
    </xf>
    <xf numFmtId="0" fontId="20" fillId="0" borderId="5" xfId="0" applyFont="1" applyFill="1" applyBorder="1" applyAlignment="1"/>
    <xf numFmtId="4" fontId="13" fillId="0" borderId="5" xfId="0" applyNumberFormat="1" applyFont="1" applyFill="1" applyBorder="1" applyAlignment="1">
      <alignment horizontal="right"/>
    </xf>
    <xf numFmtId="171" fontId="13" fillId="0" borderId="5" xfId="0" applyNumberFormat="1" applyFont="1" applyFill="1" applyBorder="1" applyAlignment="1">
      <alignment horizontal="center"/>
    </xf>
    <xf numFmtId="4" fontId="20" fillId="0" borderId="6" xfId="0" applyNumberFormat="1" applyFont="1" applyFill="1" applyBorder="1" applyAlignment="1">
      <alignment horizontal="right"/>
    </xf>
    <xf numFmtId="0" fontId="13" fillId="0" borderId="5" xfId="0" applyFont="1" applyFill="1" applyBorder="1" applyAlignment="1"/>
    <xf numFmtId="0" fontId="13" fillId="0" borderId="5" xfId="0" applyFont="1" applyFill="1" applyBorder="1" applyAlignment="1">
      <alignment horizontal="center"/>
    </xf>
    <xf numFmtId="4" fontId="13" fillId="0" borderId="5" xfId="0" applyNumberFormat="1" applyFont="1" applyFill="1" applyBorder="1"/>
    <xf numFmtId="4" fontId="13" fillId="4" borderId="5" xfId="0" applyNumberFormat="1" applyFont="1" applyFill="1" applyBorder="1" applyAlignment="1">
      <alignment horizontal="right"/>
    </xf>
    <xf numFmtId="4" fontId="13" fillId="4" borderId="5" xfId="0" applyNumberFormat="1" applyFont="1" applyFill="1" applyBorder="1"/>
    <xf numFmtId="4" fontId="13" fillId="0" borderId="5" xfId="0" applyNumberFormat="1" applyFont="1" applyFill="1" applyBorder="1" applyAlignment="1">
      <alignment horizontal="left"/>
    </xf>
    <xf numFmtId="49" fontId="70" fillId="0" borderId="4" xfId="0" applyNumberFormat="1" applyFont="1" applyFill="1" applyBorder="1" applyAlignment="1">
      <alignment horizontal="right"/>
    </xf>
    <xf numFmtId="0" fontId="40" fillId="0" borderId="4" xfId="12" applyFont="1" applyFill="1" applyBorder="1" applyAlignment="1">
      <alignment horizontal="center" vertical="center"/>
    </xf>
    <xf numFmtId="14" fontId="14" fillId="0" borderId="0" xfId="12" applyNumberFormat="1" applyFont="1" applyAlignment="1">
      <alignment horizontal="right"/>
    </xf>
    <xf numFmtId="2" fontId="11" fillId="0" borderId="0" xfId="23" applyNumberFormat="1" applyFont="1" applyFill="1" applyBorder="1" applyAlignment="1">
      <alignment horizontal="center"/>
    </xf>
    <xf numFmtId="2" fontId="11" fillId="5" borderId="2" xfId="23" applyNumberFormat="1" applyFont="1" applyFill="1" applyBorder="1" applyAlignment="1">
      <alignment horizontal="center"/>
    </xf>
    <xf numFmtId="4" fontId="13" fillId="0" borderId="5" xfId="0" applyNumberFormat="1" applyFont="1" applyFill="1" applyBorder="1" applyAlignment="1">
      <alignment horizontal="center"/>
    </xf>
    <xf numFmtId="10" fontId="16" fillId="0" borderId="3" xfId="12" applyNumberFormat="1" applyFont="1" applyBorder="1"/>
    <xf numFmtId="10" fontId="16" fillId="0" borderId="6" xfId="12" applyNumberFormat="1" applyFont="1" applyBorder="1"/>
    <xf numFmtId="4" fontId="18" fillId="0" borderId="5" xfId="12" applyNumberFormat="1" applyFont="1" applyBorder="1" applyAlignment="1" applyProtection="1">
      <alignment vertical="center"/>
      <protection locked="0"/>
    </xf>
    <xf numFmtId="0" fontId="12" fillId="4" borderId="1" xfId="12" applyFont="1" applyFill="1" applyBorder="1" applyAlignment="1">
      <alignment horizontal="center" vertical="center"/>
    </xf>
    <xf numFmtId="0" fontId="12" fillId="4" borderId="3" xfId="12" applyFont="1" applyFill="1" applyBorder="1" applyAlignment="1">
      <alignment horizontal="center" vertical="center"/>
    </xf>
    <xf numFmtId="4" fontId="0" fillId="0" borderId="5" xfId="0" applyNumberFormat="1" applyBorder="1"/>
    <xf numFmtId="4" fontId="63" fillId="0" borderId="5" xfId="0" applyNumberFormat="1" applyFont="1" applyBorder="1"/>
    <xf numFmtId="49" fontId="14" fillId="4" borderId="30" xfId="0" applyNumberFormat="1" applyFont="1" applyFill="1" applyBorder="1"/>
    <xf numFmtId="4" fontId="18" fillId="4" borderId="9" xfId="12" applyNumberFormat="1" applyFont="1" applyFill="1" applyBorder="1" applyAlignment="1" applyProtection="1">
      <alignment vertical="center"/>
      <protection locked="0"/>
    </xf>
    <xf numFmtId="10" fontId="16" fillId="4" borderId="6" xfId="12" applyNumberFormat="1" applyFont="1" applyFill="1" applyBorder="1"/>
    <xf numFmtId="4" fontId="16" fillId="4" borderId="4" xfId="12" applyNumberFormat="1" applyFont="1" applyFill="1" applyBorder="1"/>
    <xf numFmtId="4" fontId="18" fillId="4" borderId="5" xfId="12" applyNumberFormat="1" applyFont="1" applyFill="1" applyBorder="1" applyAlignment="1" applyProtection="1">
      <alignment vertical="center"/>
      <protection locked="0"/>
    </xf>
    <xf numFmtId="49" fontId="14" fillId="4" borderId="30" xfId="0" applyNumberFormat="1" applyFont="1" applyFill="1" applyBorder="1" applyAlignment="1">
      <alignment horizontal="left"/>
    </xf>
    <xf numFmtId="49" fontId="14" fillId="4" borderId="30" xfId="0" applyNumberFormat="1" applyFont="1" applyFill="1" applyBorder="1" applyAlignment="1"/>
    <xf numFmtId="10" fontId="13" fillId="0" borderId="0" xfId="12" applyNumberFormat="1" applyFont="1" applyBorder="1"/>
    <xf numFmtId="4" fontId="20" fillId="0" borderId="6" xfId="12" applyNumberFormat="1" applyFont="1" applyBorder="1"/>
    <xf numFmtId="4" fontId="20" fillId="0" borderId="0" xfId="12" applyNumberFormat="1" applyFont="1" applyFill="1" applyBorder="1"/>
    <xf numFmtId="4" fontId="20" fillId="0" borderId="0" xfId="12" applyNumberFormat="1" applyFont="1" applyFill="1" applyBorder="1" applyAlignment="1">
      <alignment horizontal="right"/>
    </xf>
    <xf numFmtId="4" fontId="20" fillId="0" borderId="0" xfId="12" applyNumberFormat="1" applyFont="1" applyBorder="1" applyAlignment="1">
      <alignment horizontal="right"/>
    </xf>
    <xf numFmtId="0" fontId="10" fillId="0" borderId="0" xfId="37" applyFont="1"/>
    <xf numFmtId="0" fontId="10" fillId="0" borderId="0" xfId="37" applyFont="1" applyFill="1"/>
    <xf numFmtId="0" fontId="10" fillId="0" borderId="21" xfId="37" applyFont="1" applyFill="1" applyBorder="1"/>
    <xf numFmtId="0" fontId="10" fillId="0" borderId="0" xfId="37" applyFont="1" applyFill="1" applyBorder="1"/>
    <xf numFmtId="0" fontId="11" fillId="0" borderId="0" xfId="37" applyFont="1" applyFill="1" applyBorder="1"/>
    <xf numFmtId="0" fontId="24" fillId="0" borderId="0" xfId="37" applyFont="1" applyFill="1" applyBorder="1"/>
    <xf numFmtId="0" fontId="10" fillId="0" borderId="22" xfId="37" applyFont="1" applyFill="1" applyBorder="1"/>
    <xf numFmtId="0" fontId="20" fillId="0" borderId="23" xfId="37" quotePrefix="1" applyFont="1" applyBorder="1" applyAlignment="1" applyProtection="1">
      <alignment vertical="center"/>
      <protection locked="0"/>
    </xf>
    <xf numFmtId="0" fontId="20" fillId="0" borderId="23" xfId="37" applyFont="1" applyBorder="1" applyAlignment="1" applyProtection="1">
      <alignment vertical="center"/>
      <protection locked="0"/>
    </xf>
    <xf numFmtId="0" fontId="20" fillId="0" borderId="23" xfId="37" applyFont="1" applyFill="1" applyBorder="1" applyAlignment="1">
      <alignment horizontal="center"/>
    </xf>
    <xf numFmtId="2" fontId="13" fillId="0" borderId="23" xfId="37" applyNumberFormat="1" applyFont="1" applyFill="1" applyBorder="1"/>
    <xf numFmtId="0" fontId="20" fillId="0" borderId="23" xfId="37" applyFont="1" applyFill="1" applyBorder="1" applyAlignment="1">
      <alignment horizontal="right"/>
    </xf>
    <xf numFmtId="0" fontId="13" fillId="0" borderId="23" xfId="37" applyFont="1" applyBorder="1"/>
    <xf numFmtId="0" fontId="30" fillId="0" borderId="0" xfId="37" applyFont="1" applyFill="1" applyBorder="1"/>
    <xf numFmtId="0" fontId="59" fillId="0" borderId="0" xfId="37" applyFont="1"/>
    <xf numFmtId="0" fontId="14" fillId="0" borderId="0" xfId="37" applyFont="1" applyFill="1" applyBorder="1"/>
    <xf numFmtId="0" fontId="14" fillId="0" borderId="0" xfId="37" applyFont="1" applyFill="1" applyBorder="1" applyAlignment="1">
      <alignment horizontal="center"/>
    </xf>
    <xf numFmtId="0" fontId="31" fillId="0" borderId="0" xfId="37" applyFont="1" applyFill="1" applyBorder="1"/>
    <xf numFmtId="0" fontId="32" fillId="0" borderId="0" xfId="37" applyFont="1" applyFill="1" applyBorder="1" applyAlignment="1">
      <alignment horizontal="center"/>
    </xf>
    <xf numFmtId="0" fontId="20" fillId="0" borderId="24" xfId="37" applyFont="1" applyBorder="1" applyAlignment="1" applyProtection="1">
      <alignment vertical="center"/>
      <protection locked="0"/>
    </xf>
    <xf numFmtId="4" fontId="13" fillId="0" borderId="24" xfId="37" applyNumberFormat="1" applyFont="1" applyBorder="1" applyAlignment="1" applyProtection="1">
      <alignment vertical="center"/>
      <protection locked="0"/>
    </xf>
    <xf numFmtId="0" fontId="20" fillId="0" borderId="24" xfId="37" applyFont="1" applyFill="1" applyBorder="1"/>
    <xf numFmtId="0" fontId="13" fillId="0" borderId="24" xfId="37" applyFont="1" applyFill="1" applyBorder="1"/>
    <xf numFmtId="2" fontId="13" fillId="0" borderId="24" xfId="37" applyNumberFormat="1" applyFont="1" applyFill="1" applyBorder="1"/>
    <xf numFmtId="0" fontId="13" fillId="0" borderId="24" xfId="37" applyFont="1" applyBorder="1"/>
    <xf numFmtId="0" fontId="20" fillId="0" borderId="24" xfId="37" applyFont="1" applyFill="1" applyBorder="1" applyAlignment="1">
      <alignment horizontal="left"/>
    </xf>
    <xf numFmtId="4" fontId="13" fillId="0" borderId="0" xfId="37" applyNumberFormat="1" applyFont="1" applyBorder="1" applyAlignment="1" applyProtection="1">
      <alignment vertical="center"/>
      <protection locked="0"/>
    </xf>
    <xf numFmtId="0" fontId="20" fillId="0" borderId="0" xfId="37" applyFont="1" applyFill="1" applyBorder="1"/>
    <xf numFmtId="0" fontId="13" fillId="0" borderId="0" xfId="37" applyFont="1" applyFill="1" applyBorder="1"/>
    <xf numFmtId="2" fontId="13" fillId="0" borderId="0" xfId="37" applyNumberFormat="1" applyFont="1" applyFill="1" applyBorder="1"/>
    <xf numFmtId="0" fontId="13" fillId="0" borderId="0" xfId="37" applyFont="1" applyBorder="1"/>
    <xf numFmtId="0" fontId="13" fillId="0" borderId="24" xfId="37" applyFont="1" applyBorder="1" applyAlignment="1" applyProtection="1">
      <alignment vertical="center"/>
      <protection locked="0"/>
    </xf>
    <xf numFmtId="2" fontId="38" fillId="0" borderId="24" xfId="37" applyNumberFormat="1" applyFont="1" applyFill="1" applyBorder="1"/>
    <xf numFmtId="0" fontId="13" fillId="0" borderId="24" xfId="37" applyFont="1" applyBorder="1" applyAlignment="1" applyProtection="1">
      <alignment horizontal="left" vertical="center"/>
      <protection locked="0"/>
    </xf>
    <xf numFmtId="0" fontId="20" fillId="0" borderId="32" xfId="37" quotePrefix="1" applyFont="1" applyBorder="1" applyAlignment="1" applyProtection="1">
      <alignment vertical="center"/>
      <protection locked="0"/>
    </xf>
    <xf numFmtId="0" fontId="59" fillId="0" borderId="0" xfId="37" applyFont="1" applyBorder="1"/>
    <xf numFmtId="0" fontId="20" fillId="0" borderId="33" xfId="37" quotePrefix="1" applyFont="1" applyBorder="1" applyAlignment="1" applyProtection="1">
      <alignment vertical="center"/>
      <protection locked="0"/>
    </xf>
    <xf numFmtId="0" fontId="20" fillId="0" borderId="31" xfId="37" applyFont="1" applyBorder="1" applyAlignment="1" applyProtection="1">
      <alignment vertical="center"/>
      <protection locked="0"/>
    </xf>
    <xf numFmtId="0" fontId="20" fillId="0" borderId="6" xfId="37" quotePrefix="1" applyFont="1" applyBorder="1" applyAlignment="1" applyProtection="1">
      <alignment vertical="center"/>
      <protection locked="0"/>
    </xf>
    <xf numFmtId="0" fontId="20" fillId="0" borderId="24" xfId="37" applyFont="1" applyFill="1" applyBorder="1" applyAlignment="1">
      <alignment horizontal="center"/>
    </xf>
    <xf numFmtId="0" fontId="13" fillId="0" borderId="31" xfId="37" applyFont="1" applyBorder="1" applyAlignment="1" applyProtection="1">
      <alignment vertical="center"/>
      <protection locked="0"/>
    </xf>
    <xf numFmtId="2" fontId="20" fillId="0" borderId="24" xfId="37" applyNumberFormat="1" applyFont="1" applyFill="1" applyBorder="1"/>
    <xf numFmtId="0" fontId="20" fillId="0" borderId="30" xfId="37" quotePrefix="1" applyFont="1" applyBorder="1" applyAlignment="1" applyProtection="1">
      <alignment vertical="center"/>
      <protection locked="0"/>
    </xf>
    <xf numFmtId="0" fontId="13" fillId="0" borderId="32" xfId="37" applyFont="1" applyBorder="1" applyAlignment="1" applyProtection="1">
      <alignment vertical="center"/>
      <protection locked="0"/>
    </xf>
    <xf numFmtId="4" fontId="13" fillId="0" borderId="24" xfId="37" applyNumberFormat="1" applyFont="1" applyBorder="1"/>
    <xf numFmtId="0" fontId="16" fillId="0" borderId="0" xfId="37" applyFont="1"/>
    <xf numFmtId="10" fontId="16" fillId="0" borderId="0" xfId="37" applyNumberFormat="1" applyFont="1" applyBorder="1"/>
    <xf numFmtId="4" fontId="16" fillId="0" borderId="0" xfId="37" applyNumberFormat="1" applyFont="1" applyBorder="1"/>
    <xf numFmtId="0" fontId="16" fillId="0" borderId="0" xfId="37" applyFont="1" applyBorder="1"/>
    <xf numFmtId="0" fontId="34" fillId="0" borderId="5" xfId="37" applyFont="1" applyFill="1" applyBorder="1"/>
    <xf numFmtId="0" fontId="35" fillId="0" borderId="5" xfId="37" applyFont="1" applyBorder="1" applyAlignment="1">
      <alignment horizontal="left" vertical="center" shrinkToFit="1"/>
    </xf>
    <xf numFmtId="0" fontId="22" fillId="0" borderId="5" xfId="37" applyFont="1" applyBorder="1" applyAlignment="1">
      <alignment horizontal="center" vertical="center" shrinkToFit="1"/>
    </xf>
    <xf numFmtId="0" fontId="34" fillId="0" borderId="5" xfId="37" applyFont="1" applyBorder="1"/>
    <xf numFmtId="0" fontId="22" fillId="0" borderId="25" xfId="37" applyFont="1" applyBorder="1" applyAlignment="1">
      <alignment horizontal="center" vertical="justify" shrinkToFit="1"/>
    </xf>
    <xf numFmtId="0" fontId="22" fillId="0" borderId="25" xfId="37" applyFont="1" applyBorder="1" applyAlignment="1">
      <alignment horizontal="center"/>
    </xf>
    <xf numFmtId="2" fontId="22" fillId="0" borderId="25" xfId="37" applyNumberFormat="1" applyFont="1" applyBorder="1" applyAlignment="1">
      <alignment horizontal="center" vertical="center" shrinkToFit="1"/>
    </xf>
    <xf numFmtId="2" fontId="12" fillId="0" borderId="26" xfId="37" applyNumberFormat="1" applyFont="1" applyBorder="1" applyAlignment="1">
      <alignment horizontal="center" vertical="center" shrinkToFit="1"/>
    </xf>
    <xf numFmtId="0" fontId="22" fillId="0" borderId="5" xfId="37" applyFont="1" applyBorder="1" applyAlignment="1">
      <alignment horizontal="left" vertical="center" shrinkToFit="1"/>
    </xf>
    <xf numFmtId="0" fontId="12" fillId="0" borderId="26" xfId="37" applyFont="1" applyBorder="1" applyAlignment="1">
      <alignment horizontal="center" vertical="center" shrinkToFit="1"/>
    </xf>
    <xf numFmtId="2" fontId="13" fillId="0" borderId="24" xfId="37" applyNumberFormat="1" applyFont="1" applyBorder="1"/>
    <xf numFmtId="4" fontId="13" fillId="0" borderId="24" xfId="37" applyNumberFormat="1" applyFont="1" applyFill="1" applyBorder="1"/>
    <xf numFmtId="2" fontId="24" fillId="0" borderId="24" xfId="37" applyNumberFormat="1" applyFont="1" applyFill="1" applyBorder="1"/>
    <xf numFmtId="0" fontId="34" fillId="0" borderId="5" xfId="37" applyFont="1" applyBorder="1" applyAlignment="1">
      <alignment horizontal="center" vertical="center"/>
    </xf>
    <xf numFmtId="2" fontId="34" fillId="0" borderId="5" xfId="37" applyNumberFormat="1" applyFont="1" applyFill="1" applyBorder="1" applyAlignment="1">
      <alignment horizontal="center" vertical="center"/>
    </xf>
    <xf numFmtId="0" fontId="13" fillId="0" borderId="24" xfId="37" quotePrefix="1" applyFont="1" applyBorder="1" applyAlignment="1" applyProtection="1">
      <alignment vertical="center"/>
      <protection locked="0"/>
    </xf>
    <xf numFmtId="0" fontId="22" fillId="0" borderId="5" xfId="37" applyFont="1" applyFill="1" applyBorder="1"/>
    <xf numFmtId="2" fontId="22" fillId="0" borderId="5" xfId="37" applyNumberFormat="1" applyFont="1" applyFill="1" applyBorder="1" applyAlignment="1">
      <alignment horizontal="center" vertical="center"/>
    </xf>
    <xf numFmtId="2" fontId="22" fillId="0" borderId="5" xfId="37" applyNumberFormat="1" applyFont="1" applyBorder="1" applyAlignment="1">
      <alignment horizontal="center" vertical="center" shrinkToFit="1"/>
    </xf>
    <xf numFmtId="0" fontId="36" fillId="0" borderId="5" xfId="37" applyFont="1" applyBorder="1"/>
    <xf numFmtId="16" fontId="20" fillId="0" borderId="24" xfId="37" applyNumberFormat="1" applyFont="1" applyBorder="1" applyAlignment="1" applyProtection="1">
      <alignment vertical="center"/>
      <protection locked="0"/>
    </xf>
    <xf numFmtId="2" fontId="33" fillId="0" borderId="24" xfId="37" applyNumberFormat="1" applyFont="1" applyBorder="1"/>
    <xf numFmtId="2" fontId="24" fillId="0" borderId="24" xfId="37" applyNumberFormat="1" applyFont="1" applyBorder="1"/>
    <xf numFmtId="0" fontId="13" fillId="0" borderId="27" xfId="37" quotePrefix="1" applyFont="1" applyBorder="1" applyAlignment="1" applyProtection="1">
      <alignment vertical="center"/>
      <protection locked="0"/>
    </xf>
    <xf numFmtId="0" fontId="13" fillId="0" borderId="27" xfId="37" applyFont="1" applyBorder="1" applyAlignment="1" applyProtection="1">
      <alignment vertical="center"/>
      <protection locked="0"/>
    </xf>
    <xf numFmtId="0" fontId="20" fillId="0" borderId="27" xfId="37" applyFont="1" applyBorder="1" applyAlignment="1" applyProtection="1">
      <alignment vertical="center"/>
      <protection locked="0"/>
    </xf>
    <xf numFmtId="4" fontId="13" fillId="0" borderId="27" xfId="37" applyNumberFormat="1" applyFont="1" applyBorder="1" applyAlignment="1" applyProtection="1">
      <alignment vertical="center"/>
      <protection locked="0"/>
    </xf>
    <xf numFmtId="2" fontId="13" fillId="0" borderId="27" xfId="37" applyNumberFormat="1" applyFont="1" applyBorder="1"/>
    <xf numFmtId="4" fontId="13" fillId="0" borderId="27" xfId="37" applyNumberFormat="1" applyFont="1" applyFill="1" applyBorder="1"/>
    <xf numFmtId="2" fontId="24" fillId="0" borderId="27" xfId="37" applyNumberFormat="1" applyFont="1" applyBorder="1"/>
    <xf numFmtId="0" fontId="11" fillId="0" borderId="0" xfId="37" applyFont="1" applyFill="1"/>
    <xf numFmtId="0" fontId="24" fillId="0" borderId="0" xfId="37" applyFont="1" applyFill="1"/>
    <xf numFmtId="0" fontId="10" fillId="0" borderId="0" xfId="37" applyFont="1" applyBorder="1"/>
    <xf numFmtId="49" fontId="20" fillId="0" borderId="46" xfId="0" applyNumberFormat="1" applyFont="1" applyFill="1" applyBorder="1" applyAlignment="1">
      <alignment horizontal="right"/>
    </xf>
    <xf numFmtId="2" fontId="20" fillId="0" borderId="13" xfId="0" applyNumberFormat="1" applyFont="1" applyFill="1" applyBorder="1" applyAlignment="1">
      <alignment horizontal="left"/>
    </xf>
    <xf numFmtId="2" fontId="20" fillId="0" borderId="5" xfId="0" applyNumberFormat="1" applyFont="1" applyFill="1" applyBorder="1" applyAlignment="1">
      <alignment horizontal="left"/>
    </xf>
    <xf numFmtId="2" fontId="20" fillId="0" borderId="5" xfId="0" applyNumberFormat="1" applyFont="1" applyFill="1" applyBorder="1" applyAlignment="1">
      <alignment horizontal="right"/>
    </xf>
    <xf numFmtId="164" fontId="13" fillId="0" borderId="5" xfId="2" applyFont="1" applyFill="1" applyBorder="1" applyAlignment="1">
      <alignment horizontal="center"/>
    </xf>
    <xf numFmtId="164" fontId="13" fillId="0" borderId="5" xfId="2" applyFont="1" applyFill="1" applyBorder="1" applyAlignment="1">
      <alignment horizontal="right"/>
    </xf>
    <xf numFmtId="164" fontId="13" fillId="0" borderId="5" xfId="2" applyFont="1" applyFill="1" applyBorder="1" applyAlignment="1">
      <alignment horizontal="left"/>
    </xf>
    <xf numFmtId="4" fontId="13" fillId="0" borderId="5" xfId="2" applyNumberFormat="1" applyFont="1" applyFill="1" applyBorder="1" applyAlignment="1">
      <alignment horizontal="right"/>
    </xf>
    <xf numFmtId="4" fontId="13" fillId="4" borderId="5" xfId="2" applyNumberFormat="1" applyFont="1" applyFill="1" applyBorder="1" applyAlignment="1">
      <alignment horizontal="right"/>
    </xf>
    <xf numFmtId="0" fontId="72" fillId="0" borderId="0" xfId="38"/>
    <xf numFmtId="166" fontId="72" fillId="0" borderId="0" xfId="38" applyNumberFormat="1"/>
    <xf numFmtId="166" fontId="73" fillId="0" borderId="0" xfId="38" applyNumberFormat="1" applyFont="1"/>
    <xf numFmtId="166" fontId="74" fillId="0" borderId="0" xfId="38" applyNumberFormat="1" applyFont="1"/>
    <xf numFmtId="4" fontId="72" fillId="0" borderId="0" xfId="38" applyNumberFormat="1"/>
    <xf numFmtId="0" fontId="74" fillId="0" borderId="0" xfId="38" applyFont="1"/>
    <xf numFmtId="0" fontId="75" fillId="0" borderId="0" xfId="38" applyFont="1"/>
    <xf numFmtId="4" fontId="62" fillId="4" borderId="17" xfId="38" applyNumberFormat="1" applyFont="1" applyFill="1" applyBorder="1"/>
    <xf numFmtId="166" fontId="76" fillId="0" borderId="5" xfId="38" applyNumberFormat="1" applyFont="1" applyBorder="1"/>
    <xf numFmtId="10" fontId="76" fillId="0" borderId="5" xfId="38" applyNumberFormat="1" applyFont="1" applyBorder="1" applyAlignment="1">
      <alignment horizontal="center"/>
    </xf>
    <xf numFmtId="0" fontId="76" fillId="0" borderId="4" xfId="38" applyFont="1" applyBorder="1"/>
    <xf numFmtId="166" fontId="77" fillId="0" borderId="5" xfId="38" applyNumberFormat="1" applyFont="1" applyBorder="1"/>
    <xf numFmtId="10" fontId="77" fillId="0" borderId="5" xfId="38" applyNumberFormat="1" applyFont="1" applyBorder="1" applyAlignment="1">
      <alignment horizontal="center"/>
    </xf>
    <xf numFmtId="0" fontId="77" fillId="0" borderId="4" xfId="38" applyFont="1" applyBorder="1"/>
    <xf numFmtId="0" fontId="78" fillId="4" borderId="0" xfId="38" applyFont="1" applyFill="1"/>
    <xf numFmtId="166" fontId="77" fillId="4" borderId="5" xfId="38" applyNumberFormat="1" applyFont="1" applyFill="1" applyBorder="1"/>
    <xf numFmtId="10" fontId="77" fillId="4" borderId="5" xfId="38" applyNumberFormat="1" applyFont="1" applyFill="1" applyBorder="1" applyAlignment="1">
      <alignment horizontal="center"/>
    </xf>
    <xf numFmtId="0" fontId="77" fillId="4" borderId="4" xfId="38" applyFont="1" applyFill="1" applyBorder="1"/>
    <xf numFmtId="0" fontId="76" fillId="4" borderId="0" xfId="38" applyFont="1" applyFill="1"/>
    <xf numFmtId="166" fontId="76" fillId="4" borderId="5" xfId="38" applyNumberFormat="1" applyFont="1" applyFill="1" applyBorder="1"/>
    <xf numFmtId="10" fontId="76" fillId="4" borderId="5" xfId="38" applyNumberFormat="1" applyFont="1" applyFill="1" applyBorder="1" applyAlignment="1">
      <alignment horizontal="center"/>
    </xf>
    <xf numFmtId="0" fontId="76" fillId="4" borderId="4" xfId="38" applyFont="1" applyFill="1" applyBorder="1"/>
    <xf numFmtId="0" fontId="77" fillId="4" borderId="0" xfId="38" applyFont="1" applyFill="1"/>
    <xf numFmtId="166" fontId="77" fillId="4" borderId="13" xfId="38" applyNumberFormat="1" applyFont="1" applyFill="1" applyBorder="1"/>
    <xf numFmtId="10" fontId="77" fillId="4" borderId="13" xfId="38" applyNumberFormat="1" applyFont="1" applyFill="1" applyBorder="1" applyAlignment="1">
      <alignment horizontal="center"/>
    </xf>
    <xf numFmtId="0" fontId="77" fillId="4" borderId="46" xfId="38" applyFont="1" applyFill="1" applyBorder="1"/>
    <xf numFmtId="10" fontId="79" fillId="4" borderId="8" xfId="38" applyNumberFormat="1" applyFont="1" applyFill="1" applyBorder="1" applyAlignment="1">
      <alignment horizontal="center"/>
    </xf>
    <xf numFmtId="0" fontId="79" fillId="4" borderId="7" xfId="38" applyFont="1" applyFill="1" applyBorder="1" applyAlignment="1">
      <alignment horizontal="right"/>
    </xf>
    <xf numFmtId="10" fontId="79" fillId="4" borderId="5" xfId="38" applyNumberFormat="1" applyFont="1" applyFill="1" applyBorder="1" applyAlignment="1">
      <alignment horizontal="center"/>
    </xf>
    <xf numFmtId="0" fontId="79" fillId="4" borderId="4" xfId="38" applyFont="1" applyFill="1" applyBorder="1" applyAlignment="1">
      <alignment horizontal="right"/>
    </xf>
    <xf numFmtId="4" fontId="72" fillId="4" borderId="5" xfId="38" applyNumberFormat="1" applyFill="1" applyBorder="1"/>
    <xf numFmtId="4" fontId="76" fillId="4" borderId="2" xfId="38" applyNumberFormat="1" applyFont="1" applyFill="1" applyBorder="1"/>
    <xf numFmtId="10" fontId="76" fillId="4" borderId="52" xfId="38" applyNumberFormat="1" applyFont="1" applyFill="1" applyBorder="1"/>
    <xf numFmtId="49" fontId="76" fillId="4" borderId="1" xfId="38" applyNumberFormat="1" applyFont="1" applyFill="1" applyBorder="1"/>
    <xf numFmtId="0" fontId="72" fillId="4" borderId="0" xfId="38" applyFill="1"/>
    <xf numFmtId="4" fontId="72" fillId="4" borderId="0" xfId="38" applyNumberFormat="1" applyFill="1"/>
    <xf numFmtId="4" fontId="14" fillId="4" borderId="5" xfId="38" applyNumberFormat="1" applyFont="1" applyFill="1" applyBorder="1"/>
    <xf numFmtId="4" fontId="14" fillId="4" borderId="8" xfId="38" applyNumberFormat="1" applyFont="1" applyFill="1" applyBorder="1"/>
    <xf numFmtId="49" fontId="14" fillId="4" borderId="8" xfId="38" applyNumberFormat="1" applyFont="1" applyFill="1" applyBorder="1"/>
    <xf numFmtId="49" fontId="14" fillId="4" borderId="7" xfId="38" applyNumberFormat="1" applyFont="1" applyFill="1" applyBorder="1"/>
    <xf numFmtId="4" fontId="62" fillId="4" borderId="5" xfId="38" applyNumberFormat="1" applyFont="1" applyFill="1" applyBorder="1"/>
    <xf numFmtId="4" fontId="80" fillId="4" borderId="5" xfId="38" applyNumberFormat="1" applyFont="1" applyFill="1" applyBorder="1"/>
    <xf numFmtId="49" fontId="62" fillId="4" borderId="5" xfId="38" applyNumberFormat="1" applyFont="1" applyFill="1" applyBorder="1"/>
    <xf numFmtId="49" fontId="62" fillId="4" borderId="4" xfId="38" applyNumberFormat="1" applyFont="1" applyFill="1" applyBorder="1"/>
    <xf numFmtId="49" fontId="14" fillId="4" borderId="5" xfId="38" applyNumberFormat="1" applyFont="1" applyFill="1" applyBorder="1"/>
    <xf numFmtId="49" fontId="14" fillId="4" borderId="4" xfId="38" applyNumberFormat="1" applyFont="1" applyFill="1" applyBorder="1"/>
    <xf numFmtId="4" fontId="78" fillId="4" borderId="5" xfId="38" applyNumberFormat="1" applyFont="1" applyFill="1" applyBorder="1"/>
    <xf numFmtId="4" fontId="63" fillId="4" borderId="5" xfId="38" applyNumberFormat="1" applyFont="1" applyFill="1" applyBorder="1"/>
    <xf numFmtId="49" fontId="63" fillId="4" borderId="5" xfId="38" applyNumberFormat="1" applyFont="1" applyFill="1" applyBorder="1"/>
    <xf numFmtId="49" fontId="63" fillId="4" borderId="4" xfId="38" applyNumberFormat="1" applyFont="1" applyFill="1" applyBorder="1"/>
    <xf numFmtId="4" fontId="64" fillId="4" borderId="5" xfId="38" applyNumberFormat="1" applyFont="1" applyFill="1" applyBorder="1"/>
    <xf numFmtId="49" fontId="64" fillId="4" borderId="5" xfId="38" applyNumberFormat="1" applyFont="1" applyFill="1" applyBorder="1"/>
    <xf numFmtId="49" fontId="64" fillId="4" borderId="4" xfId="38" applyNumberFormat="1" applyFont="1" applyFill="1" applyBorder="1"/>
    <xf numFmtId="4" fontId="81" fillId="4" borderId="5" xfId="38" applyNumberFormat="1" applyFont="1" applyFill="1" applyBorder="1"/>
    <xf numFmtId="4" fontId="81" fillId="4" borderId="17" xfId="38" applyNumberFormat="1" applyFont="1" applyFill="1" applyBorder="1"/>
    <xf numFmtId="49" fontId="81" fillId="4" borderId="5" xfId="38" applyNumberFormat="1" applyFont="1" applyFill="1" applyBorder="1"/>
    <xf numFmtId="49" fontId="81" fillId="4" borderId="4" xfId="38" applyNumberFormat="1" applyFont="1" applyFill="1" applyBorder="1"/>
    <xf numFmtId="4" fontId="82" fillId="4" borderId="5" xfId="38" applyNumberFormat="1" applyFont="1" applyFill="1" applyBorder="1"/>
    <xf numFmtId="4" fontId="82" fillId="4" borderId="17" xfId="38" applyNumberFormat="1" applyFont="1" applyFill="1" applyBorder="1"/>
    <xf numFmtId="49" fontId="82" fillId="4" borderId="5" xfId="38" applyNumberFormat="1" applyFont="1" applyFill="1" applyBorder="1" applyAlignment="1">
      <alignment vertical="center" wrapText="1"/>
    </xf>
    <xf numFmtId="49" fontId="82" fillId="4" borderId="4" xfId="38" applyNumberFormat="1" applyFont="1" applyFill="1" applyBorder="1"/>
    <xf numFmtId="0" fontId="13" fillId="0" borderId="0" xfId="38" applyFont="1" applyFill="1" applyAlignment="1">
      <alignment vertical="center"/>
    </xf>
    <xf numFmtId="173" fontId="13" fillId="0" borderId="0" xfId="38" applyNumberFormat="1" applyFont="1" applyFill="1" applyAlignment="1" applyProtection="1">
      <alignment horizontal="left" vertical="center"/>
    </xf>
    <xf numFmtId="173" fontId="20" fillId="0" borderId="0" xfId="38" applyNumberFormat="1" applyFont="1" applyFill="1" applyAlignment="1" applyProtection="1">
      <alignment horizontal="left" vertical="center"/>
    </xf>
    <xf numFmtId="0" fontId="13" fillId="0" borderId="0" xfId="38" applyFont="1" applyFill="1" applyBorder="1" applyAlignment="1">
      <alignment vertical="center"/>
    </xf>
    <xf numFmtId="173" fontId="13" fillId="0" borderId="0" xfId="38" applyNumberFormat="1" applyFont="1" applyFill="1" applyAlignment="1" applyProtection="1">
      <alignment vertical="center"/>
    </xf>
    <xf numFmtId="173" fontId="85" fillId="0" borderId="0" xfId="38" applyNumberFormat="1" applyFont="1" applyFill="1" applyAlignment="1" applyProtection="1">
      <alignment vertical="center"/>
    </xf>
    <xf numFmtId="173" fontId="85" fillId="0" borderId="0" xfId="38" applyNumberFormat="1" applyFont="1" applyFill="1" applyAlignment="1" applyProtection="1">
      <alignment horizontal="center" vertical="center"/>
    </xf>
    <xf numFmtId="4" fontId="68" fillId="0" borderId="5" xfId="0" applyNumberFormat="1" applyFont="1" applyBorder="1"/>
    <xf numFmtId="4" fontId="0" fillId="0" borderId="2" xfId="0" applyNumberFormat="1" applyBorder="1"/>
    <xf numFmtId="4" fontId="63" fillId="0" borderId="2" xfId="0" applyNumberFormat="1" applyFont="1" applyBorder="1"/>
    <xf numFmtId="0" fontId="87" fillId="4" borderId="1" xfId="12" applyFont="1" applyFill="1" applyBorder="1" applyAlignment="1">
      <alignment horizontal="center" vertical="center"/>
    </xf>
    <xf numFmtId="4" fontId="20" fillId="4" borderId="0" xfId="12" applyNumberFormat="1" applyFont="1" applyFill="1"/>
    <xf numFmtId="0" fontId="19" fillId="0" borderId="0" xfId="12" applyFont="1"/>
    <xf numFmtId="0" fontId="20" fillId="4" borderId="0" xfId="12" applyFont="1" applyFill="1"/>
    <xf numFmtId="49" fontId="68" fillId="4" borderId="30" xfId="0" applyNumberFormat="1" applyFont="1" applyFill="1" applyBorder="1" applyAlignment="1"/>
    <xf numFmtId="4" fontId="65" fillId="4" borderId="2" xfId="0" applyNumberFormat="1" applyFont="1" applyFill="1" applyBorder="1"/>
    <xf numFmtId="4" fontId="65" fillId="4" borderId="56" xfId="0" applyNumberFormat="1" applyFont="1" applyFill="1" applyBorder="1"/>
    <xf numFmtId="2" fontId="11" fillId="4" borderId="11" xfId="15" applyNumberFormat="1" applyFont="1" applyFill="1" applyBorder="1" applyAlignment="1">
      <alignment horizontal="center"/>
    </xf>
    <xf numFmtId="4" fontId="14" fillId="4" borderId="5" xfId="15" applyNumberFormat="1" applyFont="1" applyFill="1" applyBorder="1"/>
    <xf numFmtId="3" fontId="67" fillId="4" borderId="5" xfId="15" applyNumberFormat="1" applyFont="1" applyFill="1" applyBorder="1" applyAlignment="1">
      <alignment horizontal="center"/>
    </xf>
    <xf numFmtId="4" fontId="14" fillId="0" borderId="64" xfId="15" applyNumberFormat="1" applyFont="1" applyFill="1" applyBorder="1"/>
    <xf numFmtId="4" fontId="14" fillId="0" borderId="66" xfId="15" applyNumberFormat="1" applyFont="1" applyFill="1" applyBorder="1"/>
    <xf numFmtId="4" fontId="52" fillId="0" borderId="66" xfId="15" applyNumberFormat="1" applyFont="1" applyFill="1" applyBorder="1" applyAlignment="1">
      <alignment horizontal="center"/>
    </xf>
    <xf numFmtId="2" fontId="11" fillId="4" borderId="73" xfId="15" applyNumberFormat="1" applyFont="1" applyFill="1" applyBorder="1" applyAlignment="1">
      <alignment horizontal="center"/>
    </xf>
    <xf numFmtId="2" fontId="11" fillId="3" borderId="73" xfId="15" applyNumberFormat="1" applyFont="1" applyFill="1" applyBorder="1" applyAlignment="1">
      <alignment horizontal="center"/>
    </xf>
    <xf numFmtId="3" fontId="67" fillId="4" borderId="6" xfId="15" applyNumberFormat="1" applyFont="1" applyFill="1" applyBorder="1" applyAlignment="1">
      <alignment horizontal="center"/>
    </xf>
    <xf numFmtId="4" fontId="14" fillId="0" borderId="8" xfId="7" applyNumberFormat="1" applyFont="1" applyFill="1" applyBorder="1" applyAlignment="1"/>
    <xf numFmtId="2" fontId="11" fillId="3" borderId="68" xfId="15" applyNumberFormat="1" applyFont="1" applyFill="1" applyBorder="1" applyAlignment="1">
      <alignment horizontal="center"/>
    </xf>
    <xf numFmtId="173" fontId="86" fillId="0" borderId="0" xfId="38" applyNumberFormat="1" applyFont="1" applyFill="1" applyAlignment="1" applyProtection="1">
      <alignment horizontal="center" vertical="center"/>
    </xf>
    <xf numFmtId="0" fontId="13" fillId="0" borderId="0" xfId="12" applyFont="1" applyFill="1" applyAlignment="1">
      <alignment horizontal="center"/>
    </xf>
    <xf numFmtId="0" fontId="10" fillId="0" borderId="0" xfId="12" applyFont="1" applyAlignment="1">
      <alignment horizontal="center" vertical="top"/>
    </xf>
    <xf numFmtId="0" fontId="14" fillId="0" borderId="0" xfId="12" applyFont="1" applyFill="1" applyAlignment="1">
      <alignment horizontal="center"/>
    </xf>
    <xf numFmtId="0" fontId="16" fillId="0" borderId="0" xfId="12" applyFont="1" applyFill="1" applyAlignment="1">
      <alignment horizontal="center"/>
    </xf>
    <xf numFmtId="4" fontId="65" fillId="4" borderId="3" xfId="0" applyNumberFormat="1" applyFont="1" applyFill="1" applyBorder="1" applyAlignment="1">
      <alignment horizontal="center"/>
    </xf>
    <xf numFmtId="4" fontId="65" fillId="4" borderId="2" xfId="0" applyNumberFormat="1" applyFont="1" applyFill="1" applyBorder="1" applyAlignment="1">
      <alignment horizontal="center"/>
    </xf>
    <xf numFmtId="4" fontId="16" fillId="4" borderId="4" xfId="12" applyNumberFormat="1" applyFont="1" applyFill="1" applyBorder="1" applyAlignment="1">
      <alignment horizontal="center"/>
    </xf>
    <xf numFmtId="4" fontId="18" fillId="4" borderId="6" xfId="12" applyNumberFormat="1" applyFont="1" applyFill="1" applyBorder="1" applyAlignment="1" applyProtection="1">
      <alignment horizontal="center" vertical="center"/>
      <protection locked="0"/>
    </xf>
    <xf numFmtId="4" fontId="18" fillId="4" borderId="5" xfId="12" applyNumberFormat="1" applyFont="1" applyFill="1" applyBorder="1" applyAlignment="1" applyProtection="1">
      <alignment horizontal="center" vertical="center"/>
      <protection locked="0"/>
    </xf>
    <xf numFmtId="10" fontId="16" fillId="4" borderId="6" xfId="12" applyNumberFormat="1" applyFont="1" applyFill="1" applyBorder="1" applyAlignment="1">
      <alignment horizontal="center"/>
    </xf>
    <xf numFmtId="4" fontId="16" fillId="0" borderId="0" xfId="12" applyNumberFormat="1" applyFont="1" applyAlignment="1">
      <alignment horizontal="center"/>
    </xf>
    <xf numFmtId="4" fontId="16" fillId="0" borderId="0" xfId="12" applyNumberFormat="1" applyFont="1" applyFill="1" applyAlignment="1">
      <alignment horizontal="center"/>
    </xf>
    <xf numFmtId="49" fontId="14" fillId="0" borderId="5" xfId="0" applyNumberFormat="1" applyFont="1" applyBorder="1" applyAlignment="1"/>
    <xf numFmtId="0" fontId="18" fillId="0" borderId="5" xfId="12" applyFont="1" applyBorder="1" applyAlignment="1" applyProtection="1">
      <alignment horizontal="center" vertical="center"/>
      <protection locked="0"/>
    </xf>
    <xf numFmtId="4" fontId="16" fillId="0" borderId="5" xfId="12" applyNumberFormat="1" applyFont="1" applyBorder="1"/>
    <xf numFmtId="4" fontId="16" fillId="4" borderId="5" xfId="12" applyNumberFormat="1" applyFont="1" applyFill="1" applyBorder="1"/>
    <xf numFmtId="4" fontId="16" fillId="0" borderId="2" xfId="12" applyNumberFormat="1" applyFont="1" applyBorder="1"/>
    <xf numFmtId="4" fontId="16" fillId="0" borderId="5" xfId="12" applyNumberFormat="1" applyFont="1" applyFill="1" applyBorder="1"/>
    <xf numFmtId="0" fontId="15" fillId="0" borderId="5" xfId="12" applyFont="1" applyBorder="1" applyAlignment="1" applyProtection="1">
      <alignment horizontal="center" vertical="center"/>
      <protection locked="0"/>
    </xf>
    <xf numFmtId="49" fontId="89" fillId="4" borderId="1" xfId="0" applyNumberFormat="1" applyFont="1" applyFill="1" applyBorder="1"/>
    <xf numFmtId="4" fontId="16" fillId="0" borderId="2" xfId="12" applyNumberFormat="1" applyFont="1" applyFill="1" applyBorder="1"/>
    <xf numFmtId="49" fontId="68" fillId="0" borderId="4" xfId="0" applyNumberFormat="1" applyFont="1" applyBorder="1"/>
    <xf numFmtId="10" fontId="16" fillId="0" borderId="5" xfId="12" applyNumberFormat="1" applyFont="1" applyBorder="1"/>
    <xf numFmtId="0" fontId="16" fillId="4" borderId="5" xfId="12" applyFont="1" applyFill="1" applyBorder="1" applyAlignment="1" applyProtection="1">
      <alignment horizontal="center" vertical="center"/>
      <protection locked="0"/>
    </xf>
    <xf numFmtId="49" fontId="65" fillId="4" borderId="2" xfId="0" applyNumberFormat="1" applyFont="1" applyFill="1" applyBorder="1" applyAlignment="1"/>
    <xf numFmtId="0" fontId="15" fillId="0" borderId="2" xfId="12" applyFont="1" applyBorder="1" applyAlignment="1" applyProtection="1">
      <alignment horizontal="center" vertical="center"/>
      <protection locked="0"/>
    </xf>
    <xf numFmtId="4" fontId="65" fillId="0" borderId="2" xfId="0" applyNumberFormat="1" applyFont="1" applyBorder="1"/>
    <xf numFmtId="10" fontId="16" fillId="0" borderId="2" xfId="12" applyNumberFormat="1" applyFont="1" applyBorder="1"/>
    <xf numFmtId="4" fontId="50" fillId="0" borderId="0" xfId="15" applyNumberFormat="1" applyFont="1" applyBorder="1" applyAlignment="1">
      <alignment horizontal="center"/>
    </xf>
    <xf numFmtId="172" fontId="84" fillId="8" borderId="52" xfId="38" applyNumberFormat="1" applyFont="1" applyFill="1" applyBorder="1" applyAlignment="1">
      <alignment horizontal="center" vertical="center" wrapText="1"/>
    </xf>
    <xf numFmtId="166" fontId="77" fillId="4" borderId="54" xfId="38" applyNumberFormat="1" applyFont="1" applyFill="1" applyBorder="1"/>
    <xf numFmtId="166" fontId="77" fillId="4" borderId="17" xfId="38" applyNumberFormat="1" applyFont="1" applyFill="1" applyBorder="1"/>
    <xf numFmtId="166" fontId="76" fillId="4" borderId="17" xfId="38" applyNumberFormat="1" applyFont="1" applyFill="1" applyBorder="1"/>
    <xf numFmtId="166" fontId="77" fillId="0" borderId="17" xfId="38" applyNumberFormat="1" applyFont="1" applyBorder="1"/>
    <xf numFmtId="166" fontId="76" fillId="0" borderId="17" xfId="38" applyNumberFormat="1" applyFont="1" applyBorder="1"/>
    <xf numFmtId="0" fontId="14" fillId="0" borderId="22" xfId="17" applyBorder="1">
      <alignment vertical="center"/>
    </xf>
    <xf numFmtId="0" fontId="14" fillId="0" borderId="51" xfId="17" applyBorder="1">
      <alignment vertical="center"/>
    </xf>
    <xf numFmtId="4" fontId="12" fillId="0" borderId="26" xfId="15" applyNumberFormat="1" applyFont="1" applyFill="1" applyBorder="1" applyAlignment="1">
      <alignment horizontal="center" vertical="center"/>
    </xf>
    <xf numFmtId="4" fontId="54" fillId="0" borderId="52" xfId="15" applyNumberFormat="1" applyFont="1" applyFill="1" applyBorder="1" applyAlignment="1">
      <alignment horizontal="center" vertical="center"/>
    </xf>
    <xf numFmtId="4" fontId="12" fillId="0" borderId="0" xfId="15" applyNumberFormat="1" applyFont="1" applyFill="1" applyBorder="1" applyAlignment="1">
      <alignment horizontal="left" vertical="center"/>
    </xf>
    <xf numFmtId="4" fontId="12" fillId="0" borderId="0" xfId="15" applyNumberFormat="1" applyFont="1" applyFill="1" applyBorder="1" applyAlignment="1">
      <alignment horizontal="right" vertical="center"/>
    </xf>
    <xf numFmtId="4" fontId="52" fillId="0" borderId="0" xfId="15" applyNumberFormat="1" applyFont="1" applyFill="1" applyAlignment="1">
      <alignment horizontal="center" vertical="center"/>
    </xf>
    <xf numFmtId="4" fontId="14" fillId="0" borderId="0" xfId="17" applyNumberFormat="1" applyAlignment="1">
      <alignment vertical="center"/>
    </xf>
    <xf numFmtId="4" fontId="14" fillId="0" borderId="45" xfId="15" applyNumberFormat="1" applyFont="1" applyFill="1" applyBorder="1" applyAlignment="1">
      <alignment horizontal="center" vertical="center"/>
    </xf>
    <xf numFmtId="4" fontId="47" fillId="0" borderId="42" xfId="15" applyNumberFormat="1" applyFont="1" applyFill="1" applyBorder="1" applyAlignment="1">
      <alignment vertical="center"/>
    </xf>
    <xf numFmtId="4" fontId="12" fillId="0" borderId="0" xfId="15" applyNumberFormat="1" applyFont="1" applyFill="1" applyBorder="1" applyAlignment="1">
      <alignment horizontal="center" vertical="center"/>
    </xf>
    <xf numFmtId="4" fontId="14" fillId="0" borderId="0" xfId="15" applyNumberFormat="1" applyFont="1" applyFill="1" applyAlignment="1">
      <alignment vertical="center"/>
    </xf>
    <xf numFmtId="4" fontId="14" fillId="4" borderId="6" xfId="15" applyNumberFormat="1" applyFont="1" applyFill="1" applyBorder="1"/>
    <xf numFmtId="0" fontId="16" fillId="4" borderId="0" xfId="12" applyFont="1" applyFill="1"/>
    <xf numFmtId="4" fontId="16" fillId="4" borderId="0" xfId="12" applyNumberFormat="1" applyFont="1" applyFill="1"/>
    <xf numFmtId="0" fontId="90" fillId="4" borderId="0" xfId="0" applyFont="1" applyFill="1"/>
    <xf numFmtId="0" fontId="91" fillId="4" borderId="0" xfId="0" applyFont="1" applyFill="1"/>
    <xf numFmtId="0" fontId="90" fillId="4" borderId="0" xfId="0" applyFont="1" applyFill="1" applyAlignment="1"/>
    <xf numFmtId="0" fontId="55" fillId="4" borderId="0" xfId="0" applyFont="1" applyFill="1"/>
    <xf numFmtId="0" fontId="55" fillId="4" borderId="0" xfId="0" applyFont="1" applyFill="1" applyBorder="1" applyAlignment="1"/>
    <xf numFmtId="0" fontId="55" fillId="4" borderId="59" xfId="0" applyFont="1" applyFill="1" applyBorder="1" applyAlignment="1">
      <alignment horizontal="center" vertical="center"/>
    </xf>
    <xf numFmtId="0" fontId="90" fillId="4" borderId="18" xfId="0" applyFont="1" applyFill="1" applyBorder="1" applyAlignment="1">
      <alignment horizontal="center"/>
    </xf>
    <xf numFmtId="0" fontId="92" fillId="4" borderId="18" xfId="0" applyFont="1" applyFill="1" applyBorder="1" applyAlignment="1">
      <alignment horizontal="center"/>
    </xf>
    <xf numFmtId="0" fontId="55" fillId="4" borderId="18" xfId="0" applyFont="1" applyFill="1" applyBorder="1"/>
    <xf numFmtId="0" fontId="90" fillId="4" borderId="5" xfId="0" applyFont="1" applyFill="1" applyBorder="1"/>
    <xf numFmtId="0" fontId="55" fillId="4" borderId="7" xfId="0" applyFont="1" applyFill="1" applyBorder="1" applyAlignment="1">
      <alignment vertical="center"/>
    </xf>
    <xf numFmtId="0" fontId="55" fillId="4" borderId="16" xfId="0" applyFont="1" applyFill="1" applyBorder="1" applyAlignment="1">
      <alignment horizontal="center" vertical="top"/>
    </xf>
    <xf numFmtId="0" fontId="93" fillId="4" borderId="16" xfId="0" applyFont="1" applyFill="1" applyBorder="1" applyAlignment="1">
      <alignment horizontal="center" vertical="top"/>
    </xf>
    <xf numFmtId="0" fontId="90" fillId="4" borderId="48" xfId="0" applyFont="1" applyFill="1" applyBorder="1" applyAlignment="1">
      <alignment horizontal="center" vertical="top"/>
    </xf>
    <xf numFmtId="4" fontId="94" fillId="4" borderId="1" xfId="0" applyNumberFormat="1" applyFont="1" applyFill="1" applyBorder="1" applyAlignment="1">
      <alignment horizontal="center"/>
    </xf>
    <xf numFmtId="4" fontId="94" fillId="4" borderId="2" xfId="0" applyNumberFormat="1" applyFont="1" applyFill="1" applyBorder="1" applyAlignment="1">
      <alignment horizontal="center"/>
    </xf>
    <xf numFmtId="4" fontId="91" fillId="4" borderId="2" xfId="0" applyNumberFormat="1" applyFont="1" applyFill="1" applyBorder="1" applyAlignment="1">
      <alignment horizontal="center"/>
    </xf>
    <xf numFmtId="4" fontId="91" fillId="4" borderId="56" xfId="0" applyNumberFormat="1" applyFont="1" applyFill="1" applyBorder="1" applyAlignment="1">
      <alignment horizontal="center"/>
    </xf>
    <xf numFmtId="4" fontId="91" fillId="4" borderId="9" xfId="0" applyNumberFormat="1" applyFont="1" applyFill="1" applyBorder="1" applyAlignment="1">
      <alignment horizontal="center"/>
    </xf>
    <xf numFmtId="4" fontId="90" fillId="4" borderId="30" xfId="0" applyNumberFormat="1" applyFont="1" applyFill="1" applyBorder="1" applyAlignment="1">
      <alignment horizontal="center"/>
    </xf>
    <xf numFmtId="4" fontId="94" fillId="4" borderId="30" xfId="0" applyNumberFormat="1" applyFont="1" applyFill="1" applyBorder="1" applyAlignment="1">
      <alignment horizontal="center"/>
    </xf>
    <xf numFmtId="4" fontId="55" fillId="4" borderId="0" xfId="0" applyNumberFormat="1" applyFont="1" applyFill="1"/>
    <xf numFmtId="0" fontId="94" fillId="4" borderId="0" xfId="0" applyFont="1" applyFill="1"/>
    <xf numFmtId="4" fontId="55" fillId="4" borderId="4" xfId="0" applyNumberFormat="1" applyFont="1" applyFill="1" applyBorder="1" applyAlignment="1">
      <alignment horizontal="center"/>
    </xf>
    <xf numFmtId="4" fontId="55" fillId="4" borderId="5" xfId="0" applyNumberFormat="1" applyFont="1" applyFill="1" applyBorder="1" applyAlignment="1">
      <alignment horizontal="center"/>
    </xf>
    <xf numFmtId="4" fontId="90" fillId="4" borderId="5" xfId="0" applyNumberFormat="1" applyFont="1" applyFill="1" applyBorder="1" applyAlignment="1">
      <alignment horizontal="center"/>
    </xf>
    <xf numFmtId="4" fontId="90" fillId="4" borderId="9" xfId="0" applyNumberFormat="1" applyFont="1" applyFill="1" applyBorder="1" applyAlignment="1">
      <alignment horizontal="center"/>
    </xf>
    <xf numFmtId="4" fontId="55" fillId="4" borderId="30" xfId="0" applyNumberFormat="1" applyFont="1" applyFill="1" applyBorder="1" applyAlignment="1">
      <alignment horizontal="center"/>
    </xf>
    <xf numFmtId="0" fontId="38" fillId="4" borderId="10" xfId="12" applyFont="1" applyFill="1" applyBorder="1" applyAlignment="1" applyProtection="1">
      <alignment horizontal="center" vertical="center"/>
      <protection locked="0"/>
    </xf>
    <xf numFmtId="4" fontId="94" fillId="4" borderId="4" xfId="0" applyNumberFormat="1" applyFont="1" applyFill="1" applyBorder="1" applyAlignment="1">
      <alignment horizontal="center"/>
    </xf>
    <xf numFmtId="4" fontId="94" fillId="4" borderId="5" xfId="0" applyNumberFormat="1" applyFont="1" applyFill="1" applyBorder="1" applyAlignment="1">
      <alignment horizontal="center"/>
    </xf>
    <xf numFmtId="4" fontId="91" fillId="4" borderId="5" xfId="0" applyNumberFormat="1" applyFont="1" applyFill="1" applyBorder="1" applyAlignment="1">
      <alignment horizontal="center"/>
    </xf>
    <xf numFmtId="4" fontId="90" fillId="4" borderId="4" xfId="0" applyNumberFormat="1" applyFont="1" applyFill="1" applyBorder="1" applyAlignment="1">
      <alignment horizontal="center"/>
    </xf>
    <xf numFmtId="0" fontId="13" fillId="4" borderId="10" xfId="12" applyFont="1" applyFill="1" applyBorder="1" applyAlignment="1">
      <alignment horizontal="center" vertical="center"/>
    </xf>
    <xf numFmtId="0" fontId="38" fillId="4" borderId="10" xfId="12" applyFont="1" applyFill="1" applyBorder="1" applyAlignment="1" applyProtection="1">
      <alignment vertical="center"/>
      <protection locked="0"/>
    </xf>
    <xf numFmtId="0" fontId="90" fillId="4" borderId="20" xfId="0" applyFont="1" applyFill="1" applyBorder="1" applyAlignment="1"/>
    <xf numFmtId="0" fontId="91" fillId="4" borderId="19" xfId="0" applyFont="1" applyFill="1" applyBorder="1" applyAlignment="1">
      <alignment horizontal="center"/>
    </xf>
    <xf numFmtId="0" fontId="90" fillId="4" borderId="58" xfId="0" applyFont="1" applyFill="1" applyBorder="1" applyAlignment="1">
      <alignment horizontal="center"/>
    </xf>
    <xf numFmtId="0" fontId="90" fillId="4" borderId="17" xfId="0" applyFont="1" applyFill="1" applyBorder="1" applyAlignment="1">
      <alignment horizontal="center"/>
    </xf>
    <xf numFmtId="0" fontId="90" fillId="4" borderId="0" xfId="0" applyFont="1" applyFill="1" applyBorder="1" applyAlignment="1"/>
    <xf numFmtId="173" fontId="86" fillId="0" borderId="0" xfId="38" applyNumberFormat="1" applyFont="1" applyFill="1" applyAlignment="1" applyProtection="1">
      <alignment horizontal="center" vertical="center"/>
    </xf>
    <xf numFmtId="4" fontId="50" fillId="0" borderId="0" xfId="15" applyNumberFormat="1" applyFont="1" applyBorder="1" applyAlignment="1">
      <alignment horizontal="center"/>
    </xf>
    <xf numFmtId="4" fontId="18" fillId="4" borderId="9" xfId="12" applyNumberFormat="1" applyFont="1" applyFill="1" applyBorder="1" applyAlignment="1" applyProtection="1">
      <alignment horizontal="right" vertical="center"/>
      <protection locked="0"/>
    </xf>
    <xf numFmtId="0" fontId="90" fillId="4" borderId="0" xfId="0" applyFont="1" applyFill="1" applyBorder="1"/>
    <xf numFmtId="39" fontId="27" fillId="0" borderId="0" xfId="26" applyNumberFormat="1" applyFont="1" applyFill="1" applyBorder="1" applyAlignment="1">
      <alignment horizontal="center" vertical="center" wrapText="1"/>
    </xf>
    <xf numFmtId="0" fontId="13" fillId="2" borderId="5" xfId="12" applyNumberFormat="1" applyFont="1" applyFill="1" applyBorder="1" applyAlignment="1">
      <alignment horizontal="center"/>
    </xf>
    <xf numFmtId="4" fontId="16" fillId="4" borderId="6" xfId="12" applyNumberFormat="1" applyFont="1" applyFill="1" applyBorder="1" applyAlignment="1" applyProtection="1">
      <alignment horizontal="center" vertical="center"/>
      <protection locked="0"/>
    </xf>
    <xf numFmtId="49" fontId="14" fillId="4" borderId="35" xfId="0" applyNumberFormat="1" applyFont="1" applyFill="1" applyBorder="1"/>
    <xf numFmtId="4" fontId="14" fillId="0" borderId="0" xfId="12" applyNumberFormat="1" applyFont="1" applyFill="1" applyAlignment="1">
      <alignment vertical="top"/>
    </xf>
    <xf numFmtId="49" fontId="65" fillId="4" borderId="59" xfId="0" applyNumberFormat="1" applyFont="1" applyFill="1" applyBorder="1"/>
    <xf numFmtId="49" fontId="12" fillId="4" borderId="35" xfId="0" applyNumberFormat="1" applyFont="1" applyFill="1" applyBorder="1"/>
    <xf numFmtId="49" fontId="68" fillId="4" borderId="35" xfId="0" applyNumberFormat="1" applyFont="1" applyFill="1" applyBorder="1" applyAlignment="1"/>
    <xf numFmtId="49" fontId="14" fillId="4" borderId="35" xfId="0" applyNumberFormat="1" applyFont="1" applyFill="1" applyBorder="1" applyAlignment="1">
      <alignment horizontal="left"/>
    </xf>
    <xf numFmtId="49" fontId="14" fillId="4" borderId="35" xfId="0" applyNumberFormat="1" applyFont="1" applyFill="1" applyBorder="1" applyAlignment="1"/>
    <xf numFmtId="0" fontId="12" fillId="4" borderId="60" xfId="12" applyFont="1" applyFill="1" applyBorder="1" applyAlignment="1">
      <alignment horizontal="center" vertical="center"/>
    </xf>
    <xf numFmtId="49" fontId="68" fillId="4" borderId="57" xfId="0" applyNumberFormat="1" applyFont="1" applyFill="1" applyBorder="1" applyAlignment="1"/>
    <xf numFmtId="4" fontId="18" fillId="4" borderId="10" xfId="12" applyNumberFormat="1" applyFont="1" applyFill="1" applyBorder="1" applyAlignment="1" applyProtection="1">
      <alignment horizontal="right" vertical="center"/>
      <protection locked="0"/>
    </xf>
    <xf numFmtId="0" fontId="14" fillId="4" borderId="5" xfId="12" applyFont="1" applyFill="1" applyBorder="1" applyAlignment="1">
      <alignment horizontal="center" vertical="center"/>
    </xf>
    <xf numFmtId="0" fontId="57" fillId="4" borderId="0" xfId="0" applyFont="1" applyFill="1" applyAlignment="1">
      <alignment horizontal="center"/>
    </xf>
    <xf numFmtId="0" fontId="56" fillId="4" borderId="0" xfId="0" applyFont="1" applyFill="1" applyAlignment="1">
      <alignment horizontal="left"/>
    </xf>
    <xf numFmtId="0" fontId="57" fillId="4" borderId="0" xfId="0" applyFont="1" applyFill="1"/>
    <xf numFmtId="0" fontId="56" fillId="4" borderId="0" xfId="0" applyFont="1" applyFill="1"/>
    <xf numFmtId="0" fontId="57" fillId="4" borderId="0" xfId="0" applyFont="1" applyFill="1" applyBorder="1" applyAlignment="1">
      <alignment horizontal="left"/>
    </xf>
    <xf numFmtId="49" fontId="14" fillId="4" borderId="41" xfId="0" applyNumberFormat="1" applyFont="1" applyFill="1" applyBorder="1"/>
    <xf numFmtId="49" fontId="14" fillId="4" borderId="63" xfId="0" applyNumberFormat="1" applyFont="1" applyFill="1" applyBorder="1"/>
    <xf numFmtId="0" fontId="56" fillId="4" borderId="14" xfId="0" applyFont="1" applyFill="1" applyBorder="1" applyAlignment="1">
      <alignment horizontal="center"/>
    </xf>
    <xf numFmtId="0" fontId="56" fillId="4" borderId="20" xfId="0" applyFont="1" applyFill="1" applyBorder="1" applyAlignment="1">
      <alignment horizontal="left"/>
    </xf>
    <xf numFmtId="0" fontId="56" fillId="4" borderId="0" xfId="0" applyFont="1" applyFill="1" applyBorder="1" applyAlignment="1">
      <alignment horizontal="left"/>
    </xf>
    <xf numFmtId="0" fontId="13" fillId="4" borderId="39" xfId="12" applyFont="1" applyFill="1" applyBorder="1" applyAlignment="1">
      <alignment horizontal="center" vertical="center"/>
    </xf>
    <xf numFmtId="49" fontId="14" fillId="4" borderId="59" xfId="0" applyNumberFormat="1" applyFont="1" applyFill="1" applyBorder="1"/>
    <xf numFmtId="49" fontId="14" fillId="4" borderId="37" xfId="0" applyNumberFormat="1" applyFont="1" applyFill="1" applyBorder="1"/>
    <xf numFmtId="0" fontId="38" fillId="4" borderId="28" xfId="12" applyFont="1" applyFill="1" applyBorder="1" applyAlignment="1" applyProtection="1">
      <alignment horizontal="center" vertical="center"/>
      <protection locked="0"/>
    </xf>
    <xf numFmtId="4" fontId="14" fillId="0" borderId="0" xfId="12" applyNumberFormat="1" applyFont="1" applyFill="1" applyAlignment="1">
      <alignment horizontal="center"/>
    </xf>
    <xf numFmtId="0" fontId="14" fillId="4" borderId="13" xfId="12" applyFont="1" applyFill="1" applyBorder="1" applyAlignment="1">
      <alignment horizontal="center" vertical="center"/>
    </xf>
    <xf numFmtId="4" fontId="14" fillId="4" borderId="3" xfId="0" applyNumberFormat="1" applyFont="1" applyFill="1" applyBorder="1" applyAlignment="1">
      <alignment horizontal="center"/>
    </xf>
    <xf numFmtId="0" fontId="14" fillId="4" borderId="5" xfId="12" applyNumberFormat="1" applyFont="1" applyFill="1" applyBorder="1" applyAlignment="1">
      <alignment horizontal="center"/>
    </xf>
    <xf numFmtId="4" fontId="88" fillId="4" borderId="43" xfId="12" applyNumberFormat="1" applyFont="1" applyFill="1" applyBorder="1" applyAlignment="1">
      <alignment horizontal="center"/>
    </xf>
    <xf numFmtId="0" fontId="18" fillId="0" borderId="76" xfId="12" applyFont="1" applyBorder="1" applyAlignment="1" applyProtection="1">
      <alignment vertical="center"/>
      <protection locked="0"/>
    </xf>
    <xf numFmtId="0" fontId="16" fillId="0" borderId="76" xfId="12" applyFont="1" applyBorder="1" applyAlignment="1" applyProtection="1">
      <alignment horizontal="center" vertical="center"/>
      <protection locked="0"/>
    </xf>
    <xf numFmtId="4" fontId="18" fillId="0" borderId="76" xfId="12" applyNumberFormat="1" applyFont="1" applyBorder="1" applyAlignment="1" applyProtection="1">
      <alignment vertical="center"/>
      <protection locked="0"/>
    </xf>
    <xf numFmtId="4" fontId="16" fillId="0" borderId="76" xfId="12" applyNumberFormat="1" applyFont="1" applyBorder="1" applyAlignment="1">
      <alignment horizontal="center"/>
    </xf>
    <xf numFmtId="2" fontId="16" fillId="0" borderId="76" xfId="12" applyNumberFormat="1" applyFont="1" applyBorder="1" applyAlignment="1">
      <alignment horizontal="center"/>
    </xf>
    <xf numFmtId="4" fontId="16" fillId="0" borderId="76" xfId="12" applyNumberFormat="1" applyFont="1" applyFill="1" applyBorder="1" applyAlignment="1">
      <alignment horizontal="center"/>
    </xf>
    <xf numFmtId="10" fontId="16" fillId="0" borderId="76" xfId="12" applyNumberFormat="1" applyFont="1" applyBorder="1" applyAlignment="1">
      <alignment horizontal="center"/>
    </xf>
    <xf numFmtId="4" fontId="16" fillId="0" borderId="76" xfId="12" applyNumberFormat="1" applyFont="1" applyBorder="1"/>
    <xf numFmtId="10" fontId="16" fillId="0" borderId="76" xfId="12" applyNumberFormat="1" applyFont="1" applyBorder="1"/>
    <xf numFmtId="0" fontId="18" fillId="0" borderId="5" xfId="12" applyFont="1" applyBorder="1" applyAlignment="1" applyProtection="1">
      <alignment vertical="center"/>
      <protection locked="0"/>
    </xf>
    <xf numFmtId="0" fontId="12" fillId="0" borderId="5" xfId="12" applyNumberFormat="1" applyFont="1" applyBorder="1" applyAlignment="1">
      <alignment horizontal="left"/>
    </xf>
    <xf numFmtId="4" fontId="12" fillId="0" borderId="5" xfId="12" applyNumberFormat="1" applyFont="1" applyBorder="1"/>
    <xf numFmtId="10" fontId="12" fillId="0" borderId="5" xfId="27" applyNumberFormat="1" applyFont="1" applyBorder="1"/>
    <xf numFmtId="4" fontId="14" fillId="0" borderId="5" xfId="12" applyNumberFormat="1" applyFont="1" applyBorder="1" applyAlignment="1">
      <alignment horizontal="center"/>
    </xf>
    <xf numFmtId="0" fontId="12" fillId="0" borderId="5" xfId="12" applyNumberFormat="1" applyFont="1" applyBorder="1" applyAlignment="1">
      <alignment horizontal="right"/>
    </xf>
    <xf numFmtId="4" fontId="11" fillId="0" borderId="5" xfId="12" applyNumberFormat="1" applyFont="1" applyBorder="1"/>
    <xf numFmtId="4" fontId="10" fillId="0" borderId="5" xfId="12" applyNumberFormat="1" applyFont="1" applyBorder="1" applyAlignment="1">
      <alignment horizontal="center"/>
    </xf>
    <xf numFmtId="4" fontId="11" fillId="0" borderId="5" xfId="12" applyNumberFormat="1" applyFont="1" applyBorder="1" applyAlignment="1">
      <alignment horizontal="center"/>
    </xf>
    <xf numFmtId="0" fontId="14" fillId="0" borderId="5" xfId="12" applyNumberFormat="1" applyFont="1" applyBorder="1" applyAlignment="1">
      <alignment horizontal="center"/>
    </xf>
    <xf numFmtId="0" fontId="14" fillId="0" borderId="5" xfId="12" applyNumberFormat="1" applyFont="1" applyBorder="1" applyAlignment="1">
      <alignment horizontal="center" vertical="center"/>
    </xf>
    <xf numFmtId="0" fontId="14" fillId="0" borderId="5" xfId="12" applyNumberFormat="1" applyFont="1" applyBorder="1"/>
    <xf numFmtId="0" fontId="12" fillId="0" borderId="5" xfId="12" applyNumberFormat="1" applyFont="1" applyBorder="1"/>
    <xf numFmtId="0" fontId="14" fillId="0" borderId="5" xfId="12" applyNumberFormat="1" applyFont="1" applyFill="1" applyBorder="1" applyAlignment="1">
      <alignment horizontal="center"/>
    </xf>
    <xf numFmtId="0" fontId="12" fillId="0" borderId="5" xfId="12" applyNumberFormat="1" applyFont="1" applyBorder="1" applyAlignment="1">
      <alignment horizontal="center"/>
    </xf>
    <xf numFmtId="0" fontId="12" fillId="0" borderId="5" xfId="12" applyNumberFormat="1" applyFont="1" applyFill="1" applyBorder="1" applyAlignment="1">
      <alignment horizontal="right"/>
    </xf>
    <xf numFmtId="0" fontId="15" fillId="0" borderId="5" xfId="12" applyFont="1" applyBorder="1" applyAlignment="1" applyProtection="1">
      <alignment vertical="center"/>
      <protection locked="0"/>
    </xf>
    <xf numFmtId="4" fontId="12" fillId="0" borderId="5" xfId="12" applyNumberFormat="1" applyFont="1" applyBorder="1" applyAlignment="1">
      <alignment horizontal="right"/>
    </xf>
    <xf numFmtId="10" fontId="13" fillId="0" borderId="5" xfId="12" applyNumberFormat="1" applyFont="1" applyFill="1" applyBorder="1" applyAlignment="1">
      <alignment horizontal="center"/>
    </xf>
    <xf numFmtId="10" fontId="20" fillId="0" borderId="5" xfId="12" applyNumberFormat="1" applyFont="1" applyFill="1" applyBorder="1" applyAlignment="1">
      <alignment horizontal="center"/>
    </xf>
    <xf numFmtId="0" fontId="0" fillId="2" borderId="5" xfId="12" applyNumberFormat="1" applyFont="1" applyFill="1" applyBorder="1"/>
    <xf numFmtId="0" fontId="20" fillId="2" borderId="5" xfId="12" applyNumberFormat="1" applyFont="1" applyFill="1" applyBorder="1" applyAlignment="1">
      <alignment horizontal="right"/>
    </xf>
    <xf numFmtId="10" fontId="20" fillId="0" borderId="5" xfId="12" applyNumberFormat="1" applyFont="1" applyFill="1" applyBorder="1" applyAlignment="1">
      <alignment horizontal="right"/>
    </xf>
    <xf numFmtId="0" fontId="13" fillId="0" borderId="5" xfId="12" applyNumberFormat="1" applyFont="1" applyBorder="1" applyAlignment="1">
      <alignment horizontal="center"/>
    </xf>
    <xf numFmtId="0" fontId="13" fillId="0" borderId="5" xfId="12" applyNumberFormat="1" applyFont="1" applyBorder="1" applyAlignment="1">
      <alignment horizontal="center" vertical="center"/>
    </xf>
    <xf numFmtId="0" fontId="13" fillId="0" borderId="5" xfId="12" applyNumberFormat="1" applyFont="1" applyBorder="1"/>
    <xf numFmtId="0" fontId="20" fillId="0" borderId="5" xfId="12" applyNumberFormat="1" applyFont="1" applyBorder="1"/>
    <xf numFmtId="0" fontId="13" fillId="0" borderId="5" xfId="12" applyNumberFormat="1" applyFont="1" applyFill="1" applyBorder="1" applyAlignment="1">
      <alignment horizontal="center"/>
    </xf>
    <xf numFmtId="0" fontId="0" fillId="0" borderId="5" xfId="12" applyNumberFormat="1" applyFont="1" applyBorder="1"/>
    <xf numFmtId="0" fontId="20" fillId="0" borderId="5" xfId="12" applyNumberFormat="1" applyFont="1" applyFill="1" applyBorder="1" applyAlignment="1">
      <alignment horizontal="right"/>
    </xf>
    <xf numFmtId="0" fontId="0" fillId="0" borderId="5" xfId="12" applyNumberFormat="1" applyFont="1" applyFill="1" applyBorder="1" applyAlignment="1">
      <alignment horizontal="right"/>
    </xf>
    <xf numFmtId="0" fontId="12" fillId="6" borderId="5" xfId="12" applyNumberFormat="1" applyFont="1" applyFill="1" applyBorder="1" applyAlignment="1">
      <alignment horizontal="left"/>
    </xf>
    <xf numFmtId="0" fontId="12" fillId="0" borderId="5" xfId="12" applyNumberFormat="1" applyFont="1" applyFill="1" applyBorder="1" applyAlignment="1"/>
    <xf numFmtId="0" fontId="96" fillId="4" borderId="5" xfId="12" applyNumberFormat="1" applyFont="1" applyFill="1" applyBorder="1" applyAlignment="1">
      <alignment horizontal="center"/>
    </xf>
    <xf numFmtId="0" fontId="13" fillId="4" borderId="5" xfId="12" applyNumberFormat="1" applyFont="1" applyFill="1" applyBorder="1" applyAlignment="1">
      <alignment horizontal="center"/>
    </xf>
    <xf numFmtId="0" fontId="11" fillId="4" borderId="5" xfId="12" applyNumberFormat="1" applyFont="1" applyFill="1" applyBorder="1" applyAlignment="1"/>
    <xf numFmtId="0" fontId="97" fillId="4" borderId="5" xfId="12" applyFont="1" applyFill="1" applyBorder="1" applyAlignment="1" applyProtection="1">
      <alignment horizontal="center" vertical="center"/>
      <protection locked="0"/>
    </xf>
    <xf numFmtId="4" fontId="97" fillId="4" borderId="10" xfId="12" applyNumberFormat="1" applyFont="1" applyFill="1" applyBorder="1" applyAlignment="1" applyProtection="1">
      <alignment horizontal="right" vertical="center"/>
      <protection locked="0"/>
    </xf>
    <xf numFmtId="4" fontId="97" fillId="4" borderId="9" xfId="12" applyNumberFormat="1" applyFont="1" applyFill="1" applyBorder="1" applyAlignment="1" applyProtection="1">
      <alignment horizontal="right" vertical="center"/>
      <protection locked="0"/>
    </xf>
    <xf numFmtId="4" fontId="97" fillId="4" borderId="9" xfId="12" applyNumberFormat="1" applyFont="1" applyFill="1" applyBorder="1" applyAlignment="1" applyProtection="1">
      <alignment vertical="center"/>
      <protection locked="0"/>
    </xf>
    <xf numFmtId="4" fontId="97" fillId="4" borderId="4" xfId="12" applyNumberFormat="1" applyFont="1" applyFill="1" applyBorder="1" applyAlignment="1">
      <alignment horizontal="center"/>
    </xf>
    <xf numFmtId="4" fontId="97" fillId="4" borderId="6" xfId="12" applyNumberFormat="1" applyFont="1" applyFill="1" applyBorder="1" applyAlignment="1" applyProtection="1">
      <alignment horizontal="center" vertical="center"/>
      <protection locked="0"/>
    </xf>
    <xf numFmtId="4" fontId="97" fillId="4" borderId="5" xfId="12" applyNumberFormat="1" applyFont="1" applyFill="1" applyBorder="1" applyAlignment="1" applyProtection="1">
      <alignment horizontal="center" vertical="center"/>
      <protection locked="0"/>
    </xf>
    <xf numFmtId="10" fontId="97" fillId="4" borderId="6" xfId="12" applyNumberFormat="1" applyFont="1" applyFill="1" applyBorder="1" applyAlignment="1">
      <alignment horizontal="center"/>
    </xf>
    <xf numFmtId="4" fontId="97" fillId="4" borderId="4" xfId="12" applyNumberFormat="1" applyFont="1" applyFill="1" applyBorder="1"/>
    <xf numFmtId="4" fontId="97" fillId="4" borderId="5" xfId="12" applyNumberFormat="1" applyFont="1" applyFill="1" applyBorder="1" applyAlignment="1" applyProtection="1">
      <alignment vertical="center"/>
      <protection locked="0"/>
    </xf>
    <xf numFmtId="10" fontId="97" fillId="4" borderId="6" xfId="12" applyNumberFormat="1" applyFont="1" applyFill="1" applyBorder="1"/>
    <xf numFmtId="0" fontId="67" fillId="4" borderId="5" xfId="12" applyFont="1" applyFill="1" applyBorder="1" applyAlignment="1">
      <alignment horizontal="center" vertical="center"/>
    </xf>
    <xf numFmtId="4" fontId="14" fillId="4" borderId="5" xfId="12" applyNumberFormat="1" applyFont="1" applyFill="1" applyBorder="1" applyAlignment="1">
      <alignment horizontal="center"/>
    </xf>
    <xf numFmtId="0" fontId="95" fillId="5" borderId="5" xfId="0" applyFont="1" applyFill="1" applyBorder="1" applyAlignment="1">
      <alignment horizontal="left"/>
    </xf>
    <xf numFmtId="10" fontId="12" fillId="4" borderId="5" xfId="27" applyNumberFormat="1" applyFont="1" applyFill="1" applyBorder="1" applyAlignment="1">
      <alignment horizontal="center"/>
    </xf>
    <xf numFmtId="0" fontId="13" fillId="4" borderId="5" xfId="12" applyNumberFormat="1" applyFont="1" applyFill="1" applyBorder="1" applyAlignment="1"/>
    <xf numFmtId="0" fontId="40" fillId="0" borderId="54" xfId="12" applyFont="1" applyFill="1" applyBorder="1" applyAlignment="1">
      <alignment horizontal="left" vertical="center"/>
    </xf>
    <xf numFmtId="49" fontId="40" fillId="0" borderId="45" xfId="12" applyNumberFormat="1" applyFont="1" applyFill="1" applyBorder="1" applyAlignment="1">
      <alignment horizontal="left" vertical="center"/>
    </xf>
    <xf numFmtId="4" fontId="40" fillId="0" borderId="25" xfId="12" applyNumberFormat="1" applyFont="1" applyFill="1" applyBorder="1" applyAlignment="1">
      <alignment vertical="center"/>
    </xf>
    <xf numFmtId="10" fontId="20" fillId="0" borderId="68" xfId="29" applyNumberFormat="1" applyFont="1" applyFill="1" applyBorder="1" applyAlignment="1">
      <alignment horizontal="center" vertical="center"/>
    </xf>
    <xf numFmtId="4" fontId="20" fillId="0" borderId="66" xfId="12" applyNumberFormat="1" applyFont="1" applyBorder="1"/>
    <xf numFmtId="4" fontId="20" fillId="0" borderId="66" xfId="12" applyNumberFormat="1" applyFont="1" applyFill="1" applyBorder="1" applyAlignment="1">
      <alignment horizontal="center"/>
    </xf>
    <xf numFmtId="10" fontId="20" fillId="0" borderId="66" xfId="12" applyNumberFormat="1" applyFont="1" applyBorder="1" applyAlignment="1">
      <alignment horizontal="center"/>
    </xf>
    <xf numFmtId="4" fontId="20" fillId="0" borderId="66" xfId="12" applyNumberFormat="1" applyFont="1" applyBorder="1" applyAlignment="1">
      <alignment horizontal="center"/>
    </xf>
    <xf numFmtId="4" fontId="40" fillId="0" borderId="5" xfId="12" applyNumberFormat="1" applyFont="1" applyFill="1" applyBorder="1" applyAlignment="1">
      <alignment vertical="center"/>
    </xf>
    <xf numFmtId="4" fontId="20" fillId="0" borderId="5" xfId="12" applyNumberFormat="1" applyFont="1" applyBorder="1" applyAlignment="1">
      <alignment horizontal="center"/>
    </xf>
    <xf numFmtId="0" fontId="40" fillId="0" borderId="5" xfId="12" applyNumberFormat="1" applyFont="1" applyBorder="1" applyAlignment="1">
      <alignment horizontal="left"/>
    </xf>
    <xf numFmtId="10" fontId="40" fillId="0" borderId="5" xfId="12" applyNumberFormat="1" applyFont="1" applyBorder="1" applyAlignment="1">
      <alignment horizontal="left"/>
    </xf>
    <xf numFmtId="4" fontId="40" fillId="0" borderId="5" xfId="12" applyNumberFormat="1" applyFont="1" applyBorder="1"/>
    <xf numFmtId="0" fontId="40" fillId="0" borderId="4" xfId="12" applyNumberFormat="1" applyFont="1" applyBorder="1" applyAlignment="1">
      <alignment horizontal="left"/>
    </xf>
    <xf numFmtId="10" fontId="20" fillId="0" borderId="0" xfId="27" applyNumberFormat="1" applyFont="1" applyBorder="1"/>
    <xf numFmtId="0" fontId="40" fillId="0" borderId="43" xfId="12" applyNumberFormat="1" applyFont="1" applyBorder="1" applyAlignment="1">
      <alignment horizontal="left"/>
    </xf>
    <xf numFmtId="0" fontId="40" fillId="0" borderId="25" xfId="12" applyNumberFormat="1" applyFont="1" applyBorder="1" applyAlignment="1">
      <alignment horizontal="left"/>
    </xf>
    <xf numFmtId="10" fontId="40" fillId="0" borderId="25" xfId="12" applyNumberFormat="1" applyFont="1" applyBorder="1" applyAlignment="1">
      <alignment horizontal="left"/>
    </xf>
    <xf numFmtId="4" fontId="40" fillId="0" borderId="25" xfId="12" applyNumberFormat="1" applyFont="1" applyBorder="1"/>
    <xf numFmtId="10" fontId="20" fillId="0" borderId="25" xfId="12" applyNumberFormat="1" applyFont="1" applyBorder="1" applyAlignment="1">
      <alignment horizontal="center"/>
    </xf>
    <xf numFmtId="4" fontId="20" fillId="0" borderId="25" xfId="12" applyNumberFormat="1" applyFont="1" applyBorder="1" applyAlignment="1">
      <alignment horizontal="center"/>
    </xf>
    <xf numFmtId="4" fontId="20" fillId="0" borderId="44" xfId="12" applyNumberFormat="1" applyFont="1" applyBorder="1"/>
    <xf numFmtId="4" fontId="20" fillId="0" borderId="15" xfId="12" applyNumberFormat="1" applyFont="1" applyBorder="1"/>
    <xf numFmtId="10" fontId="20" fillId="0" borderId="15" xfId="27" applyNumberFormat="1" applyFont="1" applyBorder="1"/>
    <xf numFmtId="10" fontId="20" fillId="0" borderId="58" xfId="27" applyNumberFormat="1" applyFont="1" applyBorder="1"/>
    <xf numFmtId="0" fontId="40" fillId="0" borderId="43" xfId="12" applyFont="1" applyFill="1" applyBorder="1" applyAlignment="1">
      <alignment horizontal="center" vertical="center"/>
    </xf>
    <xf numFmtId="0" fontId="40" fillId="0" borderId="25" xfId="12" applyFont="1" applyFill="1" applyBorder="1" applyAlignment="1">
      <alignment horizontal="center" vertical="center"/>
    </xf>
    <xf numFmtId="4" fontId="40" fillId="0" borderId="25" xfId="12" applyNumberFormat="1" applyFont="1" applyFill="1" applyBorder="1" applyAlignment="1">
      <alignment horizontal="center" vertical="center"/>
    </xf>
    <xf numFmtId="10" fontId="40" fillId="0" borderId="25" xfId="29" applyNumberFormat="1" applyFont="1" applyFill="1" applyBorder="1" applyAlignment="1">
      <alignment horizontal="center" vertical="center"/>
    </xf>
    <xf numFmtId="10" fontId="13" fillId="0" borderId="44" xfId="29" applyNumberFormat="1" applyFont="1" applyFill="1" applyBorder="1" applyAlignment="1">
      <alignment horizontal="center" vertical="center"/>
    </xf>
    <xf numFmtId="0" fontId="40" fillId="0" borderId="13" xfId="12" applyNumberFormat="1" applyFont="1" applyBorder="1" applyAlignment="1">
      <alignment horizontal="left"/>
    </xf>
    <xf numFmtId="4" fontId="40" fillId="0" borderId="13" xfId="12" applyNumberFormat="1" applyFont="1" applyBorder="1"/>
    <xf numFmtId="10" fontId="20" fillId="0" borderId="13" xfId="12" applyNumberFormat="1" applyFont="1" applyBorder="1" applyAlignment="1">
      <alignment horizontal="center"/>
    </xf>
    <xf numFmtId="4" fontId="20" fillId="0" borderId="13" xfId="12" applyNumberFormat="1" applyFont="1" applyBorder="1" applyAlignment="1">
      <alignment horizontal="center"/>
    </xf>
    <xf numFmtId="4" fontId="20" fillId="0" borderId="15" xfId="12" applyNumberFormat="1" applyFont="1" applyFill="1" applyBorder="1" applyAlignment="1">
      <alignment horizontal="center"/>
    </xf>
    <xf numFmtId="10" fontId="20" fillId="0" borderId="15" xfId="12" applyNumberFormat="1" applyFont="1" applyBorder="1" applyAlignment="1">
      <alignment horizontal="center"/>
    </xf>
    <xf numFmtId="4" fontId="20" fillId="0" borderId="15" xfId="12" applyNumberFormat="1" applyFont="1" applyBorder="1" applyAlignment="1">
      <alignment horizontal="center"/>
    </xf>
    <xf numFmtId="10" fontId="20" fillId="0" borderId="58" xfId="29" applyNumberFormat="1" applyFont="1" applyFill="1" applyBorder="1" applyAlignment="1">
      <alignment horizontal="center" vertical="center"/>
    </xf>
    <xf numFmtId="49" fontId="14" fillId="7" borderId="30" xfId="0" applyNumberFormat="1" applyFont="1" applyFill="1" applyBorder="1" applyAlignment="1"/>
    <xf numFmtId="0" fontId="38" fillId="7" borderId="10" xfId="12" applyFont="1" applyFill="1" applyBorder="1" applyAlignment="1" applyProtection="1">
      <alignment horizontal="center" vertical="center"/>
      <protection locked="0"/>
    </xf>
    <xf numFmtId="4" fontId="57" fillId="4" borderId="5" xfId="0" applyNumberFormat="1" applyFont="1" applyFill="1" applyBorder="1" applyAlignment="1">
      <alignment horizontal="center"/>
    </xf>
    <xf numFmtId="2" fontId="57" fillId="4" borderId="0" xfId="0" applyNumberFormat="1" applyFont="1" applyFill="1"/>
    <xf numFmtId="4" fontId="56" fillId="4" borderId="5" xfId="0" applyNumberFormat="1" applyFont="1" applyFill="1" applyBorder="1" applyAlignment="1">
      <alignment horizontal="center"/>
    </xf>
    <xf numFmtId="4" fontId="90" fillId="4" borderId="35" xfId="0" applyNumberFormat="1" applyFont="1" applyFill="1" applyBorder="1" applyAlignment="1">
      <alignment horizontal="center"/>
    </xf>
    <xf numFmtId="0" fontId="90" fillId="4" borderId="77" xfId="0" applyFont="1" applyFill="1" applyBorder="1" applyAlignment="1">
      <alignment horizontal="center"/>
    </xf>
    <xf numFmtId="4" fontId="56" fillId="4" borderId="17" xfId="0" applyNumberFormat="1" applyFont="1" applyFill="1" applyBorder="1" applyAlignment="1">
      <alignment horizontal="center"/>
    </xf>
    <xf numFmtId="0" fontId="55" fillId="4" borderId="5" xfId="0" applyFont="1" applyFill="1" applyBorder="1"/>
    <xf numFmtId="0" fontId="90" fillId="4" borderId="5" xfId="0" applyFont="1" applyFill="1" applyBorder="1" applyAlignment="1">
      <alignment horizontal="center" vertical="top"/>
    </xf>
    <xf numFmtId="4" fontId="55" fillId="4" borderId="5" xfId="0" applyNumberFormat="1" applyFont="1" applyFill="1" applyBorder="1"/>
    <xf numFmtId="0" fontId="94" fillId="4" borderId="5" xfId="0" applyFont="1" applyFill="1" applyBorder="1"/>
    <xf numFmtId="0" fontId="90" fillId="4" borderId="5" xfId="0" applyFont="1" applyFill="1" applyBorder="1" applyAlignment="1">
      <alignment horizontal="center"/>
    </xf>
    <xf numFmtId="0" fontId="55" fillId="4" borderId="5" xfId="0" applyFont="1" applyFill="1" applyBorder="1" applyAlignment="1">
      <alignment horizontal="center"/>
    </xf>
    <xf numFmtId="0" fontId="94" fillId="4" borderId="5" xfId="0" applyFont="1" applyFill="1" applyBorder="1" applyAlignment="1">
      <alignment horizontal="center"/>
    </xf>
    <xf numFmtId="49" fontId="14" fillId="7" borderId="30" xfId="0" applyNumberFormat="1" applyFont="1" applyFill="1" applyBorder="1"/>
    <xf numFmtId="49" fontId="14" fillId="7" borderId="63" xfId="0" applyNumberFormat="1" applyFont="1" applyFill="1" applyBorder="1"/>
    <xf numFmtId="0" fontId="57" fillId="4" borderId="5" xfId="0" applyFont="1" applyFill="1" applyBorder="1" applyAlignment="1">
      <alignment horizontal="center"/>
    </xf>
    <xf numFmtId="0" fontId="56" fillId="4" borderId="5" xfId="0" applyFont="1" applyFill="1" applyBorder="1" applyAlignment="1">
      <alignment horizontal="center"/>
    </xf>
    <xf numFmtId="49" fontId="14" fillId="6" borderId="30" xfId="0" applyNumberFormat="1" applyFont="1" applyFill="1" applyBorder="1" applyAlignment="1"/>
    <xf numFmtId="4" fontId="92" fillId="4" borderId="9" xfId="0" applyNumberFormat="1" applyFont="1" applyFill="1" applyBorder="1" applyAlignment="1">
      <alignment horizontal="center"/>
    </xf>
    <xf numFmtId="0" fontId="91" fillId="4" borderId="5" xfId="0" applyFont="1" applyFill="1" applyBorder="1" applyAlignment="1">
      <alignment horizontal="center"/>
    </xf>
    <xf numFmtId="0" fontId="14" fillId="4" borderId="1" xfId="12" applyFont="1" applyFill="1" applyBorder="1" applyAlignment="1">
      <alignment horizontal="center" vertical="center"/>
    </xf>
    <xf numFmtId="49" fontId="63" fillId="4" borderId="30" xfId="0" applyNumberFormat="1" applyFont="1" applyFill="1" applyBorder="1" applyAlignment="1"/>
    <xf numFmtId="2" fontId="14" fillId="4" borderId="4" xfId="12" applyNumberFormat="1" applyFont="1" applyFill="1" applyBorder="1" applyAlignment="1">
      <alignment horizontal="center" vertical="center"/>
    </xf>
    <xf numFmtId="4" fontId="40" fillId="0" borderId="9" xfId="12" applyNumberFormat="1" applyFont="1" applyFill="1" applyBorder="1" applyAlignment="1">
      <alignment vertical="center"/>
    </xf>
    <xf numFmtId="10" fontId="13" fillId="0" borderId="6" xfId="29" applyNumberFormat="1" applyFont="1" applyFill="1" applyBorder="1" applyAlignment="1">
      <alignment vertical="center"/>
    </xf>
    <xf numFmtId="0" fontId="20" fillId="4" borderId="0" xfId="12" applyNumberFormat="1" applyFont="1" applyFill="1" applyBorder="1" applyAlignment="1">
      <alignment horizontal="left"/>
    </xf>
    <xf numFmtId="10" fontId="20" fillId="4" borderId="0" xfId="12" applyNumberFormat="1" applyFont="1" applyFill="1" applyBorder="1" applyAlignment="1">
      <alignment horizontal="center"/>
    </xf>
    <xf numFmtId="4" fontId="20" fillId="5" borderId="16" xfId="12" applyNumberFormat="1" applyFont="1" applyFill="1" applyBorder="1" applyAlignment="1">
      <alignment horizontal="center" vertical="center"/>
    </xf>
    <xf numFmtId="4" fontId="20" fillId="5" borderId="67" xfId="12" applyNumberFormat="1" applyFont="1" applyFill="1" applyBorder="1" applyAlignment="1">
      <alignment horizontal="center"/>
    </xf>
    <xf numFmtId="10" fontId="40" fillId="4" borderId="13" xfId="12" applyNumberFormat="1" applyFont="1" applyFill="1" applyBorder="1" applyAlignment="1">
      <alignment horizontal="left"/>
    </xf>
    <xf numFmtId="10" fontId="40" fillId="4" borderId="5" xfId="12" applyNumberFormat="1" applyFont="1" applyFill="1" applyBorder="1" applyAlignment="1">
      <alignment horizontal="left"/>
    </xf>
    <xf numFmtId="10" fontId="13" fillId="0" borderId="0" xfId="12" applyNumberFormat="1" applyFont="1" applyFill="1"/>
    <xf numFmtId="49" fontId="14" fillId="12" borderId="59" xfId="0" applyNumberFormat="1" applyFont="1" applyFill="1" applyBorder="1"/>
    <xf numFmtId="49" fontId="14" fillId="12" borderId="37" xfId="0" applyNumberFormat="1" applyFont="1" applyFill="1" applyBorder="1"/>
    <xf numFmtId="49" fontId="14" fillId="12" borderId="35" xfId="0" applyNumberFormat="1" applyFont="1" applyFill="1" applyBorder="1"/>
    <xf numFmtId="49" fontId="14" fillId="12" borderId="30" xfId="0" applyNumberFormat="1" applyFont="1" applyFill="1" applyBorder="1"/>
    <xf numFmtId="49" fontId="14" fillId="12" borderId="30" xfId="0" applyNumberFormat="1" applyFont="1" applyFill="1" applyBorder="1" applyAlignment="1"/>
    <xf numFmtId="49" fontId="14" fillId="7" borderId="35" xfId="0" applyNumberFormat="1" applyFont="1" applyFill="1" applyBorder="1"/>
    <xf numFmtId="49" fontId="14" fillId="7" borderId="30" xfId="0" applyNumberFormat="1" applyFont="1" applyFill="1" applyBorder="1" applyAlignment="1">
      <alignment horizontal="left"/>
    </xf>
    <xf numFmtId="49" fontId="14" fillId="7" borderId="41" xfId="0" applyNumberFormat="1" applyFont="1" applyFill="1" applyBorder="1"/>
    <xf numFmtId="49" fontId="14" fillId="12" borderId="41" xfId="0" applyNumberFormat="1" applyFont="1" applyFill="1" applyBorder="1"/>
    <xf numFmtId="49" fontId="14" fillId="12" borderId="63" xfId="0" applyNumberFormat="1" applyFont="1" applyFill="1" applyBorder="1"/>
    <xf numFmtId="4" fontId="90" fillId="7" borderId="5" xfId="0" applyNumberFormat="1" applyFont="1" applyFill="1" applyBorder="1" applyAlignment="1">
      <alignment horizontal="center"/>
    </xf>
    <xf numFmtId="4" fontId="55" fillId="7" borderId="5" xfId="0" applyNumberFormat="1" applyFont="1" applyFill="1" applyBorder="1" applyAlignment="1">
      <alignment horizontal="center"/>
    </xf>
    <xf numFmtId="4" fontId="91" fillId="7" borderId="5" xfId="0" applyNumberFormat="1" applyFont="1" applyFill="1" applyBorder="1" applyAlignment="1">
      <alignment horizontal="center"/>
    </xf>
    <xf numFmtId="0" fontId="55" fillId="7" borderId="5" xfId="0" applyFont="1" applyFill="1" applyBorder="1" applyAlignment="1">
      <alignment horizontal="center"/>
    </xf>
    <xf numFmtId="4" fontId="55" fillId="7" borderId="5" xfId="0" applyNumberFormat="1" applyFont="1" applyFill="1" applyBorder="1"/>
    <xf numFmtId="0" fontId="55" fillId="7" borderId="0" xfId="0" applyFont="1" applyFill="1"/>
    <xf numFmtId="4" fontId="94" fillId="7" borderId="5" xfId="0" applyNumberFormat="1" applyFont="1" applyFill="1" applyBorder="1" applyAlignment="1">
      <alignment horizontal="center"/>
    </xf>
    <xf numFmtId="0" fontId="94" fillId="7" borderId="5" xfId="0" applyFont="1" applyFill="1" applyBorder="1" applyAlignment="1">
      <alignment horizontal="center"/>
    </xf>
    <xf numFmtId="0" fontId="94" fillId="7" borderId="0" xfId="0" applyFont="1" applyFill="1"/>
    <xf numFmtId="4" fontId="90" fillId="4" borderId="0" xfId="0" applyNumberFormat="1" applyFont="1" applyFill="1" applyBorder="1" applyAlignment="1">
      <alignment horizontal="center"/>
    </xf>
    <xf numFmtId="0" fontId="90" fillId="7" borderId="0" xfId="0" applyFont="1" applyFill="1"/>
    <xf numFmtId="0" fontId="90" fillId="7" borderId="18" xfId="0" applyFont="1" applyFill="1" applyBorder="1" applyAlignment="1">
      <alignment horizontal="center"/>
    </xf>
    <xf numFmtId="0" fontId="55" fillId="7" borderId="16" xfId="0" applyFont="1" applyFill="1" applyBorder="1" applyAlignment="1">
      <alignment horizontal="center" vertical="top"/>
    </xf>
    <xf numFmtId="4" fontId="94" fillId="7" borderId="2" xfId="0" applyNumberFormat="1" applyFont="1" applyFill="1" applyBorder="1" applyAlignment="1">
      <alignment horizontal="center"/>
    </xf>
    <xf numFmtId="4" fontId="57" fillId="7" borderId="5" xfId="0" applyNumberFormat="1" applyFont="1" applyFill="1" applyBorder="1" applyAlignment="1">
      <alignment horizontal="center"/>
    </xf>
    <xf numFmtId="4" fontId="91" fillId="7" borderId="2" xfId="0" applyNumberFormat="1" applyFont="1" applyFill="1" applyBorder="1" applyAlignment="1">
      <alignment horizontal="center"/>
    </xf>
    <xf numFmtId="4" fontId="56" fillId="7" borderId="5" xfId="0" applyNumberFormat="1" applyFont="1" applyFill="1" applyBorder="1" applyAlignment="1">
      <alignment horizontal="center"/>
    </xf>
    <xf numFmtId="4" fontId="98" fillId="4" borderId="4" xfId="0" applyNumberFormat="1" applyFont="1" applyFill="1" applyBorder="1" applyAlignment="1">
      <alignment horizontal="center"/>
    </xf>
    <xf numFmtId="4" fontId="55" fillId="7" borderId="4" xfId="0" applyNumberFormat="1" applyFont="1" applyFill="1" applyBorder="1" applyAlignment="1">
      <alignment horizontal="center"/>
    </xf>
    <xf numFmtId="4" fontId="91" fillId="7" borderId="56" xfId="0" applyNumberFormat="1" applyFont="1" applyFill="1" applyBorder="1" applyAlignment="1">
      <alignment horizontal="center"/>
    </xf>
    <xf numFmtId="4" fontId="90" fillId="7" borderId="9" xfId="0" applyNumberFormat="1" applyFont="1" applyFill="1" applyBorder="1" applyAlignment="1">
      <alignment horizontal="center"/>
    </xf>
    <xf numFmtId="0" fontId="38" fillId="4" borderId="5" xfId="12" applyFont="1" applyFill="1" applyBorder="1" applyAlignment="1" applyProtection="1">
      <alignment horizontal="center" vertical="center"/>
      <protection locked="0"/>
    </xf>
    <xf numFmtId="0" fontId="38" fillId="4" borderId="25" xfId="12" applyFont="1" applyFill="1" applyBorder="1" applyAlignment="1" applyProtection="1">
      <alignment horizontal="center" vertical="center"/>
      <protection locked="0"/>
    </xf>
    <xf numFmtId="4" fontId="55" fillId="4" borderId="25" xfId="0" applyNumberFormat="1" applyFont="1" applyFill="1" applyBorder="1" applyAlignment="1">
      <alignment horizontal="center"/>
    </xf>
    <xf numFmtId="4" fontId="55" fillId="7" borderId="25" xfId="0" applyNumberFormat="1" applyFont="1" applyFill="1" applyBorder="1" applyAlignment="1">
      <alignment horizontal="center"/>
    </xf>
    <xf numFmtId="4" fontId="90" fillId="4" borderId="25" xfId="0" applyNumberFormat="1" applyFont="1" applyFill="1" applyBorder="1" applyAlignment="1">
      <alignment horizontal="center"/>
    </xf>
    <xf numFmtId="4" fontId="90" fillId="7" borderId="25" xfId="0" applyNumberFormat="1" applyFont="1" applyFill="1" applyBorder="1" applyAlignment="1">
      <alignment horizontal="center"/>
    </xf>
    <xf numFmtId="49" fontId="14" fillId="4" borderId="5" xfId="0" applyNumberFormat="1" applyFont="1" applyFill="1" applyBorder="1" applyAlignment="1"/>
    <xf numFmtId="0" fontId="56" fillId="4" borderId="5" xfId="0" applyFont="1" applyFill="1" applyBorder="1" applyAlignment="1">
      <alignment horizontal="left"/>
    </xf>
    <xf numFmtId="0" fontId="90" fillId="4" borderId="5" xfId="0" applyFont="1" applyFill="1" applyBorder="1" applyAlignment="1"/>
    <xf numFmtId="4" fontId="93" fillId="4" borderId="5" xfId="0" applyNumberFormat="1" applyFont="1" applyFill="1" applyBorder="1" applyAlignment="1">
      <alignment horizontal="center"/>
    </xf>
    <xf numFmtId="0" fontId="91" fillId="7" borderId="0" xfId="0" applyFont="1" applyFill="1"/>
    <xf numFmtId="4" fontId="91" fillId="7" borderId="9" xfId="0" applyNumberFormat="1" applyFont="1" applyFill="1" applyBorder="1" applyAlignment="1">
      <alignment horizontal="center"/>
    </xf>
    <xf numFmtId="4" fontId="55" fillId="4" borderId="9" xfId="0" applyNumberFormat="1" applyFont="1" applyFill="1" applyBorder="1" applyAlignment="1">
      <alignment horizontal="center"/>
    </xf>
    <xf numFmtId="4" fontId="55" fillId="4" borderId="10" xfId="0" applyNumberFormat="1" applyFont="1" applyFill="1" applyBorder="1" applyAlignment="1">
      <alignment horizontal="center"/>
    </xf>
    <xf numFmtId="49" fontId="14" fillId="4" borderId="10" xfId="0" applyNumberFormat="1" applyFont="1" applyFill="1" applyBorder="1"/>
    <xf numFmtId="4" fontId="55" fillId="4" borderId="9" xfId="0" applyNumberFormat="1" applyFont="1" applyFill="1" applyBorder="1" applyAlignment="1">
      <alignment horizontal="center" vertical="center"/>
    </xf>
    <xf numFmtId="0" fontId="91" fillId="13" borderId="0" xfId="0" applyFont="1" applyFill="1"/>
    <xf numFmtId="0" fontId="90" fillId="13" borderId="18" xfId="0" applyFont="1" applyFill="1" applyBorder="1" applyAlignment="1">
      <alignment horizontal="center"/>
    </xf>
    <xf numFmtId="0" fontId="55" fillId="13" borderId="16" xfId="0" applyFont="1" applyFill="1" applyBorder="1" applyAlignment="1">
      <alignment horizontal="center" vertical="top"/>
    </xf>
    <xf numFmtId="4" fontId="91" fillId="13" borderId="9" xfId="0" applyNumberFormat="1" applyFont="1" applyFill="1" applyBorder="1" applyAlignment="1">
      <alignment horizontal="center"/>
    </xf>
    <xf numFmtId="4" fontId="56" fillId="13" borderId="5" xfId="0" applyNumberFormat="1" applyFont="1" applyFill="1" applyBorder="1" applyAlignment="1">
      <alignment horizontal="center"/>
    </xf>
    <xf numFmtId="4" fontId="55" fillId="13" borderId="9" xfId="0" applyNumberFormat="1" applyFont="1" applyFill="1" applyBorder="1" applyAlignment="1">
      <alignment horizontal="center"/>
    </xf>
    <xf numFmtId="49" fontId="14" fillId="7" borderId="10" xfId="0" applyNumberFormat="1" applyFont="1" applyFill="1" applyBorder="1"/>
    <xf numFmtId="0" fontId="90" fillId="4" borderId="5" xfId="0" applyFont="1" applyFill="1" applyBorder="1" applyAlignment="1">
      <alignment horizontal="center" vertical="center"/>
    </xf>
    <xf numFmtId="0" fontId="92" fillId="13" borderId="18" xfId="0" applyFont="1" applyFill="1" applyBorder="1" applyAlignment="1">
      <alignment horizontal="center"/>
    </xf>
    <xf numFmtId="0" fontId="93" fillId="13" borderId="16" xfId="0" applyFont="1" applyFill="1" applyBorder="1" applyAlignment="1">
      <alignment horizontal="center" vertical="top"/>
    </xf>
    <xf numFmtId="4" fontId="55" fillId="13" borderId="4" xfId="0" applyNumberFormat="1" applyFont="1" applyFill="1" applyBorder="1" applyAlignment="1">
      <alignment horizontal="center"/>
    </xf>
    <xf numFmtId="4" fontId="90" fillId="13" borderId="5" xfId="0" applyNumberFormat="1" applyFont="1" applyFill="1" applyBorder="1" applyAlignment="1">
      <alignment horizontal="center"/>
    </xf>
    <xf numFmtId="4" fontId="90" fillId="13" borderId="25" xfId="0" applyNumberFormat="1" applyFont="1" applyFill="1" applyBorder="1" applyAlignment="1">
      <alignment horizontal="center"/>
    </xf>
    <xf numFmtId="4" fontId="92" fillId="13" borderId="9" xfId="0" applyNumberFormat="1" applyFont="1" applyFill="1" applyBorder="1" applyAlignment="1">
      <alignment horizontal="center"/>
    </xf>
    <xf numFmtId="0" fontId="55" fillId="7" borderId="5" xfId="0" applyFont="1" applyFill="1" applyBorder="1"/>
    <xf numFmtId="0" fontId="56" fillId="4" borderId="0" xfId="0" applyFont="1" applyFill="1" applyAlignment="1">
      <alignment horizontal="center"/>
    </xf>
    <xf numFmtId="49" fontId="14" fillId="10" borderId="59" xfId="0" applyNumberFormat="1" applyFont="1" applyFill="1" applyBorder="1"/>
    <xf numFmtId="49" fontId="14" fillId="10" borderId="37" xfId="0" applyNumberFormat="1" applyFont="1" applyFill="1" applyBorder="1"/>
    <xf numFmtId="0" fontId="13" fillId="10" borderId="39" xfId="12" applyFont="1" applyFill="1" applyBorder="1" applyAlignment="1">
      <alignment horizontal="center" vertical="center"/>
    </xf>
    <xf numFmtId="4" fontId="94" fillId="10" borderId="1" xfId="0" applyNumberFormat="1" applyFont="1" applyFill="1" applyBorder="1" applyAlignment="1">
      <alignment horizontal="center"/>
    </xf>
    <xf numFmtId="4" fontId="94" fillId="10" borderId="2" xfId="0" applyNumberFormat="1" applyFont="1" applyFill="1" applyBorder="1" applyAlignment="1">
      <alignment horizontal="center"/>
    </xf>
    <xf numFmtId="4" fontId="91" fillId="10" borderId="2" xfId="0" applyNumberFormat="1" applyFont="1" applyFill="1" applyBorder="1" applyAlignment="1">
      <alignment horizontal="center"/>
    </xf>
    <xf numFmtId="4" fontId="91" fillId="10" borderId="56" xfId="0" applyNumberFormat="1" applyFont="1" applyFill="1" applyBorder="1" applyAlignment="1">
      <alignment horizontal="center"/>
    </xf>
    <xf numFmtId="4" fontId="91" fillId="10" borderId="9" xfId="0" applyNumberFormat="1" applyFont="1" applyFill="1" applyBorder="1" applyAlignment="1">
      <alignment horizontal="center"/>
    </xf>
    <xf numFmtId="4" fontId="90" fillId="10" borderId="30" xfId="0" applyNumberFormat="1" applyFont="1" applyFill="1" applyBorder="1" applyAlignment="1">
      <alignment horizontal="center"/>
    </xf>
    <xf numFmtId="4" fontId="90" fillId="7" borderId="35" xfId="0" applyNumberFormat="1" applyFont="1" applyFill="1" applyBorder="1" applyAlignment="1">
      <alignment horizontal="center"/>
    </xf>
    <xf numFmtId="4" fontId="90" fillId="7" borderId="30" xfId="0" applyNumberFormat="1" applyFont="1" applyFill="1" applyBorder="1" applyAlignment="1">
      <alignment horizontal="center"/>
    </xf>
    <xf numFmtId="49" fontId="14" fillId="0" borderId="17" xfId="0" applyNumberFormat="1" applyFont="1" applyBorder="1"/>
    <xf numFmtId="4" fontId="91" fillId="4" borderId="10" xfId="0" applyNumberFormat="1" applyFont="1" applyFill="1" applyBorder="1" applyAlignment="1">
      <alignment horizontal="center"/>
    </xf>
    <xf numFmtId="4" fontId="90" fillId="4" borderId="10" xfId="0" applyNumberFormat="1" applyFont="1" applyFill="1" applyBorder="1" applyAlignment="1">
      <alignment horizontal="center"/>
    </xf>
    <xf numFmtId="0" fontId="91" fillId="4" borderId="50" xfId="0" applyFont="1" applyFill="1" applyBorder="1" applyAlignment="1">
      <alignment horizontal="center"/>
    </xf>
    <xf numFmtId="0" fontId="67" fillId="4" borderId="9" xfId="12" applyFont="1" applyFill="1" applyBorder="1" applyAlignment="1">
      <alignment horizontal="center" vertical="center"/>
    </xf>
    <xf numFmtId="0" fontId="14" fillId="4" borderId="26" xfId="12" applyFont="1" applyFill="1" applyBorder="1" applyAlignment="1">
      <alignment horizontal="center" vertical="center"/>
    </xf>
    <xf numFmtId="0" fontId="90" fillId="4" borderId="67" xfId="0" applyFont="1" applyFill="1" applyBorder="1" applyAlignment="1">
      <alignment horizontal="center"/>
    </xf>
    <xf numFmtId="0" fontId="90" fillId="4" borderId="51" xfId="0" applyFont="1" applyFill="1" applyBorder="1" applyAlignment="1">
      <alignment horizontal="center"/>
    </xf>
    <xf numFmtId="0" fontId="90" fillId="7" borderId="67" xfId="0" applyFont="1" applyFill="1" applyBorder="1" applyAlignment="1">
      <alignment horizontal="center"/>
    </xf>
    <xf numFmtId="4" fontId="55" fillId="7" borderId="9" xfId="0" applyNumberFormat="1" applyFont="1" applyFill="1" applyBorder="1" applyAlignment="1">
      <alignment horizontal="center"/>
    </xf>
    <xf numFmtId="0" fontId="91" fillId="7" borderId="50" xfId="0" applyFont="1" applyFill="1" applyBorder="1" applyAlignment="1">
      <alignment horizontal="center"/>
    </xf>
    <xf numFmtId="0" fontId="91" fillId="7" borderId="5" xfId="0" applyFont="1" applyFill="1" applyBorder="1" applyAlignment="1">
      <alignment horizontal="center"/>
    </xf>
    <xf numFmtId="0" fontId="92" fillId="13" borderId="0" xfId="0" applyFont="1" applyFill="1"/>
    <xf numFmtId="0" fontId="93" fillId="13" borderId="0" xfId="0" applyFont="1" applyFill="1"/>
    <xf numFmtId="4" fontId="93" fillId="13" borderId="9" xfId="0" applyNumberFormat="1" applyFont="1" applyFill="1" applyBorder="1" applyAlignment="1">
      <alignment horizontal="center"/>
    </xf>
    <xf numFmtId="4" fontId="92" fillId="13" borderId="5" xfId="0" applyNumberFormat="1" applyFont="1" applyFill="1" applyBorder="1" applyAlignment="1">
      <alignment horizontal="center"/>
    </xf>
    <xf numFmtId="0" fontId="92" fillId="13" borderId="50" xfId="0" applyFont="1" applyFill="1" applyBorder="1" applyAlignment="1">
      <alignment horizontal="center"/>
    </xf>
    <xf numFmtId="0" fontId="92" fillId="13" borderId="5" xfId="0" applyFont="1" applyFill="1" applyBorder="1" applyAlignment="1">
      <alignment horizontal="center"/>
    </xf>
    <xf numFmtId="0" fontId="90" fillId="7" borderId="5" xfId="0" applyFont="1" applyFill="1" applyBorder="1" applyAlignment="1">
      <alignment horizontal="center"/>
    </xf>
    <xf numFmtId="0" fontId="90" fillId="7" borderId="5" xfId="0" applyFont="1" applyFill="1" applyBorder="1"/>
    <xf numFmtId="0" fontId="91" fillId="7" borderId="5" xfId="0" applyFont="1" applyFill="1" applyBorder="1"/>
    <xf numFmtId="4" fontId="91" fillId="13" borderId="56" xfId="0" applyNumberFormat="1" applyFont="1" applyFill="1" applyBorder="1" applyAlignment="1">
      <alignment horizontal="center"/>
    </xf>
    <xf numFmtId="0" fontId="55" fillId="13" borderId="0" xfId="0" applyFont="1" applyFill="1"/>
    <xf numFmtId="0" fontId="91" fillId="13" borderId="5" xfId="0" applyFont="1" applyFill="1" applyBorder="1" applyAlignment="1">
      <alignment horizontal="center"/>
    </xf>
    <xf numFmtId="4" fontId="91" fillId="13" borderId="5" xfId="0" applyNumberFormat="1" applyFont="1" applyFill="1" applyBorder="1" applyAlignment="1">
      <alignment horizontal="center"/>
    </xf>
    <xf numFmtId="49" fontId="14" fillId="7" borderId="35" xfId="0" applyNumberFormat="1" applyFont="1" applyFill="1" applyBorder="1" applyAlignment="1">
      <alignment horizontal="left"/>
    </xf>
    <xf numFmtId="49" fontId="14" fillId="7" borderId="35" xfId="0" applyNumberFormat="1" applyFont="1" applyFill="1" applyBorder="1" applyAlignment="1"/>
    <xf numFmtId="49" fontId="68" fillId="7" borderId="30" xfId="0" applyNumberFormat="1" applyFont="1" applyFill="1" applyBorder="1" applyAlignment="1"/>
    <xf numFmtId="49" fontId="68" fillId="7" borderId="35" xfId="0" applyNumberFormat="1" applyFont="1" applyFill="1" applyBorder="1" applyAlignment="1"/>
    <xf numFmtId="49" fontId="65" fillId="7" borderId="59" xfId="0" applyNumberFormat="1" applyFont="1" applyFill="1" applyBorder="1"/>
    <xf numFmtId="0" fontId="14" fillId="7" borderId="13" xfId="12" applyFont="1" applyFill="1" applyBorder="1" applyAlignment="1">
      <alignment horizontal="center" vertical="center"/>
    </xf>
    <xf numFmtId="4" fontId="94" fillId="7" borderId="1" xfId="0" applyNumberFormat="1" applyFont="1" applyFill="1" applyBorder="1" applyAlignment="1">
      <alignment horizontal="center"/>
    </xf>
    <xf numFmtId="4" fontId="91" fillId="7" borderId="10" xfId="0" applyNumberFormat="1" applyFont="1" applyFill="1" applyBorder="1" applyAlignment="1">
      <alignment horizontal="center"/>
    </xf>
    <xf numFmtId="0" fontId="94" fillId="7" borderId="5" xfId="0" applyFont="1" applyFill="1" applyBorder="1"/>
    <xf numFmtId="49" fontId="14" fillId="7" borderId="5" xfId="0" applyNumberFormat="1" applyFont="1" applyFill="1" applyBorder="1" applyAlignment="1">
      <alignment horizontal="center"/>
    </xf>
    <xf numFmtId="0" fontId="16" fillId="7" borderId="5" xfId="12" applyFont="1" applyFill="1" applyBorder="1" applyAlignment="1" applyProtection="1">
      <alignment horizontal="center" vertical="center"/>
      <protection locked="0"/>
    </xf>
    <xf numFmtId="0" fontId="14" fillId="7" borderId="5" xfId="12" applyFont="1" applyFill="1" applyBorder="1" applyAlignment="1">
      <alignment horizontal="center" vertical="center"/>
    </xf>
    <xf numFmtId="4" fontId="56" fillId="7" borderId="10" xfId="0" applyNumberFormat="1" applyFont="1" applyFill="1" applyBorder="1" applyAlignment="1">
      <alignment horizontal="center"/>
    </xf>
    <xf numFmtId="4" fontId="56" fillId="7" borderId="17" xfId="0" applyNumberFormat="1" applyFont="1" applyFill="1" applyBorder="1" applyAlignment="1">
      <alignment horizontal="center"/>
    </xf>
    <xf numFmtId="0" fontId="97" fillId="7" borderId="5" xfId="12" applyFont="1" applyFill="1" applyBorder="1" applyAlignment="1" applyProtection="1">
      <alignment horizontal="center" vertical="center"/>
      <protection locked="0"/>
    </xf>
    <xf numFmtId="4" fontId="94" fillId="7" borderId="4" xfId="0" applyNumberFormat="1" applyFont="1" applyFill="1" applyBorder="1" applyAlignment="1">
      <alignment horizontal="center"/>
    </xf>
    <xf numFmtId="2" fontId="57" fillId="7" borderId="0" xfId="0" applyNumberFormat="1" applyFont="1" applyFill="1"/>
    <xf numFmtId="4" fontId="93" fillId="7" borderId="5" xfId="0" applyNumberFormat="1" applyFont="1" applyFill="1" applyBorder="1" applyAlignment="1">
      <alignment horizontal="center"/>
    </xf>
    <xf numFmtId="4" fontId="90" fillId="7" borderId="4" xfId="0" applyNumberFormat="1" applyFont="1" applyFill="1" applyBorder="1" applyAlignment="1">
      <alignment horizontal="center"/>
    </xf>
    <xf numFmtId="49" fontId="12" fillId="7" borderId="35" xfId="0" applyNumberFormat="1" applyFont="1" applyFill="1" applyBorder="1"/>
    <xf numFmtId="49" fontId="14" fillId="14" borderId="35" xfId="0" applyNumberFormat="1" applyFont="1" applyFill="1" applyBorder="1"/>
    <xf numFmtId="0" fontId="16" fillId="14" borderId="5" xfId="12" applyFont="1" applyFill="1" applyBorder="1" applyAlignment="1" applyProtection="1">
      <alignment horizontal="center" vertical="center"/>
      <protection locked="0"/>
    </xf>
    <xf numFmtId="4" fontId="55" fillId="14" borderId="4" xfId="0" applyNumberFormat="1" applyFont="1" applyFill="1" applyBorder="1" applyAlignment="1">
      <alignment horizontal="center"/>
    </xf>
    <xf numFmtId="4" fontId="55" fillId="14" borderId="5" xfId="0" applyNumberFormat="1" applyFont="1" applyFill="1" applyBorder="1" applyAlignment="1">
      <alignment horizontal="center"/>
    </xf>
    <xf numFmtId="4" fontId="90" fillId="14" borderId="5" xfId="0" applyNumberFormat="1" applyFont="1" applyFill="1" applyBorder="1" applyAlignment="1">
      <alignment horizontal="center"/>
    </xf>
    <xf numFmtId="4" fontId="91" fillId="14" borderId="9" xfId="0" applyNumberFormat="1" applyFont="1" applyFill="1" applyBorder="1" applyAlignment="1">
      <alignment horizontal="center"/>
    </xf>
    <xf numFmtId="4" fontId="92" fillId="14" borderId="9" xfId="0" applyNumberFormat="1" applyFont="1" applyFill="1" applyBorder="1" applyAlignment="1">
      <alignment horizontal="center"/>
    </xf>
    <xf numFmtId="4" fontId="91" fillId="14" borderId="10" xfId="0" applyNumberFormat="1" applyFont="1" applyFill="1" applyBorder="1" applyAlignment="1">
      <alignment horizontal="center"/>
    </xf>
    <xf numFmtId="4" fontId="90" fillId="14" borderId="35" xfId="0" applyNumberFormat="1" applyFont="1" applyFill="1" applyBorder="1" applyAlignment="1">
      <alignment horizontal="center"/>
    </xf>
    <xf numFmtId="0" fontId="55" fillId="14" borderId="5" xfId="0" applyFont="1" applyFill="1" applyBorder="1" applyAlignment="1">
      <alignment horizontal="center"/>
    </xf>
    <xf numFmtId="4" fontId="55" fillId="14" borderId="5" xfId="0" applyNumberFormat="1" applyFont="1" applyFill="1" applyBorder="1"/>
    <xf numFmtId="0" fontId="55" fillId="14" borderId="0" xfId="0" applyFont="1" applyFill="1"/>
    <xf numFmtId="0" fontId="67" fillId="7" borderId="5" xfId="12" applyFont="1" applyFill="1" applyBorder="1" applyAlignment="1">
      <alignment horizontal="center" vertical="center"/>
    </xf>
    <xf numFmtId="4" fontId="90" fillId="7" borderId="10" xfId="0" applyNumberFormat="1" applyFont="1" applyFill="1" applyBorder="1" applyAlignment="1">
      <alignment horizontal="center"/>
    </xf>
    <xf numFmtId="0" fontId="14" fillId="14" borderId="5" xfId="12" applyFont="1" applyFill="1" applyBorder="1" applyAlignment="1">
      <alignment horizontal="center" vertical="center"/>
    </xf>
    <xf numFmtId="0" fontId="57" fillId="7" borderId="5" xfId="0" applyFont="1" applyFill="1" applyBorder="1" applyAlignment="1">
      <alignment horizontal="center"/>
    </xf>
    <xf numFmtId="0" fontId="57" fillId="14" borderId="5" xfId="0" applyFont="1" applyFill="1" applyBorder="1" applyAlignment="1">
      <alignment horizont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13" fillId="0" borderId="5" xfId="0" applyFont="1" applyBorder="1" applyAlignment="1">
      <alignment vertical="center" wrapText="1"/>
    </xf>
    <xf numFmtId="0" fontId="13" fillId="0" borderId="5" xfId="0" applyFont="1" applyBorder="1" applyAlignment="1">
      <alignment vertical="center"/>
    </xf>
    <xf numFmtId="0" fontId="13" fillId="0" borderId="5" xfId="0" applyFont="1" applyBorder="1" applyAlignment="1">
      <alignment horizontal="center" vertical="center" wrapText="1"/>
    </xf>
    <xf numFmtId="0" fontId="0" fillId="7" borderId="5" xfId="0" applyFill="1" applyBorder="1"/>
    <xf numFmtId="0" fontId="13" fillId="7" borderId="5" xfId="0" applyFont="1" applyFill="1" applyBorder="1" applyAlignment="1">
      <alignment vertical="center"/>
    </xf>
    <xf numFmtId="0" fontId="13" fillId="0" borderId="5" xfId="0" applyFont="1" applyBorder="1" applyAlignment="1">
      <alignment horizontal="center" wrapText="1"/>
    </xf>
    <xf numFmtId="16" fontId="13" fillId="0" borderId="5" xfId="0" quotePrefix="1" applyNumberFormat="1" applyFont="1" applyBorder="1" applyAlignment="1">
      <alignment horizontal="center" vertical="center"/>
    </xf>
    <xf numFmtId="16" fontId="13" fillId="7" borderId="5" xfId="0" quotePrefix="1" applyNumberFormat="1" applyFont="1" applyFill="1" applyBorder="1" applyAlignment="1">
      <alignment horizontal="center" vertical="center"/>
    </xf>
    <xf numFmtId="16" fontId="13" fillId="4" borderId="5" xfId="0" quotePrefix="1" applyNumberFormat="1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7" borderId="5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4" borderId="5" xfId="0" applyFill="1" applyBorder="1" applyAlignment="1">
      <alignment vertical="center"/>
    </xf>
    <xf numFmtId="0" fontId="0" fillId="7" borderId="0" xfId="0" applyFill="1"/>
    <xf numFmtId="0" fontId="13" fillId="0" borderId="5" xfId="0" applyFont="1" applyFill="1" applyBorder="1" applyAlignment="1">
      <alignment horizontal="center" vertical="center" wrapText="1"/>
    </xf>
    <xf numFmtId="4" fontId="90" fillId="4" borderId="4" xfId="0" applyNumberFormat="1" applyFont="1" applyFill="1" applyBorder="1" applyAlignment="1">
      <alignment horizontal="center"/>
    </xf>
    <xf numFmtId="4" fontId="55" fillId="14" borderId="25" xfId="0" applyNumberFormat="1" applyFont="1" applyFill="1" applyBorder="1" applyAlignment="1">
      <alignment horizontal="center"/>
    </xf>
    <xf numFmtId="4" fontId="55" fillId="13" borderId="5" xfId="0" applyNumberFormat="1" applyFont="1" applyFill="1" applyBorder="1" applyAlignment="1">
      <alignment horizontal="center"/>
    </xf>
    <xf numFmtId="0" fontId="55" fillId="4" borderId="13" xfId="0" applyFont="1" applyFill="1" applyBorder="1" applyAlignment="1">
      <alignment horizontal="center"/>
    </xf>
    <xf numFmtId="0" fontId="90" fillId="4" borderId="13" xfId="0" applyFont="1" applyFill="1" applyBorder="1" applyAlignment="1">
      <alignment horizontal="center"/>
    </xf>
    <xf numFmtId="0" fontId="90" fillId="4" borderId="13" xfId="0" applyFont="1" applyFill="1" applyBorder="1"/>
    <xf numFmtId="4" fontId="92" fillId="4" borderId="5" xfId="0" applyNumberFormat="1" applyFont="1" applyFill="1" applyBorder="1" applyAlignment="1">
      <alignment horizontal="center"/>
    </xf>
    <xf numFmtId="0" fontId="93" fillId="4" borderId="0" xfId="0" applyFont="1" applyFill="1"/>
    <xf numFmtId="4" fontId="93" fillId="4" borderId="9" xfId="0" applyNumberFormat="1" applyFont="1" applyFill="1" applyBorder="1" applyAlignment="1">
      <alignment horizontal="center"/>
    </xf>
    <xf numFmtId="0" fontId="90" fillId="4" borderId="50" xfId="0" applyFont="1" applyFill="1" applyBorder="1" applyAlignment="1"/>
    <xf numFmtId="4" fontId="94" fillId="13" borderId="5" xfId="0" applyNumberFormat="1" applyFont="1" applyFill="1" applyBorder="1" applyAlignment="1">
      <alignment horizontal="center"/>
    </xf>
    <xf numFmtId="4" fontId="90" fillId="14" borderId="25" xfId="0" applyNumberFormat="1" applyFont="1" applyFill="1" applyBorder="1" applyAlignment="1">
      <alignment horizontal="center"/>
    </xf>
    <xf numFmtId="4" fontId="55" fillId="13" borderId="25" xfId="0" applyNumberFormat="1" applyFont="1" applyFill="1" applyBorder="1" applyAlignment="1">
      <alignment horizontal="center"/>
    </xf>
    <xf numFmtId="4" fontId="90" fillId="4" borderId="22" xfId="0" applyNumberFormat="1" applyFont="1" applyFill="1" applyBorder="1" applyAlignment="1">
      <alignment horizontal="center"/>
    </xf>
    <xf numFmtId="0" fontId="55" fillId="13" borderId="5" xfId="0" applyFont="1" applyFill="1" applyBorder="1"/>
    <xf numFmtId="4" fontId="90" fillId="4" borderId="5" xfId="0" applyNumberFormat="1" applyFont="1" applyFill="1" applyBorder="1" applyAlignment="1">
      <alignment horizontal="center"/>
    </xf>
    <xf numFmtId="49" fontId="68" fillId="0" borderId="5" xfId="0" applyNumberFormat="1" applyFont="1" applyBorder="1" applyAlignment="1">
      <alignment horizontal="left"/>
    </xf>
    <xf numFmtId="0" fontId="12" fillId="0" borderId="0" xfId="12" applyFont="1" applyAlignment="1">
      <alignment horizontal="center"/>
    </xf>
    <xf numFmtId="0" fontId="90" fillId="4" borderId="18" xfId="0" applyFont="1" applyFill="1" applyBorder="1" applyAlignment="1">
      <alignment horizontal="center"/>
    </xf>
    <xf numFmtId="49" fontId="14" fillId="7" borderId="10" xfId="0" quotePrefix="1" applyNumberFormat="1" applyFont="1" applyFill="1" applyBorder="1"/>
    <xf numFmtId="49" fontId="14" fillId="4" borderId="10" xfId="0" quotePrefix="1" applyNumberFormat="1" applyFont="1" applyFill="1" applyBorder="1"/>
    <xf numFmtId="2" fontId="16" fillId="4" borderId="0" xfId="12" applyNumberFormat="1" applyFont="1" applyFill="1" applyAlignment="1">
      <alignment horizontal="center"/>
    </xf>
    <xf numFmtId="2" fontId="16" fillId="0" borderId="0" xfId="12" applyNumberFormat="1" applyFont="1" applyAlignment="1">
      <alignment horizontal="center"/>
    </xf>
    <xf numFmtId="2" fontId="16" fillId="0" borderId="0" xfId="12" applyNumberFormat="1" applyFont="1"/>
    <xf numFmtId="0" fontId="16" fillId="13" borderId="0" xfId="12" applyFont="1" applyFill="1"/>
    <xf numFmtId="4" fontId="90" fillId="13" borderId="9" xfId="0" applyNumberFormat="1" applyFont="1" applyFill="1" applyBorder="1" applyAlignment="1">
      <alignment horizontal="center"/>
    </xf>
    <xf numFmtId="2" fontId="16" fillId="7" borderId="0" xfId="12" applyNumberFormat="1" applyFont="1" applyFill="1" applyAlignment="1">
      <alignment horizontal="center"/>
    </xf>
    <xf numFmtId="4" fontId="16" fillId="7" borderId="5" xfId="12" applyNumberFormat="1" applyFont="1" applyFill="1" applyBorder="1"/>
    <xf numFmtId="2" fontId="55" fillId="13" borderId="5" xfId="0" applyNumberFormat="1" applyFont="1" applyFill="1" applyBorder="1" applyAlignment="1">
      <alignment horizontal="center"/>
    </xf>
    <xf numFmtId="4" fontId="90" fillId="4" borderId="5" xfId="0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0" fontId="55" fillId="4" borderId="7" xfId="0" applyFont="1" applyFill="1" applyBorder="1" applyAlignment="1">
      <alignment horizontal="center" vertical="center"/>
    </xf>
    <xf numFmtId="4" fontId="91" fillId="7" borderId="17" xfId="0" applyNumberFormat="1" applyFont="1" applyFill="1" applyBorder="1" applyAlignment="1">
      <alignment horizontal="center"/>
    </xf>
    <xf numFmtId="4" fontId="91" fillId="4" borderId="17" xfId="0" applyNumberFormat="1" applyFont="1" applyFill="1" applyBorder="1" applyAlignment="1">
      <alignment horizontal="center"/>
    </xf>
    <xf numFmtId="0" fontId="90" fillId="13" borderId="50" xfId="0" applyFont="1" applyFill="1" applyBorder="1" applyAlignment="1"/>
    <xf numFmtId="4" fontId="101" fillId="13" borderId="5" xfId="0" applyNumberFormat="1" applyFont="1" applyFill="1" applyBorder="1" applyAlignment="1">
      <alignment horizontal="center"/>
    </xf>
    <xf numFmtId="0" fontId="91" fillId="9" borderId="0" xfId="0" applyFont="1" applyFill="1"/>
    <xf numFmtId="0" fontId="90" fillId="9" borderId="50" xfId="0" applyFont="1" applyFill="1" applyBorder="1" applyAlignment="1"/>
    <xf numFmtId="0" fontId="90" fillId="9" borderId="18" xfId="0" applyFont="1" applyFill="1" applyBorder="1" applyAlignment="1">
      <alignment horizontal="center"/>
    </xf>
    <xf numFmtId="0" fontId="55" fillId="9" borderId="55" xfId="0" applyFont="1" applyFill="1" applyBorder="1" applyAlignment="1">
      <alignment horizontal="center" vertical="top"/>
    </xf>
    <xf numFmtId="4" fontId="91" fillId="9" borderId="5" xfId="0" applyNumberFormat="1" applyFont="1" applyFill="1" applyBorder="1" applyAlignment="1">
      <alignment horizontal="center"/>
    </xf>
    <xf numFmtId="4" fontId="56" fillId="9" borderId="5" xfId="0" applyNumberFormat="1" applyFont="1" applyFill="1" applyBorder="1" applyAlignment="1">
      <alignment horizontal="center"/>
    </xf>
    <xf numFmtId="4" fontId="90" fillId="9" borderId="5" xfId="0" applyNumberFormat="1" applyFont="1" applyFill="1" applyBorder="1" applyAlignment="1">
      <alignment horizontal="center"/>
    </xf>
    <xf numFmtId="0" fontId="91" fillId="9" borderId="50" xfId="0" applyFont="1" applyFill="1" applyBorder="1" applyAlignment="1">
      <alignment horizontal="center"/>
    </xf>
    <xf numFmtId="0" fontId="91" fillId="9" borderId="5" xfId="0" applyFont="1" applyFill="1" applyBorder="1" applyAlignment="1">
      <alignment horizontal="center"/>
    </xf>
    <xf numFmtId="4" fontId="18" fillId="13" borderId="10" xfId="12" applyNumberFormat="1" applyFont="1" applyFill="1" applyBorder="1" applyAlignment="1" applyProtection="1">
      <alignment horizontal="center" vertical="center"/>
      <protection locked="0"/>
    </xf>
    <xf numFmtId="4" fontId="90" fillId="13" borderId="35" xfId="0" applyNumberFormat="1" applyFont="1" applyFill="1" applyBorder="1" applyAlignment="1">
      <alignment horizontal="center"/>
    </xf>
    <xf numFmtId="49" fontId="14" fillId="9" borderId="5" xfId="0" applyNumberFormat="1" applyFont="1" applyFill="1" applyBorder="1" applyAlignment="1"/>
    <xf numFmtId="49" fontId="14" fillId="4" borderId="5" xfId="0" applyNumberFormat="1" applyFont="1" applyFill="1" applyBorder="1" applyAlignment="1">
      <alignment horizontal="center"/>
    </xf>
    <xf numFmtId="0" fontId="12" fillId="0" borderId="0" xfId="12" applyFont="1" applyAlignment="1">
      <alignment horizontal="center"/>
    </xf>
    <xf numFmtId="0" fontId="20" fillId="2" borderId="5" xfId="12" applyNumberFormat="1" applyFont="1" applyFill="1" applyBorder="1" applyAlignment="1">
      <alignment horizontal="center"/>
    </xf>
    <xf numFmtId="0" fontId="12" fillId="0" borderId="5" xfId="12" applyNumberFormat="1" applyFont="1" applyFill="1" applyBorder="1" applyAlignment="1">
      <alignment horizontal="center"/>
    </xf>
    <xf numFmtId="0" fontId="20" fillId="0" borderId="5" xfId="12" applyNumberFormat="1" applyFont="1" applyFill="1" applyBorder="1" applyAlignment="1">
      <alignment horizontal="center"/>
    </xf>
    <xf numFmtId="4" fontId="94" fillId="13" borderId="5" xfId="0" applyNumberFormat="1" applyFont="1" applyFill="1" applyBorder="1"/>
    <xf numFmtId="4" fontId="90" fillId="13" borderId="10" xfId="0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4" fontId="57" fillId="13" borderId="5" xfId="0" applyNumberFormat="1" applyFont="1" applyFill="1" applyBorder="1" applyAlignment="1">
      <alignment horizontal="center"/>
    </xf>
    <xf numFmtId="2" fontId="57" fillId="13" borderId="0" xfId="0" applyNumberFormat="1" applyFont="1" applyFill="1"/>
    <xf numFmtId="4" fontId="98" fillId="13" borderId="4" xfId="0" applyNumberFormat="1" applyFont="1" applyFill="1" applyBorder="1" applyAlignment="1">
      <alignment horizontal="center"/>
    </xf>
    <xf numFmtId="2" fontId="16" fillId="13" borderId="0" xfId="12" applyNumberFormat="1" applyFont="1" applyFill="1" applyAlignment="1">
      <alignment horizontal="center"/>
    </xf>
    <xf numFmtId="4" fontId="94" fillId="9" borderId="2" xfId="0" applyNumberFormat="1" applyFont="1" applyFill="1" applyBorder="1" applyAlignment="1">
      <alignment horizontal="center"/>
    </xf>
    <xf numFmtId="4" fontId="55" fillId="9" borderId="5" xfId="0" applyNumberFormat="1" applyFont="1" applyFill="1" applyBorder="1" applyAlignment="1">
      <alignment horizontal="center"/>
    </xf>
    <xf numFmtId="4" fontId="94" fillId="9" borderId="5" xfId="0" applyNumberFormat="1" applyFont="1" applyFill="1" applyBorder="1" applyAlignment="1">
      <alignment horizontal="center"/>
    </xf>
    <xf numFmtId="4" fontId="57" fillId="9" borderId="5" xfId="0" applyNumberFormat="1" applyFont="1" applyFill="1" applyBorder="1" applyAlignment="1">
      <alignment horizontal="center"/>
    </xf>
    <xf numFmtId="0" fontId="90" fillId="9" borderId="67" xfId="0" applyFont="1" applyFill="1" applyBorder="1" applyAlignment="1">
      <alignment horizontal="center"/>
    </xf>
    <xf numFmtId="0" fontId="90" fillId="9" borderId="0" xfId="0" applyFont="1" applyFill="1"/>
    <xf numFmtId="4" fontId="97" fillId="9" borderId="9" xfId="12" applyNumberFormat="1" applyFont="1" applyFill="1" applyBorder="1" applyAlignment="1" applyProtection="1">
      <alignment horizontal="right" vertical="center"/>
      <protection locked="0"/>
    </xf>
    <xf numFmtId="4" fontId="55" fillId="9" borderId="4" xfId="0" applyNumberFormat="1" applyFont="1" applyFill="1" applyBorder="1" applyAlignment="1">
      <alignment horizontal="center"/>
    </xf>
    <xf numFmtId="4" fontId="55" fillId="9" borderId="25" xfId="0" applyNumberFormat="1" applyFont="1" applyFill="1" applyBorder="1" applyAlignment="1">
      <alignment horizontal="center"/>
    </xf>
    <xf numFmtId="4" fontId="91" fillId="9" borderId="9" xfId="0" applyNumberFormat="1" applyFont="1" applyFill="1" applyBorder="1" applyAlignment="1">
      <alignment horizontal="center"/>
    </xf>
    <xf numFmtId="0" fontId="16" fillId="9" borderId="0" xfId="12" applyFont="1" applyFill="1"/>
    <xf numFmtId="4" fontId="90" fillId="9" borderId="9" xfId="0" applyNumberFormat="1" applyFont="1" applyFill="1" applyBorder="1" applyAlignment="1">
      <alignment horizontal="center"/>
    </xf>
    <xf numFmtId="4" fontId="90" fillId="9" borderId="25" xfId="0" applyNumberFormat="1" applyFont="1" applyFill="1" applyBorder="1" applyAlignment="1">
      <alignment horizontal="center"/>
    </xf>
    <xf numFmtId="0" fontId="55" fillId="9" borderId="16" xfId="0" applyFont="1" applyFill="1" applyBorder="1" applyAlignment="1">
      <alignment horizontal="center" vertical="top"/>
    </xf>
    <xf numFmtId="0" fontId="55" fillId="9" borderId="5" xfId="0" applyFont="1" applyFill="1" applyBorder="1"/>
    <xf numFmtId="4" fontId="55" fillId="9" borderId="9" xfId="0" applyNumberFormat="1" applyFont="1" applyFill="1" applyBorder="1" applyAlignment="1">
      <alignment horizontal="center"/>
    </xf>
    <xf numFmtId="4" fontId="91" fillId="9" borderId="2" xfId="0" applyNumberFormat="1" applyFont="1" applyFill="1" applyBorder="1" applyAlignment="1">
      <alignment horizontal="center"/>
    </xf>
    <xf numFmtId="0" fontId="90" fillId="9" borderId="5" xfId="0" applyFont="1" applyFill="1" applyBorder="1"/>
    <xf numFmtId="4" fontId="97" fillId="9" borderId="5" xfId="12" applyNumberFormat="1" applyFont="1" applyFill="1" applyBorder="1" applyAlignment="1" applyProtection="1">
      <alignment horizontal="center" vertical="center"/>
      <protection locked="0"/>
    </xf>
    <xf numFmtId="0" fontId="56" fillId="15" borderId="0" xfId="0" applyFont="1" applyFill="1"/>
    <xf numFmtId="0" fontId="90" fillId="15" borderId="0" xfId="0" applyFont="1" applyFill="1"/>
    <xf numFmtId="0" fontId="91" fillId="15" borderId="0" xfId="0" applyFont="1" applyFill="1"/>
    <xf numFmtId="0" fontId="92" fillId="15" borderId="0" xfId="0" applyFont="1" applyFill="1"/>
    <xf numFmtId="0" fontId="56" fillId="15" borderId="0" xfId="0" applyFont="1" applyFill="1" applyAlignment="1">
      <alignment horizontal="left"/>
    </xf>
    <xf numFmtId="0" fontId="90" fillId="15" borderId="0" xfId="0" applyFont="1" applyFill="1" applyAlignment="1"/>
    <xf numFmtId="0" fontId="102" fillId="15" borderId="0" xfId="0" applyFont="1" applyFill="1" applyAlignment="1">
      <alignment horizontal="left"/>
    </xf>
    <xf numFmtId="2" fontId="55" fillId="4" borderId="5" xfId="0" applyNumberFormat="1" applyFont="1" applyFill="1" applyBorder="1" applyAlignment="1">
      <alignment horizontal="center"/>
    </xf>
    <xf numFmtId="0" fontId="92" fillId="4" borderId="0" xfId="0" applyFont="1" applyFill="1"/>
    <xf numFmtId="0" fontId="92" fillId="4" borderId="50" xfId="0" applyFont="1" applyFill="1" applyBorder="1" applyAlignment="1">
      <alignment horizontal="center"/>
    </xf>
    <xf numFmtId="0" fontId="92" fillId="4" borderId="5" xfId="0" applyFont="1" applyFill="1" applyBorder="1" applyAlignment="1">
      <alignment horizontal="center"/>
    </xf>
    <xf numFmtId="0" fontId="104" fillId="4" borderId="50" xfId="0" applyFont="1" applyFill="1" applyBorder="1" applyAlignment="1"/>
    <xf numFmtId="4" fontId="55" fillId="4" borderId="17" xfId="0" applyNumberFormat="1" applyFont="1" applyFill="1" applyBorder="1" applyAlignment="1">
      <alignment horizontal="center"/>
    </xf>
    <xf numFmtId="4" fontId="55" fillId="4" borderId="29" xfId="0" applyNumberFormat="1" applyFont="1" applyFill="1" applyBorder="1" applyAlignment="1">
      <alignment horizontal="center"/>
    </xf>
    <xf numFmtId="4" fontId="55" fillId="4" borderId="35" xfId="0" applyNumberFormat="1" applyFont="1" applyFill="1" applyBorder="1" applyAlignment="1">
      <alignment horizontal="center"/>
    </xf>
    <xf numFmtId="4" fontId="55" fillId="4" borderId="26" xfId="0" applyNumberFormat="1" applyFont="1" applyFill="1" applyBorder="1" applyAlignment="1">
      <alignment horizontal="center"/>
    </xf>
    <xf numFmtId="4" fontId="92" fillId="7" borderId="9" xfId="0" applyNumberFormat="1" applyFont="1" applyFill="1" applyBorder="1" applyAlignment="1">
      <alignment horizontal="center"/>
    </xf>
    <xf numFmtId="49" fontId="65" fillId="14" borderId="59" xfId="0" applyNumberFormat="1" applyFont="1" applyFill="1" applyBorder="1"/>
    <xf numFmtId="0" fontId="97" fillId="14" borderId="5" xfId="12" applyFont="1" applyFill="1" applyBorder="1" applyAlignment="1" applyProtection="1">
      <alignment horizontal="center" vertical="center"/>
      <protection locked="0"/>
    </xf>
    <xf numFmtId="0" fontId="67" fillId="14" borderId="5" xfId="12" applyFont="1" applyFill="1" applyBorder="1" applyAlignment="1">
      <alignment horizontal="center" vertical="center"/>
    </xf>
    <xf numFmtId="0" fontId="55" fillId="4" borderId="50" xfId="0" applyFont="1" applyFill="1" applyBorder="1" applyAlignment="1"/>
    <xf numFmtId="0" fontId="55" fillId="4" borderId="48" xfId="0" applyFont="1" applyFill="1" applyBorder="1" applyAlignment="1">
      <alignment horizontal="center" vertical="top"/>
    </xf>
    <xf numFmtId="0" fontId="55" fillId="4" borderId="77" xfId="0" applyFont="1" applyFill="1" applyBorder="1" applyAlignment="1">
      <alignment horizontal="center"/>
    </xf>
    <xf numFmtId="4" fontId="55" fillId="4" borderId="1" xfId="0" applyNumberFormat="1" applyFont="1" applyFill="1" applyBorder="1" applyAlignment="1">
      <alignment horizontal="center"/>
    </xf>
    <xf numFmtId="4" fontId="92" fillId="4" borderId="10" xfId="0" applyNumberFormat="1" applyFont="1" applyFill="1" applyBorder="1" applyAlignment="1">
      <alignment horizontal="center"/>
    </xf>
    <xf numFmtId="0" fontId="55" fillId="4" borderId="55" xfId="0" applyFont="1" applyFill="1" applyBorder="1" applyAlignment="1">
      <alignment horizontal="center" vertical="top"/>
    </xf>
    <xf numFmtId="4" fontId="93" fillId="4" borderId="25" xfId="0" applyNumberFormat="1" applyFont="1" applyFill="1" applyBorder="1" applyAlignment="1">
      <alignment horizontal="center"/>
    </xf>
    <xf numFmtId="4" fontId="92" fillId="4" borderId="25" xfId="0" applyNumberFormat="1" applyFont="1" applyFill="1" applyBorder="1" applyAlignment="1">
      <alignment horizontal="center"/>
    </xf>
    <xf numFmtId="0" fontId="91" fillId="4" borderId="5" xfId="0" applyFont="1" applyFill="1" applyBorder="1"/>
    <xf numFmtId="4" fontId="97" fillId="7" borderId="9" xfId="12" applyNumberFormat="1" applyFont="1" applyFill="1" applyBorder="1" applyAlignment="1" applyProtection="1">
      <alignment vertical="center"/>
      <protection locked="0"/>
    </xf>
    <xf numFmtId="4" fontId="55" fillId="12" borderId="4" xfId="0" applyNumberFormat="1" applyFont="1" applyFill="1" applyBorder="1" applyAlignment="1">
      <alignment horizontal="center"/>
    </xf>
    <xf numFmtId="4" fontId="55" fillId="16" borderId="4" xfId="0" applyNumberFormat="1" applyFont="1" applyFill="1" applyBorder="1" applyAlignment="1">
      <alignment horizontal="center"/>
    </xf>
    <xf numFmtId="4" fontId="55" fillId="16" borderId="17" xfId="0" applyNumberFormat="1" applyFont="1" applyFill="1" applyBorder="1" applyAlignment="1">
      <alignment horizontal="center"/>
    </xf>
    <xf numFmtId="4" fontId="55" fillId="16" borderId="5" xfId="0" applyNumberFormat="1" applyFont="1" applyFill="1" applyBorder="1" applyAlignment="1">
      <alignment horizontal="center"/>
    </xf>
    <xf numFmtId="4" fontId="55" fillId="12" borderId="25" xfId="0" applyNumberFormat="1" applyFont="1" applyFill="1" applyBorder="1" applyAlignment="1">
      <alignment horizontal="center"/>
    </xf>
    <xf numFmtId="4" fontId="90" fillId="12" borderId="5" xfId="0" applyNumberFormat="1" applyFont="1" applyFill="1" applyBorder="1" applyAlignment="1">
      <alignment horizontal="center"/>
    </xf>
    <xf numFmtId="4" fontId="55" fillId="12" borderId="5" xfId="0" applyNumberFormat="1" applyFont="1" applyFill="1" applyBorder="1" applyAlignment="1">
      <alignment horizontal="center"/>
    </xf>
    <xf numFmtId="0" fontId="55" fillId="12" borderId="5" xfId="0" applyFont="1" applyFill="1" applyBorder="1" applyAlignment="1">
      <alignment horizontal="center"/>
    </xf>
    <xf numFmtId="4" fontId="90" fillId="12" borderId="25" xfId="0" applyNumberFormat="1" applyFont="1" applyFill="1" applyBorder="1" applyAlignment="1">
      <alignment horizontal="center"/>
    </xf>
    <xf numFmtId="4" fontId="90" fillId="16" borderId="5" xfId="0" applyNumberFormat="1" applyFont="1" applyFill="1" applyBorder="1" applyAlignment="1">
      <alignment horizontal="center"/>
    </xf>
    <xf numFmtId="4" fontId="90" fillId="12" borderId="9" xfId="0" applyNumberFormat="1" applyFont="1" applyFill="1" applyBorder="1" applyAlignment="1">
      <alignment horizontal="center"/>
    </xf>
    <xf numFmtId="0" fontId="16" fillId="4" borderId="9" xfId="12" applyFont="1" applyFill="1" applyBorder="1" applyAlignment="1" applyProtection="1">
      <alignment horizontal="center" vertical="center"/>
      <protection locked="0"/>
    </xf>
    <xf numFmtId="0" fontId="14" fillId="4" borderId="9" xfId="12" applyFont="1" applyFill="1" applyBorder="1" applyAlignment="1">
      <alignment horizontal="center" vertical="center"/>
    </xf>
    <xf numFmtId="0" fontId="97" fillId="4" borderId="9" xfId="12" applyFont="1" applyFill="1" applyBorder="1" applyAlignment="1" applyProtection="1">
      <alignment horizontal="center" vertical="center"/>
      <protection locked="0"/>
    </xf>
    <xf numFmtId="4" fontId="90" fillId="16" borderId="9" xfId="0" applyNumberFormat="1" applyFont="1" applyFill="1" applyBorder="1" applyAlignment="1">
      <alignment horizontal="center"/>
    </xf>
    <xf numFmtId="2" fontId="105" fillId="12" borderId="0" xfId="0" applyNumberFormat="1" applyFont="1" applyFill="1" applyAlignment="1">
      <alignment horizontal="center"/>
    </xf>
    <xf numFmtId="0" fontId="90" fillId="14" borderId="0" xfId="0" applyFont="1" applyFill="1"/>
    <xf numFmtId="4" fontId="55" fillId="12" borderId="9" xfId="0" applyNumberFormat="1" applyFont="1" applyFill="1" applyBorder="1" applyAlignment="1">
      <alignment horizontal="center"/>
    </xf>
    <xf numFmtId="4" fontId="90" fillId="17" borderId="9" xfId="0" applyNumberFormat="1" applyFont="1" applyFill="1" applyBorder="1" applyAlignment="1">
      <alignment horizontal="center"/>
    </xf>
    <xf numFmtId="4" fontId="55" fillId="16" borderId="9" xfId="0" applyNumberFormat="1" applyFont="1" applyFill="1" applyBorder="1" applyAlignment="1">
      <alignment horizontal="center"/>
    </xf>
    <xf numFmtId="4" fontId="16" fillId="16" borderId="4" xfId="12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0" fontId="90" fillId="4" borderId="50" xfId="0" applyFont="1" applyFill="1" applyBorder="1" applyAlignment="1">
      <alignment horizontal="center"/>
    </xf>
    <xf numFmtId="4" fontId="92" fillId="16" borderId="9" xfId="0" applyNumberFormat="1" applyFont="1" applyFill="1" applyBorder="1" applyAlignment="1">
      <alignment horizontal="center"/>
    </xf>
    <xf numFmtId="0" fontId="55" fillId="4" borderId="25" xfId="0" applyFont="1" applyFill="1" applyBorder="1"/>
    <xf numFmtId="4" fontId="90" fillId="16" borderId="25" xfId="0" applyNumberFormat="1" applyFont="1" applyFill="1" applyBorder="1" applyAlignment="1">
      <alignment horizontal="center"/>
    </xf>
    <xf numFmtId="49" fontId="12" fillId="4" borderId="10" xfId="0" quotePrefix="1" applyNumberFormat="1" applyFont="1" applyFill="1" applyBorder="1"/>
    <xf numFmtId="49" fontId="12" fillId="4" borderId="5" xfId="0" applyNumberFormat="1" applyFont="1" applyFill="1" applyBorder="1" applyAlignment="1"/>
    <xf numFmtId="49" fontId="12" fillId="4" borderId="35" xfId="0" applyNumberFormat="1" applyFont="1" applyFill="1" applyBorder="1" applyAlignment="1"/>
    <xf numFmtId="4" fontId="55" fillId="16" borderId="35" xfId="0" applyNumberFormat="1" applyFont="1" applyFill="1" applyBorder="1" applyAlignment="1">
      <alignment horizontal="center"/>
    </xf>
    <xf numFmtId="4" fontId="55" fillId="12" borderId="35" xfId="0" applyNumberFormat="1" applyFont="1" applyFill="1" applyBorder="1" applyAlignment="1">
      <alignment horizontal="center"/>
    </xf>
    <xf numFmtId="4" fontId="90" fillId="12" borderId="30" xfId="0" applyNumberFormat="1" applyFont="1" applyFill="1" applyBorder="1" applyAlignment="1">
      <alignment horizontal="center"/>
    </xf>
    <xf numFmtId="4" fontId="90" fillId="11" borderId="30" xfId="0" applyNumberFormat="1" applyFont="1" applyFill="1" applyBorder="1" applyAlignment="1">
      <alignment horizontal="center"/>
    </xf>
    <xf numFmtId="4" fontId="90" fillId="18" borderId="25" xfId="0" applyNumberFormat="1" applyFont="1" applyFill="1" applyBorder="1" applyAlignment="1">
      <alignment horizontal="center"/>
    </xf>
    <xf numFmtId="4" fontId="55" fillId="16" borderId="25" xfId="0" applyNumberFormat="1" applyFont="1" applyFill="1" applyBorder="1" applyAlignment="1">
      <alignment horizontal="center"/>
    </xf>
    <xf numFmtId="4" fontId="90" fillId="16" borderId="30" xfId="0" applyNumberFormat="1" applyFont="1" applyFill="1" applyBorder="1" applyAlignment="1">
      <alignment horizontal="center"/>
    </xf>
    <xf numFmtId="4" fontId="90" fillId="11" borderId="35" xfId="0" applyNumberFormat="1" applyFont="1" applyFill="1" applyBorder="1" applyAlignment="1">
      <alignment horizontal="center"/>
    </xf>
    <xf numFmtId="2" fontId="105" fillId="4" borderId="0" xfId="0" applyNumberFormat="1" applyFont="1" applyFill="1" applyAlignment="1">
      <alignment horizontal="center"/>
    </xf>
    <xf numFmtId="0" fontId="90" fillId="7" borderId="50" xfId="0" applyFont="1" applyFill="1" applyBorder="1" applyAlignment="1"/>
    <xf numFmtId="0" fontId="92" fillId="7" borderId="18" xfId="0" applyFont="1" applyFill="1" applyBorder="1" applyAlignment="1">
      <alignment horizontal="center"/>
    </xf>
    <xf numFmtId="0" fontId="93" fillId="7" borderId="16" xfId="0" applyFont="1" applyFill="1" applyBorder="1" applyAlignment="1">
      <alignment horizontal="center" vertical="top"/>
    </xf>
    <xf numFmtId="0" fontId="106" fillId="7" borderId="50" xfId="0" applyFont="1" applyFill="1" applyBorder="1" applyAlignment="1"/>
    <xf numFmtId="0" fontId="106" fillId="4" borderId="50" xfId="0" applyFont="1" applyFill="1" applyBorder="1" applyAlignment="1"/>
    <xf numFmtId="2" fontId="55" fillId="16" borderId="0" xfId="0" applyNumberFormat="1" applyFont="1" applyFill="1"/>
    <xf numFmtId="3" fontId="55" fillId="4" borderId="5" xfId="0" applyNumberFormat="1" applyFont="1" applyFill="1" applyBorder="1" applyAlignment="1">
      <alignment horizontal="center"/>
    </xf>
    <xf numFmtId="4" fontId="90" fillId="19" borderId="25" xfId="0" applyNumberFormat="1" applyFont="1" applyFill="1" applyBorder="1" applyAlignment="1">
      <alignment horizontal="center"/>
    </xf>
    <xf numFmtId="4" fontId="90" fillId="19" borderId="9" xfId="0" applyNumberFormat="1" applyFont="1" applyFill="1" applyBorder="1" applyAlignment="1">
      <alignment horizontal="center"/>
    </xf>
    <xf numFmtId="4" fontId="55" fillId="19" borderId="4" xfId="0" applyNumberFormat="1" applyFont="1" applyFill="1" applyBorder="1" applyAlignment="1">
      <alignment horizontal="center"/>
    </xf>
    <xf numFmtId="0" fontId="55" fillId="19" borderId="5" xfId="0" applyFont="1" applyFill="1" applyBorder="1"/>
    <xf numFmtId="4" fontId="92" fillId="19" borderId="25" xfId="0" applyNumberFormat="1" applyFont="1" applyFill="1" applyBorder="1" applyAlignment="1">
      <alignment horizontal="center"/>
    </xf>
    <xf numFmtId="4" fontId="55" fillId="19" borderId="25" xfId="0" applyNumberFormat="1" applyFont="1" applyFill="1" applyBorder="1" applyAlignment="1">
      <alignment horizontal="center"/>
    </xf>
    <xf numFmtId="4" fontId="55" fillId="19" borderId="5" xfId="0" applyNumberFormat="1" applyFont="1" applyFill="1" applyBorder="1" applyAlignment="1">
      <alignment horizontal="center"/>
    </xf>
    <xf numFmtId="4" fontId="93" fillId="12" borderId="25" xfId="0" applyNumberFormat="1" applyFont="1" applyFill="1" applyBorder="1" applyAlignment="1">
      <alignment horizontal="center"/>
    </xf>
    <xf numFmtId="2" fontId="55" fillId="12" borderId="0" xfId="0" applyNumberFormat="1" applyFont="1" applyFill="1" applyAlignment="1">
      <alignment horizontal="center"/>
    </xf>
    <xf numFmtId="4" fontId="16" fillId="12" borderId="4" xfId="12" applyNumberFormat="1" applyFont="1" applyFill="1" applyBorder="1"/>
    <xf numFmtId="4" fontId="90" fillId="12" borderId="10" xfId="0" applyNumberFormat="1" applyFont="1" applyFill="1" applyBorder="1" applyAlignment="1">
      <alignment horizontal="center"/>
    </xf>
    <xf numFmtId="0" fontId="55" fillId="4" borderId="0" xfId="0" applyFont="1" applyFill="1" applyBorder="1"/>
    <xf numFmtId="0" fontId="90" fillId="4" borderId="0" xfId="0" applyFont="1" applyFill="1" applyBorder="1" applyAlignment="1">
      <alignment horizontal="center" vertical="top"/>
    </xf>
    <xf numFmtId="4" fontId="92" fillId="11" borderId="9" xfId="0" applyNumberFormat="1" applyFont="1" applyFill="1" applyBorder="1" applyAlignment="1">
      <alignment horizontal="center"/>
    </xf>
    <xf numFmtId="4" fontId="90" fillId="11" borderId="25" xfId="0" applyNumberFormat="1" applyFont="1" applyFill="1" applyBorder="1" applyAlignment="1">
      <alignment horizontal="center"/>
    </xf>
    <xf numFmtId="4" fontId="90" fillId="10" borderId="25" xfId="0" applyNumberFormat="1" applyFont="1" applyFill="1" applyBorder="1" applyAlignment="1">
      <alignment horizontal="center"/>
    </xf>
    <xf numFmtId="4" fontId="90" fillId="10" borderId="9" xfId="0" applyNumberFormat="1" applyFont="1" applyFill="1" applyBorder="1" applyAlignment="1">
      <alignment horizontal="center"/>
    </xf>
    <xf numFmtId="4" fontId="55" fillId="10" borderId="5" xfId="0" applyNumberFormat="1" applyFont="1" applyFill="1" applyBorder="1" applyAlignment="1">
      <alignment horizontal="center"/>
    </xf>
    <xf numFmtId="4" fontId="90" fillId="11" borderId="5" xfId="0" applyNumberFormat="1" applyFont="1" applyFill="1" applyBorder="1" applyAlignment="1">
      <alignment horizontal="center"/>
    </xf>
    <xf numFmtId="4" fontId="90" fillId="11" borderId="10" xfId="0" applyNumberFormat="1" applyFont="1" applyFill="1" applyBorder="1" applyAlignment="1">
      <alignment horizontal="center"/>
    </xf>
    <xf numFmtId="4" fontId="92" fillId="6" borderId="9" xfId="0" applyNumberFormat="1" applyFont="1" applyFill="1" applyBorder="1" applyAlignment="1">
      <alignment horizontal="center"/>
    </xf>
    <xf numFmtId="4" fontId="92" fillId="12" borderId="9" xfId="0" applyNumberFormat="1" applyFont="1" applyFill="1" applyBorder="1" applyAlignment="1">
      <alignment horizontal="center"/>
    </xf>
    <xf numFmtId="4" fontId="90" fillId="11" borderId="9" xfId="0" applyNumberFormat="1" applyFont="1" applyFill="1" applyBorder="1" applyAlignment="1">
      <alignment horizontal="center"/>
    </xf>
    <xf numFmtId="4" fontId="92" fillId="12" borderId="10" xfId="0" applyNumberFormat="1" applyFont="1" applyFill="1" applyBorder="1" applyAlignment="1">
      <alignment horizontal="center"/>
    </xf>
    <xf numFmtId="4" fontId="90" fillId="12" borderId="0" xfId="0" applyNumberFormat="1" applyFont="1" applyFill="1" applyBorder="1" applyAlignment="1">
      <alignment horizontal="center"/>
    </xf>
    <xf numFmtId="49" fontId="14" fillId="12" borderId="10" xfId="0" quotePrefix="1" applyNumberFormat="1" applyFont="1" applyFill="1" applyBorder="1"/>
    <xf numFmtId="4" fontId="90" fillId="12" borderId="35" xfId="0" applyNumberFormat="1" applyFont="1" applyFill="1" applyBorder="1" applyAlignment="1">
      <alignment horizontal="center"/>
    </xf>
    <xf numFmtId="0" fontId="38" fillId="4" borderId="10" xfId="12" applyFont="1" applyFill="1" applyBorder="1" applyAlignment="1" applyProtection="1">
      <alignment horizontal="center" vertical="center"/>
      <protection locked="0"/>
    </xf>
    <xf numFmtId="0" fontId="90" fillId="4" borderId="18" xfId="0" applyFont="1" applyFill="1" applyBorder="1" applyAlignment="1">
      <alignment horizontal="center"/>
    </xf>
    <xf numFmtId="2" fontId="55" fillId="4" borderId="0" xfId="0" applyNumberFormat="1" applyFont="1" applyFill="1" applyAlignment="1">
      <alignment horizontal="center"/>
    </xf>
    <xf numFmtId="0" fontId="14" fillId="4" borderId="45" xfId="12" applyFont="1" applyFill="1" applyBorder="1" applyAlignment="1">
      <alignment horizontal="center" vertical="center"/>
    </xf>
    <xf numFmtId="49" fontId="14" fillId="4" borderId="9" xfId="0" applyNumberFormat="1" applyFont="1" applyFill="1" applyBorder="1" applyAlignment="1">
      <alignment horizontal="center"/>
    </xf>
    <xf numFmtId="4" fontId="94" fillId="4" borderId="60" xfId="0" applyNumberFormat="1" applyFont="1" applyFill="1" applyBorder="1" applyAlignment="1">
      <alignment horizontal="center"/>
    </xf>
    <xf numFmtId="4" fontId="94" fillId="4" borderId="17" xfId="0" applyNumberFormat="1" applyFont="1" applyFill="1" applyBorder="1" applyAlignment="1">
      <alignment horizontal="center"/>
    </xf>
    <xf numFmtId="0" fontId="55" fillId="4" borderId="17" xfId="0" applyFont="1" applyFill="1" applyBorder="1"/>
    <xf numFmtId="4" fontId="55" fillId="10" borderId="17" xfId="0" applyNumberFormat="1" applyFont="1" applyFill="1" applyBorder="1" applyAlignment="1">
      <alignment horizontal="center"/>
    </xf>
    <xf numFmtId="4" fontId="55" fillId="11" borderId="5" xfId="0" applyNumberFormat="1" applyFont="1" applyFill="1" applyBorder="1" applyAlignment="1">
      <alignment horizontal="center"/>
    </xf>
    <xf numFmtId="0" fontId="90" fillId="7" borderId="50" xfId="0" applyFont="1" applyFill="1" applyBorder="1" applyAlignment="1">
      <alignment horizontal="center"/>
    </xf>
    <xf numFmtId="4" fontId="90" fillId="11" borderId="17" xfId="0" applyNumberFormat="1" applyFont="1" applyFill="1" applyBorder="1" applyAlignment="1">
      <alignment horizontal="center"/>
    </xf>
    <xf numFmtId="4" fontId="55" fillId="11" borderId="17" xfId="0" applyNumberFormat="1" applyFont="1" applyFill="1" applyBorder="1" applyAlignment="1">
      <alignment horizontal="center"/>
    </xf>
    <xf numFmtId="0" fontId="55" fillId="11" borderId="0" xfId="0" applyFont="1" applyFill="1"/>
    <xf numFmtId="0" fontId="14" fillId="11" borderId="9" xfId="12" applyFont="1" applyFill="1" applyBorder="1" applyAlignment="1">
      <alignment horizontal="center" vertical="center"/>
    </xf>
    <xf numFmtId="4" fontId="55" fillId="11" borderId="9" xfId="0" applyNumberFormat="1" applyFont="1" applyFill="1" applyBorder="1" applyAlignment="1">
      <alignment horizontal="center"/>
    </xf>
    <xf numFmtId="2" fontId="55" fillId="11" borderId="5" xfId="0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0" fontId="90" fillId="4" borderId="50" xfId="0" applyFont="1" applyFill="1" applyBorder="1" applyAlignment="1">
      <alignment horizontal="center"/>
    </xf>
    <xf numFmtId="0" fontId="90" fillId="13" borderId="0" xfId="0" applyFont="1" applyFill="1"/>
    <xf numFmtId="0" fontId="90" fillId="13" borderId="5" xfId="0" applyFont="1" applyFill="1" applyBorder="1" applyAlignment="1">
      <alignment horizontal="center"/>
    </xf>
    <xf numFmtId="2" fontId="55" fillId="11" borderId="0" xfId="0" applyNumberFormat="1" applyFont="1" applyFill="1"/>
    <xf numFmtId="2" fontId="55" fillId="11" borderId="0" xfId="0" applyNumberFormat="1" applyFont="1" applyFill="1" applyAlignment="1">
      <alignment horizontal="center"/>
    </xf>
    <xf numFmtId="0" fontId="55" fillId="11" borderId="17" xfId="0" applyFont="1" applyFill="1" applyBorder="1"/>
    <xf numFmtId="10" fontId="13" fillId="0" borderId="47" xfId="29" applyNumberFormat="1" applyFont="1" applyFill="1" applyBorder="1" applyAlignment="1">
      <alignment horizontal="center" vertical="center"/>
    </xf>
    <xf numFmtId="0" fontId="12" fillId="0" borderId="0" xfId="12" applyFont="1" applyAlignment="1">
      <alignment horizontal="center"/>
    </xf>
    <xf numFmtId="10" fontId="13" fillId="0" borderId="6" xfId="29" applyNumberFormat="1" applyFont="1" applyFill="1" applyBorder="1" applyAlignment="1">
      <alignment horizontal="center" vertical="center"/>
    </xf>
    <xf numFmtId="4" fontId="40" fillId="0" borderId="13" xfId="12" applyNumberFormat="1" applyFont="1" applyFill="1" applyBorder="1" applyAlignment="1">
      <alignment horizontal="center" vertical="center"/>
    </xf>
    <xf numFmtId="10" fontId="40" fillId="0" borderId="13" xfId="29" applyNumberFormat="1" applyFont="1" applyFill="1" applyBorder="1" applyAlignment="1">
      <alignment horizontal="center" vertical="center"/>
    </xf>
    <xf numFmtId="0" fontId="40" fillId="0" borderId="46" xfId="12" applyFont="1" applyFill="1" applyBorder="1" applyAlignment="1">
      <alignment horizontal="center" vertical="center"/>
    </xf>
    <xf numFmtId="0" fontId="20" fillId="5" borderId="5" xfId="12" applyFont="1" applyFill="1" applyBorder="1" applyAlignment="1">
      <alignment horizontal="center"/>
    </xf>
    <xf numFmtId="4" fontId="91" fillId="13" borderId="2" xfId="0" applyNumberFormat="1" applyFont="1" applyFill="1" applyBorder="1" applyAlignment="1">
      <alignment horizontal="center"/>
    </xf>
    <xf numFmtId="0" fontId="90" fillId="13" borderId="51" xfId="0" applyFont="1" applyFill="1" applyBorder="1" applyAlignment="1">
      <alignment horizontal="center"/>
    </xf>
    <xf numFmtId="4" fontId="97" fillId="13" borderId="4" xfId="12" applyNumberFormat="1" applyFont="1" applyFill="1" applyBorder="1" applyAlignment="1">
      <alignment horizontal="center"/>
    </xf>
    <xf numFmtId="2" fontId="105" fillId="13" borderId="0" xfId="0" applyNumberFormat="1" applyFont="1" applyFill="1" applyAlignment="1">
      <alignment horizontal="center"/>
    </xf>
    <xf numFmtId="4" fontId="55" fillId="11" borderId="25" xfId="0" applyNumberFormat="1" applyFont="1" applyFill="1" applyBorder="1" applyAlignment="1">
      <alignment horizontal="center"/>
    </xf>
    <xf numFmtId="4" fontId="55" fillId="11" borderId="4" xfId="0" applyNumberFormat="1" applyFont="1" applyFill="1" applyBorder="1" applyAlignment="1">
      <alignment horizontal="center"/>
    </xf>
    <xf numFmtId="49" fontId="68" fillId="4" borderId="10" xfId="0" applyNumberFormat="1" applyFont="1" applyFill="1" applyBorder="1" applyAlignment="1"/>
    <xf numFmtId="49" fontId="12" fillId="4" borderId="10" xfId="0" applyNumberFormat="1" applyFont="1" applyFill="1" applyBorder="1"/>
    <xf numFmtId="0" fontId="38" fillId="4" borderId="10" xfId="12" applyFont="1" applyFill="1" applyBorder="1" applyAlignment="1" applyProtection="1">
      <alignment horizontal="center" vertical="center"/>
      <protection locked="0"/>
    </xf>
    <xf numFmtId="0" fontId="13" fillId="4" borderId="10" xfId="12" applyFont="1" applyFill="1" applyBorder="1" applyAlignment="1">
      <alignment horizontal="center" vertical="center"/>
    </xf>
    <xf numFmtId="0" fontId="90" fillId="4" borderId="18" xfId="0" applyFont="1" applyFill="1" applyBorder="1" applyAlignment="1">
      <alignment horizontal="center"/>
    </xf>
    <xf numFmtId="4" fontId="91" fillId="11" borderId="9" xfId="0" applyNumberFormat="1" applyFont="1" applyFill="1" applyBorder="1" applyAlignment="1">
      <alignment horizontal="center"/>
    </xf>
    <xf numFmtId="0" fontId="55" fillId="11" borderId="5" xfId="0" applyFont="1" applyFill="1" applyBorder="1"/>
    <xf numFmtId="4" fontId="94" fillId="11" borderId="9" xfId="0" applyNumberFormat="1" applyFont="1" applyFill="1" applyBorder="1" applyAlignment="1">
      <alignment horizontal="center"/>
    </xf>
    <xf numFmtId="0" fontId="91" fillId="13" borderId="50" xfId="0" applyFont="1" applyFill="1" applyBorder="1" applyAlignment="1">
      <alignment horizontal="center"/>
    </xf>
    <xf numFmtId="0" fontId="106" fillId="13" borderId="50" xfId="0" applyFont="1" applyFill="1" applyBorder="1" applyAlignment="1"/>
    <xf numFmtId="49" fontId="14" fillId="12" borderId="10" xfId="0" applyNumberFormat="1" applyFont="1" applyFill="1" applyBorder="1"/>
    <xf numFmtId="0" fontId="55" fillId="13" borderId="25" xfId="0" applyFont="1" applyFill="1" applyBorder="1"/>
    <xf numFmtId="2" fontId="55" fillId="11" borderId="5" xfId="0" applyNumberFormat="1" applyFont="1" applyFill="1" applyBorder="1"/>
    <xf numFmtId="4" fontId="90" fillId="5" borderId="5" xfId="0" applyNumberFormat="1" applyFont="1" applyFill="1" applyBorder="1" applyAlignment="1">
      <alignment horizontal="center"/>
    </xf>
    <xf numFmtId="0" fontId="90" fillId="11" borderId="5" xfId="0" applyFont="1" applyFill="1" applyBorder="1" applyAlignment="1">
      <alignment horizontal="center"/>
    </xf>
    <xf numFmtId="0" fontId="91" fillId="4" borderId="0" xfId="0" applyFont="1" applyFill="1" applyBorder="1"/>
    <xf numFmtId="0" fontId="91" fillId="4" borderId="0" xfId="0" applyFont="1" applyFill="1" applyBorder="1" applyAlignment="1">
      <alignment horizontal="center"/>
    </xf>
    <xf numFmtId="0" fontId="90" fillId="4" borderId="0" xfId="0" applyFont="1" applyFill="1" applyBorder="1" applyAlignment="1">
      <alignment horizontal="center"/>
    </xf>
    <xf numFmtId="4" fontId="55" fillId="6" borderId="35" xfId="0" applyNumberFormat="1" applyFont="1" applyFill="1" applyBorder="1" applyAlignment="1">
      <alignment horizontal="center"/>
    </xf>
    <xf numFmtId="0" fontId="90" fillId="11" borderId="5" xfId="0" applyFont="1" applyFill="1" applyBorder="1"/>
    <xf numFmtId="0" fontId="13" fillId="0" borderId="0" xfId="0" applyFont="1"/>
    <xf numFmtId="0" fontId="11" fillId="0" borderId="16" xfId="0" applyFont="1" applyFill="1" applyBorder="1" applyAlignment="1">
      <alignment horizontal="center"/>
    </xf>
    <xf numFmtId="0" fontId="11" fillId="0" borderId="51" xfId="0" applyFont="1" applyFill="1" applyBorder="1" applyAlignment="1">
      <alignment horizontal="center"/>
    </xf>
    <xf numFmtId="2" fontId="10" fillId="0" borderId="85" xfId="0" applyNumberFormat="1" applyFont="1" applyFill="1" applyBorder="1" applyAlignment="1">
      <alignment horizontal="center" vertical="center"/>
    </xf>
    <xf numFmtId="0" fontId="80" fillId="0" borderId="85" xfId="0" applyFont="1" applyBorder="1" applyAlignment="1" applyProtection="1">
      <alignment vertical="center" wrapText="1"/>
      <protection locked="0"/>
    </xf>
    <xf numFmtId="0" fontId="80" fillId="4" borderId="85" xfId="0" applyFont="1" applyFill="1" applyBorder="1" applyAlignment="1" applyProtection="1">
      <alignment vertical="center" wrapText="1"/>
      <protection locked="0"/>
    </xf>
    <xf numFmtId="0" fontId="80" fillId="0" borderId="87" xfId="0" applyFont="1" applyBorder="1" applyAlignment="1" applyProtection="1">
      <alignment vertical="center"/>
      <protection locked="0"/>
    </xf>
    <xf numFmtId="0" fontId="80" fillId="0" borderId="88" xfId="0" applyFont="1" applyBorder="1" applyAlignment="1" applyProtection="1">
      <alignment vertical="center" wrapText="1"/>
      <protection locked="0"/>
    </xf>
    <xf numFmtId="2" fontId="10" fillId="0" borderId="88" xfId="0" applyNumberFormat="1" applyFont="1" applyFill="1" applyBorder="1" applyAlignment="1">
      <alignment horizontal="left" vertical="center"/>
    </xf>
    <xf numFmtId="2" fontId="10" fillId="0" borderId="88" xfId="0" applyNumberFormat="1" applyFont="1" applyFill="1" applyBorder="1" applyAlignment="1">
      <alignment horizontal="center" vertical="center"/>
    </xf>
    <xf numFmtId="0" fontId="10" fillId="0" borderId="88" xfId="0" applyFont="1" applyFill="1" applyBorder="1" applyAlignment="1">
      <alignment horizontal="left" vertical="center"/>
    </xf>
    <xf numFmtId="0" fontId="11" fillId="0" borderId="89" xfId="0" applyFont="1" applyFill="1" applyBorder="1" applyAlignment="1">
      <alignment horizontal="right" vertical="center"/>
    </xf>
    <xf numFmtId="0" fontId="0" fillId="0" borderId="0" xfId="0"/>
    <xf numFmtId="2" fontId="11" fillId="20" borderId="86" xfId="0" applyNumberFormat="1" applyFont="1" applyFill="1" applyBorder="1" applyAlignment="1">
      <alignment horizontal="right" vertical="center"/>
    </xf>
    <xf numFmtId="2" fontId="10" fillId="0" borderId="90" xfId="0" applyNumberFormat="1" applyFont="1" applyFill="1" applyBorder="1" applyAlignment="1">
      <alignment horizontal="left" vertical="center"/>
    </xf>
    <xf numFmtId="0" fontId="10" fillId="0" borderId="91" xfId="0" applyFont="1" applyFill="1" applyBorder="1" applyAlignment="1">
      <alignment horizontal="left" vertical="center"/>
    </xf>
    <xf numFmtId="0" fontId="10" fillId="0" borderId="90" xfId="0" applyFont="1" applyFill="1" applyBorder="1" applyAlignment="1">
      <alignment horizontal="left" vertical="center"/>
    </xf>
    <xf numFmtId="2" fontId="10" fillId="0" borderId="90" xfId="0" applyNumberFormat="1" applyFont="1" applyFill="1" applyBorder="1" applyAlignment="1">
      <alignment horizontal="center" vertical="center"/>
    </xf>
    <xf numFmtId="0" fontId="10" fillId="0" borderId="90" xfId="0" applyFont="1" applyFill="1" applyBorder="1" applyAlignment="1">
      <alignment horizontal="center" vertical="center"/>
    </xf>
    <xf numFmtId="2" fontId="11" fillId="0" borderId="92" xfId="0" applyNumberFormat="1" applyFont="1" applyFill="1" applyBorder="1" applyAlignment="1">
      <alignment horizontal="right" vertical="center"/>
    </xf>
    <xf numFmtId="2" fontId="10" fillId="0" borderId="91" xfId="0" applyNumberFormat="1" applyFont="1" applyFill="1" applyBorder="1" applyAlignment="1">
      <alignment horizontal="center" vertical="center"/>
    </xf>
    <xf numFmtId="0" fontId="80" fillId="0" borderId="84" xfId="0" applyFont="1" applyBorder="1" applyAlignment="1" applyProtection="1">
      <alignment vertical="center" wrapText="1"/>
      <protection locked="0"/>
    </xf>
    <xf numFmtId="0" fontId="11" fillId="0" borderId="16" xfId="0" applyFont="1" applyBorder="1" applyAlignment="1">
      <alignment horizontal="center"/>
    </xf>
    <xf numFmtId="0" fontId="11" fillId="0" borderId="51" xfId="0" applyFont="1" applyBorder="1" applyAlignment="1">
      <alignment horizontal="center"/>
    </xf>
    <xf numFmtId="2" fontId="10" fillId="0" borderId="85" xfId="0" applyNumberFormat="1" applyFont="1" applyBorder="1" applyAlignment="1">
      <alignment horizontal="center" vertical="center"/>
    </xf>
    <xf numFmtId="0" fontId="10" fillId="0" borderId="85" xfId="0" applyFont="1" applyBorder="1" applyAlignment="1">
      <alignment horizontal="center" vertical="center"/>
    </xf>
    <xf numFmtId="0" fontId="13" fillId="0" borderId="0" xfId="0" applyFont="1" applyAlignment="1">
      <alignment horizontal="center" wrapText="1"/>
    </xf>
    <xf numFmtId="0" fontId="10" fillId="0" borderId="55" xfId="0" applyFont="1" applyFill="1" applyBorder="1" applyAlignment="1">
      <alignment horizontal="center" vertical="center"/>
    </xf>
    <xf numFmtId="0" fontId="10" fillId="0" borderId="67" xfId="0" applyFont="1" applyFill="1" applyBorder="1" applyAlignment="1">
      <alignment horizontal="center" vertical="center"/>
    </xf>
    <xf numFmtId="2" fontId="10" fillId="0" borderId="93" xfId="0" applyNumberFormat="1" applyFont="1" applyFill="1" applyBorder="1" applyAlignment="1">
      <alignment horizontal="right" vertical="center"/>
    </xf>
    <xf numFmtId="2" fontId="10" fillId="0" borderId="0" xfId="0" applyNumberFormat="1" applyFont="1" applyFill="1" applyBorder="1" applyAlignment="1">
      <alignment horizontal="right" vertical="center"/>
    </xf>
    <xf numFmtId="2" fontId="10" fillId="20" borderId="69" xfId="0" applyNumberFormat="1" applyFont="1" applyFill="1" applyBorder="1" applyAlignment="1">
      <alignment horizontal="right" vertical="center"/>
    </xf>
    <xf numFmtId="0" fontId="10" fillId="0" borderId="0" xfId="0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14" fillId="0" borderId="85" xfId="45" applyFont="1" applyBorder="1" applyAlignment="1">
      <alignment horizontal="center" vertical="center"/>
    </xf>
    <xf numFmtId="0" fontId="87" fillId="21" borderId="87" xfId="0" applyFont="1" applyFill="1" applyBorder="1" applyAlignment="1" applyProtection="1">
      <alignment vertical="center"/>
      <protection locked="0"/>
    </xf>
    <xf numFmtId="0" fontId="87" fillId="21" borderId="88" xfId="0" applyFont="1" applyFill="1" applyBorder="1" applyAlignment="1" applyProtection="1">
      <alignment vertical="center" wrapText="1"/>
      <protection locked="0"/>
    </xf>
    <xf numFmtId="2" fontId="10" fillId="21" borderId="88" xfId="0" applyNumberFormat="1" applyFont="1" applyFill="1" applyBorder="1" applyAlignment="1">
      <alignment horizontal="center" vertical="center"/>
    </xf>
    <xf numFmtId="0" fontId="10" fillId="21" borderId="88" xfId="0" applyFont="1" applyFill="1" applyBorder="1" applyAlignment="1">
      <alignment horizontal="center" vertical="center"/>
    </xf>
    <xf numFmtId="2" fontId="14" fillId="0" borderId="85" xfId="0" applyNumberFormat="1" applyFont="1" applyBorder="1" applyAlignment="1">
      <alignment horizontal="center" vertical="center"/>
    </xf>
    <xf numFmtId="0" fontId="80" fillId="0" borderId="85" xfId="0" applyFont="1" applyBorder="1" applyAlignment="1" applyProtection="1">
      <alignment horizontal="left" vertical="center"/>
      <protection locked="0"/>
    </xf>
    <xf numFmtId="43" fontId="14" fillId="22" borderId="85" xfId="42" applyFont="1" applyFill="1" applyBorder="1" applyAlignment="1">
      <alignment vertical="center"/>
    </xf>
    <xf numFmtId="164" fontId="14" fillId="4" borderId="85" xfId="42" applyNumberFormat="1" applyFont="1" applyFill="1" applyBorder="1" applyAlignment="1">
      <alignment horizontal="left" vertical="center"/>
    </xf>
    <xf numFmtId="43" fontId="14" fillId="0" borderId="85" xfId="42" applyFont="1" applyBorder="1" applyAlignment="1">
      <alignment horizontal="center" vertical="center"/>
    </xf>
    <xf numFmtId="165" fontId="14" fillId="4" borderId="85" xfId="0" applyNumberFormat="1" applyFont="1" applyFill="1" applyBorder="1" applyAlignment="1">
      <alignment horizontal="left" vertical="center"/>
    </xf>
    <xf numFmtId="0" fontId="18" fillId="4" borderId="85" xfId="0" applyFont="1" applyFill="1" applyBorder="1" applyAlignment="1" applyProtection="1">
      <alignment vertical="center"/>
      <protection locked="0"/>
    </xf>
    <xf numFmtId="0" fontId="0" fillId="0" borderId="85" xfId="0" applyBorder="1"/>
    <xf numFmtId="165" fontId="14" fillId="0" borderId="85" xfId="0" applyNumberFormat="1" applyFont="1" applyFill="1" applyBorder="1" applyAlignment="1">
      <alignment horizontal="left" vertical="center"/>
    </xf>
    <xf numFmtId="165" fontId="12" fillId="0" borderId="85" xfId="0" applyNumberFormat="1" applyFont="1" applyFill="1" applyBorder="1" applyAlignment="1">
      <alignment horizontal="left" vertical="center"/>
    </xf>
    <xf numFmtId="0" fontId="0" fillId="0" borderId="85" xfId="0" applyBorder="1" applyAlignment="1">
      <alignment horizontal="center"/>
    </xf>
    <xf numFmtId="165" fontId="14" fillId="0" borderId="85" xfId="0" applyNumberFormat="1" applyFont="1" applyFill="1" applyBorder="1" applyAlignment="1">
      <alignment horizontal="center" vertical="center"/>
    </xf>
    <xf numFmtId="4" fontId="11" fillId="21" borderId="89" xfId="0" applyNumberFormat="1" applyFont="1" applyFill="1" applyBorder="1" applyAlignment="1">
      <alignment horizontal="center" vertical="center"/>
    </xf>
    <xf numFmtId="4" fontId="11" fillId="0" borderId="85" xfId="0" applyNumberFormat="1" applyFont="1" applyBorder="1" applyAlignment="1">
      <alignment horizontal="center" vertical="center"/>
    </xf>
    <xf numFmtId="4" fontId="0" fillId="0" borderId="85" xfId="0" applyNumberFormat="1" applyBorder="1" applyAlignment="1">
      <alignment horizontal="center"/>
    </xf>
    <xf numFmtId="43" fontId="14" fillId="22" borderId="97" xfId="42" applyFont="1" applyFill="1" applyBorder="1" applyAlignment="1">
      <alignment vertical="center"/>
    </xf>
    <xf numFmtId="164" fontId="14" fillId="4" borderId="98" xfId="42" applyNumberFormat="1" applyFont="1" applyFill="1" applyBorder="1" applyAlignment="1">
      <alignment horizontal="left" vertical="center"/>
    </xf>
    <xf numFmtId="0" fontId="13" fillId="0" borderId="78" xfId="55" applyBorder="1"/>
    <xf numFmtId="176" fontId="20" fillId="28" borderId="106" xfId="42" applyNumberFormat="1" applyFont="1" applyFill="1" applyBorder="1" applyAlignment="1">
      <alignment horizontal="center" vertical="center" wrapText="1"/>
    </xf>
    <xf numFmtId="176" fontId="20" fillId="29" borderId="106" xfId="42" applyNumberFormat="1" applyFont="1" applyFill="1" applyBorder="1" applyAlignment="1">
      <alignment horizontal="center" vertical="center" wrapText="1"/>
    </xf>
    <xf numFmtId="176" fontId="20" fillId="30" borderId="106" xfId="42" applyNumberFormat="1" applyFont="1" applyFill="1" applyBorder="1" applyAlignment="1">
      <alignment horizontal="center" vertical="center" wrapText="1"/>
    </xf>
    <xf numFmtId="176" fontId="20" fillId="31" borderId="106" xfId="42" applyNumberFormat="1" applyFont="1" applyFill="1" applyBorder="1" applyAlignment="1">
      <alignment horizontal="center" vertical="center" wrapText="1"/>
    </xf>
    <xf numFmtId="176" fontId="20" fillId="32" borderId="106" xfId="42" applyNumberFormat="1" applyFont="1" applyFill="1" applyBorder="1" applyAlignment="1">
      <alignment horizontal="center" vertical="center" wrapText="1"/>
    </xf>
    <xf numFmtId="176" fontId="20" fillId="33" borderId="106" xfId="42" applyNumberFormat="1" applyFont="1" applyFill="1" applyBorder="1" applyAlignment="1">
      <alignment horizontal="center" vertical="center" wrapText="1"/>
    </xf>
    <xf numFmtId="0" fontId="12" fillId="22" borderId="109" xfId="56" applyFont="1" applyFill="1" applyBorder="1" applyAlignment="1">
      <alignment horizontal="center"/>
    </xf>
    <xf numFmtId="43" fontId="14" fillId="22" borderId="97" xfId="42" applyFont="1" applyFill="1" applyBorder="1" applyAlignment="1">
      <alignment horizontal="center" vertical="center"/>
    </xf>
    <xf numFmtId="12" fontId="14" fillId="22" borderId="97" xfId="42" applyNumberFormat="1" applyFont="1" applyFill="1" applyBorder="1" applyAlignment="1">
      <alignment horizontal="center" vertical="center"/>
    </xf>
    <xf numFmtId="176" fontId="14" fillId="11" borderId="97" xfId="42" applyNumberFormat="1" applyFont="1" applyFill="1" applyBorder="1" applyAlignment="1">
      <alignment vertical="center"/>
    </xf>
    <xf numFmtId="176" fontId="14" fillId="24" borderId="97" xfId="42" applyNumberFormat="1" applyFont="1" applyFill="1" applyBorder="1" applyAlignment="1">
      <alignment vertical="center"/>
    </xf>
    <xf numFmtId="164" fontId="14" fillId="25" borderId="97" xfId="42" applyNumberFormat="1" applyFont="1" applyFill="1" applyBorder="1" applyAlignment="1">
      <alignment vertical="center"/>
    </xf>
    <xf numFmtId="164" fontId="14" fillId="26" borderId="97" xfId="42" applyNumberFormat="1" applyFont="1" applyFill="1" applyBorder="1" applyAlignment="1">
      <alignment vertical="center"/>
    </xf>
    <xf numFmtId="164" fontId="14" fillId="20" borderId="97" xfId="42" applyNumberFormat="1" applyFont="1" applyFill="1" applyBorder="1" applyAlignment="1">
      <alignment vertical="center"/>
    </xf>
    <xf numFmtId="43" fontId="14" fillId="27" borderId="97" xfId="42" applyFont="1" applyFill="1" applyBorder="1" applyAlignment="1">
      <alignment vertical="center"/>
    </xf>
    <xf numFmtId="0" fontId="13" fillId="4" borderId="97" xfId="55" applyFill="1" applyBorder="1"/>
    <xf numFmtId="165" fontId="14" fillId="4" borderId="97" xfId="40" applyNumberFormat="1" applyFont="1" applyFill="1" applyBorder="1" applyAlignment="1">
      <alignment horizontal="center" vertical="center"/>
    </xf>
    <xf numFmtId="0" fontId="80" fillId="4" borderId="85" xfId="0" applyFont="1" applyFill="1" applyBorder="1" applyAlignment="1" applyProtection="1">
      <alignment vertical="center"/>
      <protection locked="0"/>
    </xf>
    <xf numFmtId="0" fontId="80" fillId="4" borderId="85" xfId="0" applyFont="1" applyFill="1" applyBorder="1" applyAlignment="1" applyProtection="1">
      <alignment horizontal="center" vertical="center"/>
      <protection locked="0"/>
    </xf>
    <xf numFmtId="2" fontId="10" fillId="0" borderId="94" xfId="0" applyNumberFormat="1" applyFont="1" applyBorder="1" applyAlignment="1">
      <alignment horizontal="center" vertical="center"/>
    </xf>
    <xf numFmtId="0" fontId="14" fillId="0" borderId="88" xfId="45" applyFont="1" applyBorder="1" applyAlignment="1">
      <alignment horizontal="center" vertical="center"/>
    </xf>
    <xf numFmtId="2" fontId="10" fillId="0" borderId="88" xfId="0" applyNumberFormat="1" applyFont="1" applyBorder="1" applyAlignment="1">
      <alignment horizontal="center" vertical="center"/>
    </xf>
    <xf numFmtId="0" fontId="10" fillId="0" borderId="88" xfId="0" applyFont="1" applyBorder="1" applyAlignment="1">
      <alignment horizontal="center" vertical="center"/>
    </xf>
    <xf numFmtId="165" fontId="12" fillId="0" borderId="85" xfId="0" applyNumberFormat="1" applyFont="1" applyFill="1" applyBorder="1" applyAlignment="1">
      <alignment horizontal="center" vertical="center"/>
    </xf>
    <xf numFmtId="4" fontId="20" fillId="0" borderId="85" xfId="0" applyNumberFormat="1" applyFont="1" applyBorder="1" applyAlignment="1">
      <alignment horizontal="center"/>
    </xf>
    <xf numFmtId="0" fontId="80" fillId="0" borderId="87" xfId="0" applyFont="1" applyBorder="1" applyAlignment="1" applyProtection="1">
      <alignment vertical="center" wrapText="1"/>
      <protection locked="0"/>
    </xf>
    <xf numFmtId="0" fontId="80" fillId="4" borderId="88" xfId="0" applyFont="1" applyFill="1" applyBorder="1" applyAlignment="1" applyProtection="1">
      <alignment vertical="center" wrapText="1"/>
      <protection locked="0"/>
    </xf>
    <xf numFmtId="2" fontId="10" fillId="0" borderId="111" xfId="0" applyNumberFormat="1" applyFont="1" applyFill="1" applyBorder="1" applyAlignment="1">
      <alignment horizontal="left" vertical="center"/>
    </xf>
    <xf numFmtId="2" fontId="10" fillId="0" borderId="112" xfId="0" applyNumberFormat="1" applyFont="1" applyFill="1" applyBorder="1" applyAlignment="1">
      <alignment horizontal="center" vertical="center"/>
    </xf>
    <xf numFmtId="2" fontId="10" fillId="0" borderId="111" xfId="0" applyNumberFormat="1" applyFont="1" applyFill="1" applyBorder="1" applyAlignment="1">
      <alignment horizontal="center" vertical="center"/>
    </xf>
    <xf numFmtId="0" fontId="10" fillId="0" borderId="111" xfId="0" applyFont="1" applyFill="1" applyBorder="1" applyAlignment="1">
      <alignment horizontal="center" vertical="center"/>
    </xf>
    <xf numFmtId="0" fontId="10" fillId="0" borderId="111" xfId="0" applyFont="1" applyFill="1" applyBorder="1" applyAlignment="1">
      <alignment horizontal="left" vertical="center"/>
    </xf>
    <xf numFmtId="2" fontId="11" fillId="0" borderId="113" xfId="0" applyNumberFormat="1" applyFont="1" applyFill="1" applyBorder="1" applyAlignment="1">
      <alignment horizontal="right" vertical="center"/>
    </xf>
    <xf numFmtId="0" fontId="10" fillId="0" borderId="89" xfId="0" applyFont="1" applyFill="1" applyBorder="1" applyAlignment="1">
      <alignment horizontal="right" vertical="center"/>
    </xf>
    <xf numFmtId="4" fontId="13" fillId="0" borderId="85" xfId="0" applyNumberFormat="1" applyFont="1" applyBorder="1" applyAlignment="1">
      <alignment horizontal="center"/>
    </xf>
    <xf numFmtId="0" fontId="107" fillId="23" borderId="0" xfId="55" applyFont="1" applyFill="1" applyBorder="1" applyAlignment="1">
      <alignment horizontal="center" vertical="center"/>
    </xf>
    <xf numFmtId="49" fontId="10" fillId="0" borderId="0" xfId="55" applyNumberFormat="1" applyFont="1" applyBorder="1" applyAlignment="1">
      <alignment horizontal="center" wrapText="1"/>
    </xf>
    <xf numFmtId="0" fontId="13" fillId="0" borderId="0" xfId="55" applyBorder="1"/>
    <xf numFmtId="0" fontId="13" fillId="0" borderId="0" xfId="55" applyBorder="1" applyAlignment="1">
      <alignment horizontal="center"/>
    </xf>
    <xf numFmtId="0" fontId="13" fillId="4" borderId="0" xfId="55" applyFill="1" applyBorder="1"/>
    <xf numFmtId="2" fontId="10" fillId="20" borderId="110" xfId="0" applyNumberFormat="1" applyFont="1" applyFill="1" applyBorder="1" applyAlignment="1">
      <alignment horizontal="right" vertical="center"/>
    </xf>
    <xf numFmtId="164" fontId="12" fillId="4" borderId="85" xfId="42" applyNumberFormat="1" applyFont="1" applyFill="1" applyBorder="1" applyAlignment="1">
      <alignment horizontal="left" vertical="center"/>
    </xf>
    <xf numFmtId="0" fontId="87" fillId="4" borderId="85" xfId="0" applyFont="1" applyFill="1" applyBorder="1" applyAlignment="1" applyProtection="1">
      <alignment vertical="center"/>
      <protection locked="0"/>
    </xf>
    <xf numFmtId="0" fontId="108" fillId="4" borderId="85" xfId="0" applyFont="1" applyFill="1" applyBorder="1" applyAlignment="1" applyProtection="1">
      <alignment vertical="center"/>
      <protection locked="0"/>
    </xf>
    <xf numFmtId="165" fontId="12" fillId="4" borderId="85" xfId="0" applyNumberFormat="1" applyFont="1" applyFill="1" applyBorder="1" applyAlignment="1">
      <alignment horizontal="left" vertical="center"/>
    </xf>
    <xf numFmtId="0" fontId="12" fillId="0" borderId="85" xfId="45" applyFont="1" applyBorder="1" applyAlignment="1">
      <alignment horizontal="center" vertical="center"/>
    </xf>
    <xf numFmtId="0" fontId="87" fillId="4" borderId="85" xfId="0" applyFont="1" applyFill="1" applyBorder="1" applyAlignment="1" applyProtection="1">
      <alignment horizontal="center" vertical="center"/>
      <protection locked="0"/>
    </xf>
    <xf numFmtId="0" fontId="80" fillId="7" borderId="84" xfId="0" applyFont="1" applyFill="1" applyBorder="1" applyAlignment="1" applyProtection="1">
      <alignment vertical="center" wrapText="1"/>
      <protection locked="0"/>
    </xf>
    <xf numFmtId="0" fontId="80" fillId="7" borderId="85" xfId="0" applyFont="1" applyFill="1" applyBorder="1" applyAlignment="1" applyProtection="1">
      <alignment vertical="center" wrapText="1"/>
      <protection locked="0"/>
    </xf>
    <xf numFmtId="2" fontId="10" fillId="7" borderId="90" xfId="0" applyNumberFormat="1" applyFont="1" applyFill="1" applyBorder="1" applyAlignment="1">
      <alignment horizontal="left" vertical="center"/>
    </xf>
    <xf numFmtId="2" fontId="10" fillId="7" borderId="91" xfId="0" applyNumberFormat="1" applyFont="1" applyFill="1" applyBorder="1" applyAlignment="1">
      <alignment horizontal="center" vertical="center"/>
    </xf>
    <xf numFmtId="2" fontId="10" fillId="7" borderId="90" xfId="0" applyNumberFormat="1" applyFont="1" applyFill="1" applyBorder="1" applyAlignment="1">
      <alignment horizontal="center" vertical="center"/>
    </xf>
    <xf numFmtId="0" fontId="10" fillId="7" borderId="90" xfId="0" applyFont="1" applyFill="1" applyBorder="1" applyAlignment="1">
      <alignment horizontal="center" vertical="center"/>
    </xf>
    <xf numFmtId="0" fontId="10" fillId="7" borderId="90" xfId="0" applyFont="1" applyFill="1" applyBorder="1" applyAlignment="1">
      <alignment horizontal="left" vertical="center"/>
    </xf>
    <xf numFmtId="2" fontId="11" fillId="7" borderId="92" xfId="0" applyNumberFormat="1" applyFont="1" applyFill="1" applyBorder="1" applyAlignment="1">
      <alignment horizontal="right" vertical="center"/>
    </xf>
    <xf numFmtId="2" fontId="10" fillId="7" borderId="93" xfId="0" applyNumberFormat="1" applyFont="1" applyFill="1" applyBorder="1" applyAlignment="1">
      <alignment horizontal="right" vertical="center"/>
    </xf>
    <xf numFmtId="0" fontId="19" fillId="4" borderId="85" xfId="0" applyFont="1" applyFill="1" applyBorder="1" applyAlignment="1" applyProtection="1">
      <alignment vertical="center"/>
      <protection locked="0"/>
    </xf>
    <xf numFmtId="165" fontId="14" fillId="0" borderId="85" xfId="0" applyNumberFormat="1" applyFont="1" applyBorder="1" applyAlignment="1">
      <alignment horizontal="left" vertical="center"/>
    </xf>
    <xf numFmtId="2" fontId="10" fillId="4" borderId="88" xfId="0" applyNumberFormat="1" applyFont="1" applyFill="1" applyBorder="1" applyAlignment="1">
      <alignment horizontal="center" vertical="center"/>
    </xf>
    <xf numFmtId="2" fontId="10" fillId="4" borderId="85" xfId="0" applyNumberFormat="1" applyFont="1" applyFill="1" applyBorder="1" applyAlignment="1">
      <alignment horizontal="center" vertical="center"/>
    </xf>
    <xf numFmtId="43" fontId="14" fillId="4" borderId="85" xfId="42" applyFont="1" applyFill="1" applyBorder="1" applyAlignment="1">
      <alignment vertical="center"/>
    </xf>
    <xf numFmtId="43" fontId="14" fillId="4" borderId="85" xfId="42" applyFont="1" applyFill="1" applyBorder="1" applyAlignment="1">
      <alignment horizontal="center" vertical="center"/>
    </xf>
    <xf numFmtId="165" fontId="14" fillId="4" borderId="85" xfId="0" applyNumberFormat="1" applyFont="1" applyFill="1" applyBorder="1" applyAlignment="1">
      <alignment horizontal="right" vertical="center"/>
    </xf>
    <xf numFmtId="43" fontId="14" fillId="4" borderId="85" xfId="42" applyFont="1" applyFill="1" applyBorder="1" applyAlignment="1">
      <alignment horizontal="right" vertical="center"/>
    </xf>
    <xf numFmtId="0" fontId="87" fillId="4" borderId="88" xfId="0" applyFont="1" applyFill="1" applyBorder="1" applyAlignment="1" applyProtection="1">
      <alignment vertical="center" wrapText="1"/>
      <protection locked="0"/>
    </xf>
    <xf numFmtId="0" fontId="10" fillId="4" borderId="88" xfId="0" applyFont="1" applyFill="1" applyBorder="1" applyAlignment="1">
      <alignment horizontal="center" vertical="center"/>
    </xf>
    <xf numFmtId="4" fontId="10" fillId="0" borderId="85" xfId="0" applyNumberFormat="1" applyFont="1" applyBorder="1" applyAlignment="1">
      <alignment horizontal="center" vertical="center"/>
    </xf>
    <xf numFmtId="176" fontId="14" fillId="25" borderId="97" xfId="42" applyNumberFormat="1" applyFont="1" applyFill="1" applyBorder="1" applyAlignment="1">
      <alignment vertical="center"/>
    </xf>
    <xf numFmtId="176" fontId="14" fillId="20" borderId="97" xfId="42" applyNumberFormat="1" applyFont="1" applyFill="1" applyBorder="1" applyAlignment="1">
      <alignment vertical="center"/>
    </xf>
    <xf numFmtId="3" fontId="11" fillId="0" borderId="85" xfId="0" applyNumberFormat="1" applyFont="1" applyBorder="1" applyAlignment="1">
      <alignment horizontal="center" vertical="center"/>
    </xf>
    <xf numFmtId="0" fontId="20" fillId="0" borderId="85" xfId="0" applyFont="1" applyBorder="1" applyAlignment="1">
      <alignment horizontal="center"/>
    </xf>
    <xf numFmtId="2" fontId="11" fillId="21" borderId="88" xfId="0" applyNumberFormat="1" applyFont="1" applyFill="1" applyBorder="1" applyAlignment="1">
      <alignment horizontal="center" vertical="center"/>
    </xf>
    <xf numFmtId="43" fontId="14" fillId="22" borderId="88" xfId="42" applyFont="1" applyFill="1" applyBorder="1" applyAlignment="1">
      <alignment vertical="center"/>
    </xf>
    <xf numFmtId="43" fontId="14" fillId="0" borderId="88" xfId="42" applyFont="1" applyBorder="1" applyAlignment="1">
      <alignment horizontal="center" vertical="center"/>
    </xf>
    <xf numFmtId="0" fontId="87" fillId="0" borderId="88" xfId="0" applyFont="1" applyBorder="1" applyAlignment="1" applyProtection="1">
      <alignment vertical="center" wrapText="1"/>
      <protection locked="0"/>
    </xf>
    <xf numFmtId="178" fontId="10" fillId="0" borderId="88" xfId="0" applyNumberFormat="1" applyFont="1" applyBorder="1" applyAlignment="1">
      <alignment horizontal="center" vertical="center"/>
    </xf>
    <xf numFmtId="12" fontId="14" fillId="0" borderId="97" xfId="42" applyNumberFormat="1" applyFont="1" applyFill="1" applyBorder="1" applyAlignment="1">
      <alignment horizontal="center" vertical="center"/>
    </xf>
    <xf numFmtId="2" fontId="10" fillId="7" borderId="85" xfId="0" applyNumberFormat="1" applyFont="1" applyFill="1" applyBorder="1" applyAlignment="1">
      <alignment horizontal="center" vertical="center"/>
    </xf>
    <xf numFmtId="0" fontId="108" fillId="7" borderId="85" xfId="0" applyFont="1" applyFill="1" applyBorder="1" applyAlignment="1" applyProtection="1">
      <alignment vertical="center"/>
      <protection locked="0"/>
    </xf>
    <xf numFmtId="0" fontId="14" fillId="7" borderId="85" xfId="45" applyFont="1" applyFill="1" applyBorder="1" applyAlignment="1">
      <alignment horizontal="center" vertical="center"/>
    </xf>
    <xf numFmtId="43" fontId="14" fillId="7" borderId="85" xfId="42" applyFont="1" applyFill="1" applyBorder="1" applyAlignment="1">
      <alignment vertical="center"/>
    </xf>
    <xf numFmtId="43" fontId="14" fillId="7" borderId="85" xfId="42" applyFont="1" applyFill="1" applyBorder="1" applyAlignment="1">
      <alignment horizontal="center" vertical="center"/>
    </xf>
    <xf numFmtId="164" fontId="14" fillId="7" borderId="85" xfId="42" applyNumberFormat="1" applyFont="1" applyFill="1" applyBorder="1" applyAlignment="1">
      <alignment horizontal="left" vertical="center"/>
    </xf>
    <xf numFmtId="4" fontId="11" fillId="7" borderId="85" xfId="0" applyNumberFormat="1" applyFont="1" applyFill="1" applyBorder="1" applyAlignment="1">
      <alignment horizontal="center" vertical="center"/>
    </xf>
    <xf numFmtId="165" fontId="14" fillId="7" borderId="85" xfId="0" applyNumberFormat="1" applyFont="1" applyFill="1" applyBorder="1" applyAlignment="1">
      <alignment horizontal="left" vertical="center"/>
    </xf>
    <xf numFmtId="0" fontId="80" fillId="0" borderId="88" xfId="0" applyFont="1" applyBorder="1" applyAlignment="1" applyProtection="1">
      <alignment vertical="center"/>
      <protection locked="0"/>
    </xf>
    <xf numFmtId="2" fontId="10" fillId="0" borderId="88" xfId="0" applyNumberFormat="1" applyFont="1" applyBorder="1" applyAlignment="1">
      <alignment horizontal="left" vertical="center"/>
    </xf>
    <xf numFmtId="2" fontId="10" fillId="0" borderId="85" xfId="0" applyNumberFormat="1" applyFont="1" applyBorder="1" applyAlignment="1">
      <alignment horizontal="left" vertical="center"/>
    </xf>
    <xf numFmtId="0" fontId="87" fillId="4" borderId="88" xfId="0" applyFont="1" applyFill="1" applyBorder="1" applyAlignment="1" applyProtection="1">
      <alignment horizontal="center" vertical="center"/>
      <protection locked="0"/>
    </xf>
    <xf numFmtId="2" fontId="10" fillId="0" borderId="95" xfId="0" applyNumberFormat="1" applyFont="1" applyBorder="1" applyAlignment="1">
      <alignment horizontal="center" vertical="center"/>
    </xf>
    <xf numFmtId="0" fontId="14" fillId="4" borderId="85" xfId="45" applyFont="1" applyFill="1" applyBorder="1" applyAlignment="1">
      <alignment horizontal="center" vertical="center"/>
    </xf>
    <xf numFmtId="4" fontId="11" fillId="4" borderId="85" xfId="0" applyNumberFormat="1" applyFont="1" applyFill="1" applyBorder="1" applyAlignment="1">
      <alignment horizontal="center" vertical="center"/>
    </xf>
    <xf numFmtId="175" fontId="20" fillId="23" borderId="65" xfId="42" applyNumberFormat="1" applyFont="1" applyFill="1" applyBorder="1" applyAlignment="1">
      <alignment horizontal="center" vertical="center" wrapText="1"/>
    </xf>
    <xf numFmtId="175" fontId="20" fillId="23" borderId="22" xfId="42" applyNumberFormat="1" applyFont="1" applyFill="1" applyBorder="1" applyAlignment="1">
      <alignment horizontal="center" vertical="center" wrapText="1"/>
    </xf>
    <xf numFmtId="164" fontId="20" fillId="28" borderId="116" xfId="42" applyNumberFormat="1" applyFont="1" applyFill="1" applyBorder="1" applyAlignment="1">
      <alignment vertical="center" wrapText="1"/>
    </xf>
    <xf numFmtId="164" fontId="20" fillId="29" borderId="116" xfId="42" applyNumberFormat="1" applyFont="1" applyFill="1" applyBorder="1" applyAlignment="1">
      <alignment horizontal="left" vertical="center" wrapText="1" indent="1"/>
    </xf>
    <xf numFmtId="164" fontId="20" fillId="30" borderId="116" xfId="42" applyNumberFormat="1" applyFont="1" applyFill="1" applyBorder="1" applyAlignment="1">
      <alignment horizontal="left" vertical="center" wrapText="1" indent="1"/>
    </xf>
    <xf numFmtId="164" fontId="20" fillId="31" borderId="116" xfId="42" applyNumberFormat="1" applyFont="1" applyFill="1" applyBorder="1" applyAlignment="1">
      <alignment horizontal="left" vertical="center" wrapText="1" indent="1"/>
    </xf>
    <xf numFmtId="164" fontId="20" fillId="32" borderId="116" xfId="42" applyNumberFormat="1" applyFont="1" applyFill="1" applyBorder="1" applyAlignment="1">
      <alignment horizontal="left" vertical="center" wrapText="1" indent="1"/>
    </xf>
    <xf numFmtId="164" fontId="20" fillId="33" borderId="116" xfId="42" applyNumberFormat="1" applyFont="1" applyFill="1" applyBorder="1" applyAlignment="1">
      <alignment horizontal="left" vertical="center" wrapText="1" indent="1"/>
    </xf>
    <xf numFmtId="175" fontId="20" fillId="23" borderId="51" xfId="42" applyNumberFormat="1" applyFont="1" applyFill="1" applyBorder="1" applyAlignment="1">
      <alignment horizontal="center" vertical="center" wrapText="1"/>
    </xf>
    <xf numFmtId="0" fontId="80" fillId="4" borderId="88" xfId="0" applyFont="1" applyFill="1" applyBorder="1" applyAlignment="1" applyProtection="1">
      <alignment vertical="center"/>
      <protection locked="0"/>
    </xf>
    <xf numFmtId="0" fontId="87" fillId="4" borderId="84" xfId="0" applyFont="1" applyFill="1" applyBorder="1" applyAlignment="1" applyProtection="1">
      <alignment vertical="center"/>
      <protection locked="0"/>
    </xf>
    <xf numFmtId="0" fontId="80" fillId="4" borderId="84" xfId="0" applyFont="1" applyFill="1" applyBorder="1" applyAlignment="1" applyProtection="1">
      <alignment vertical="center"/>
      <protection locked="0"/>
    </xf>
    <xf numFmtId="165" fontId="12" fillId="4" borderId="88" xfId="0" applyNumberFormat="1" applyFont="1" applyFill="1" applyBorder="1" applyAlignment="1">
      <alignment horizontal="left" vertical="center"/>
    </xf>
    <xf numFmtId="0" fontId="108" fillId="0" borderId="85" xfId="0" applyFont="1" applyFill="1" applyBorder="1" applyAlignment="1" applyProtection="1">
      <alignment vertical="center"/>
      <protection locked="0"/>
    </xf>
    <xf numFmtId="0" fontId="14" fillId="0" borderId="85" xfId="45" applyFont="1" applyFill="1" applyBorder="1" applyAlignment="1">
      <alignment horizontal="center" vertical="center"/>
    </xf>
    <xf numFmtId="43" fontId="14" fillId="0" borderId="85" xfId="42" applyFont="1" applyFill="1" applyBorder="1" applyAlignment="1">
      <alignment vertical="center"/>
    </xf>
    <xf numFmtId="43" fontId="14" fillId="0" borderId="85" xfId="42" applyFont="1" applyFill="1" applyBorder="1" applyAlignment="1">
      <alignment horizontal="center" vertical="center"/>
    </xf>
    <xf numFmtId="164" fontId="14" fillId="0" borderId="85" xfId="42" applyNumberFormat="1" applyFont="1" applyFill="1" applyBorder="1" applyAlignment="1">
      <alignment horizontal="left" vertical="center"/>
    </xf>
    <xf numFmtId="4" fontId="11" fillId="0" borderId="85" xfId="0" applyNumberFormat="1" applyFont="1" applyFill="1" applyBorder="1" applyAlignment="1">
      <alignment horizontal="center" vertical="center"/>
    </xf>
    <xf numFmtId="0" fontId="20" fillId="0" borderId="0" xfId="0" applyFont="1"/>
    <xf numFmtId="0" fontId="11" fillId="34" borderId="15" xfId="55" applyFont="1" applyFill="1" applyBorder="1" applyAlignment="1" applyProtection="1">
      <alignment horizontal="left" vertical="center"/>
      <protection locked="0"/>
    </xf>
    <xf numFmtId="177" fontId="14" fillId="34" borderId="15" xfId="42" applyNumberFormat="1" applyFont="1" applyFill="1" applyBorder="1" applyAlignment="1">
      <alignment horizontal="center" vertical="center"/>
    </xf>
    <xf numFmtId="177" fontId="24" fillId="34" borderId="15" xfId="42" applyNumberFormat="1" applyFont="1" applyFill="1" applyBorder="1" applyAlignment="1">
      <alignment horizontal="center" vertical="center"/>
    </xf>
    <xf numFmtId="0" fontId="13" fillId="7" borderId="0" xfId="55" applyFill="1" applyBorder="1"/>
    <xf numFmtId="49" fontId="11" fillId="0" borderId="42" xfId="55" applyNumberFormat="1" applyFont="1" applyBorder="1" applyAlignment="1">
      <alignment vertical="center"/>
    </xf>
    <xf numFmtId="49" fontId="11" fillId="0" borderId="42" xfId="55" applyNumberFormat="1" applyFont="1" applyBorder="1"/>
    <xf numFmtId="49" fontId="10" fillId="0" borderId="0" xfId="55" applyNumberFormat="1" applyFont="1" applyBorder="1" applyAlignment="1">
      <alignment horizontal="left"/>
    </xf>
    <xf numFmtId="0" fontId="10" fillId="0" borderId="0" xfId="55" applyFont="1" applyBorder="1" applyAlignment="1">
      <alignment horizontal="left"/>
    </xf>
    <xf numFmtId="0" fontId="14" fillId="0" borderId="0" xfId="55" applyFont="1" applyBorder="1"/>
    <xf numFmtId="164" fontId="14" fillId="4" borderId="98" xfId="55" applyNumberFormat="1" applyFont="1" applyFill="1" applyBorder="1" applyAlignment="1">
      <alignment horizontal="left" vertical="center" indent="1"/>
    </xf>
    <xf numFmtId="164" fontId="14" fillId="4" borderId="125" xfId="55" applyNumberFormat="1" applyFont="1" applyFill="1" applyBorder="1" applyAlignment="1">
      <alignment horizontal="left" vertical="center" indent="1"/>
    </xf>
    <xf numFmtId="165" fontId="14" fillId="4" borderId="126" xfId="40" applyNumberFormat="1" applyFont="1" applyFill="1" applyBorder="1" applyAlignment="1">
      <alignment horizontal="center" vertical="center"/>
    </xf>
    <xf numFmtId="0" fontId="12" fillId="22" borderId="127" xfId="56" applyFont="1" applyFill="1" applyBorder="1" applyAlignment="1">
      <alignment horizontal="center"/>
    </xf>
    <xf numFmtId="12" fontId="14" fillId="22" borderId="126" xfId="42" applyNumberFormat="1" applyFont="1" applyFill="1" applyBorder="1" applyAlignment="1">
      <alignment horizontal="center" vertical="center"/>
    </xf>
    <xf numFmtId="43" fontId="14" fillId="22" borderId="126" xfId="42" applyFont="1" applyFill="1" applyBorder="1" applyAlignment="1">
      <alignment vertical="center"/>
    </xf>
    <xf numFmtId="43" fontId="14" fillId="22" borderId="126" xfId="42" applyFont="1" applyFill="1" applyBorder="1" applyAlignment="1">
      <alignment horizontal="center" vertical="center"/>
    </xf>
    <xf numFmtId="176" fontId="14" fillId="11" borderId="126" xfId="42" applyNumberFormat="1" applyFont="1" applyFill="1" applyBorder="1" applyAlignment="1">
      <alignment vertical="center"/>
    </xf>
    <xf numFmtId="176" fontId="14" fillId="24" borderId="126" xfId="42" applyNumberFormat="1" applyFont="1" applyFill="1" applyBorder="1" applyAlignment="1">
      <alignment vertical="center"/>
    </xf>
    <xf numFmtId="176" fontId="14" fillId="25" borderId="126" xfId="42" applyNumberFormat="1" applyFont="1" applyFill="1" applyBorder="1" applyAlignment="1">
      <alignment vertical="center"/>
    </xf>
    <xf numFmtId="164" fontId="14" fillId="26" borderId="126" xfId="42" applyNumberFormat="1" applyFont="1" applyFill="1" applyBorder="1" applyAlignment="1">
      <alignment vertical="center"/>
    </xf>
    <xf numFmtId="176" fontId="14" fillId="20" borderId="126" xfId="42" applyNumberFormat="1" applyFont="1" applyFill="1" applyBorder="1" applyAlignment="1">
      <alignment vertical="center"/>
    </xf>
    <xf numFmtId="43" fontId="14" fillId="27" borderId="126" xfId="42" applyFont="1" applyFill="1" applyBorder="1" applyAlignment="1">
      <alignment vertical="center"/>
    </xf>
    <xf numFmtId="164" fontId="14" fillId="4" borderId="125" xfId="42" applyNumberFormat="1" applyFont="1" applyFill="1" applyBorder="1" applyAlignment="1">
      <alignment horizontal="left" vertical="center"/>
    </xf>
    <xf numFmtId="0" fontId="13" fillId="4" borderId="126" xfId="55" applyFill="1" applyBorder="1"/>
    <xf numFmtId="165" fontId="12" fillId="4" borderId="124" xfId="40" applyNumberFormat="1" applyFont="1" applyFill="1" applyBorder="1" applyAlignment="1">
      <alignment vertical="center"/>
    </xf>
    <xf numFmtId="165" fontId="12" fillId="4" borderId="119" xfId="40" applyNumberFormat="1" applyFont="1" applyFill="1" applyBorder="1" applyAlignment="1">
      <alignment vertical="center"/>
    </xf>
    <xf numFmtId="165" fontId="12" fillId="4" borderId="120" xfId="40" applyNumberFormat="1" applyFont="1" applyFill="1" applyBorder="1" applyAlignment="1">
      <alignment vertical="center"/>
    </xf>
    <xf numFmtId="0" fontId="11" fillId="0" borderId="21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2" fontId="11" fillId="0" borderId="0" xfId="0" applyNumberFormat="1" applyFont="1" applyFill="1" applyBorder="1" applyAlignment="1">
      <alignment horizontal="center" vertical="center"/>
    </xf>
    <xf numFmtId="0" fontId="11" fillId="0" borderId="2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 wrapText="1"/>
    </xf>
    <xf numFmtId="0" fontId="111" fillId="0" borderId="21" xfId="12" applyFont="1" applyBorder="1" applyAlignment="1">
      <alignment horizontal="right" vertical="top"/>
    </xf>
    <xf numFmtId="2" fontId="112" fillId="0" borderId="22" xfId="12" applyNumberFormat="1" applyFont="1" applyBorder="1" applyAlignment="1">
      <alignment vertical="center"/>
    </xf>
    <xf numFmtId="0" fontId="110" fillId="0" borderId="50" xfId="12" applyFont="1" applyBorder="1" applyAlignment="1">
      <alignment horizontal="center" vertical="center"/>
    </xf>
    <xf numFmtId="2" fontId="110" fillId="0" borderId="50" xfId="12" applyNumberFormat="1" applyFont="1" applyBorder="1" applyAlignment="1">
      <alignment horizontal="left" vertical="center"/>
    </xf>
    <xf numFmtId="2" fontId="113" fillId="0" borderId="50" xfId="12" applyNumberFormat="1" applyFont="1" applyBorder="1" applyAlignment="1">
      <alignment vertical="center"/>
    </xf>
    <xf numFmtId="2" fontId="110" fillId="0" borderId="50" xfId="12" applyNumberFormat="1" applyFont="1" applyBorder="1" applyAlignment="1">
      <alignment vertical="center"/>
    </xf>
    <xf numFmtId="0" fontId="113" fillId="0" borderId="50" xfId="12" applyFont="1" applyBorder="1" applyAlignment="1">
      <alignment horizontal="center" vertical="center"/>
    </xf>
    <xf numFmtId="0" fontId="112" fillId="0" borderId="0" xfId="12" applyFont="1" applyBorder="1" applyAlignment="1">
      <alignment horizontal="left" vertical="center"/>
    </xf>
    <xf numFmtId="0" fontId="112" fillId="0" borderId="0" xfId="12" applyFont="1" applyBorder="1" applyAlignment="1">
      <alignment horizontal="center" vertical="center"/>
    </xf>
    <xf numFmtId="2" fontId="111" fillId="0" borderId="0" xfId="12" applyNumberFormat="1" applyFont="1" applyBorder="1" applyAlignment="1">
      <alignment horizontal="right" vertical="center"/>
    </xf>
    <xf numFmtId="2" fontId="112" fillId="0" borderId="0" xfId="12" applyNumberFormat="1" applyFont="1" applyBorder="1" applyAlignment="1">
      <alignment horizontal="right" vertical="center"/>
    </xf>
    <xf numFmtId="2" fontId="112" fillId="0" borderId="22" xfId="12" applyNumberFormat="1" applyFont="1" applyBorder="1" applyAlignment="1">
      <alignment horizontal="center" vertical="center"/>
    </xf>
    <xf numFmtId="179" fontId="112" fillId="0" borderId="0" xfId="12" quotePrefix="1" applyNumberFormat="1" applyFont="1" applyBorder="1" applyAlignment="1">
      <alignment horizontal="left" vertical="center"/>
    </xf>
    <xf numFmtId="0" fontId="111" fillId="0" borderId="0" xfId="12" applyFont="1" applyBorder="1" applyAlignment="1">
      <alignment vertical="center"/>
    </xf>
    <xf numFmtId="2" fontId="112" fillId="0" borderId="0" xfId="12" applyNumberFormat="1" applyFont="1" applyBorder="1" applyAlignment="1">
      <alignment vertical="center"/>
    </xf>
    <xf numFmtId="0" fontId="112" fillId="0" borderId="0" xfId="12" applyFont="1" applyBorder="1" applyAlignment="1">
      <alignment vertical="center"/>
    </xf>
    <xf numFmtId="2" fontId="112" fillId="0" borderId="0" xfId="12" applyNumberFormat="1" applyFont="1" applyBorder="1" applyAlignment="1">
      <alignment horizontal="left" vertical="center"/>
    </xf>
    <xf numFmtId="2" fontId="112" fillId="0" borderId="0" xfId="12" applyNumberFormat="1" applyFont="1" applyBorder="1" applyAlignment="1">
      <alignment horizontal="center" vertical="center"/>
    </xf>
    <xf numFmtId="0" fontId="111" fillId="0" borderId="49" xfId="12" applyFont="1" applyBorder="1" applyAlignment="1">
      <alignment horizontal="right" vertical="top"/>
    </xf>
    <xf numFmtId="0" fontId="112" fillId="0" borderId="50" xfId="12" applyFont="1" applyBorder="1" applyAlignment="1">
      <alignment horizontal="left" vertical="center"/>
    </xf>
    <xf numFmtId="2" fontId="113" fillId="0" borderId="51" xfId="12" applyNumberFormat="1" applyFont="1" applyBorder="1" applyAlignment="1">
      <alignment horizontal="center" vertical="center"/>
    </xf>
    <xf numFmtId="0" fontId="87" fillId="35" borderId="88" xfId="0" applyFont="1" applyFill="1" applyBorder="1" applyAlignment="1" applyProtection="1">
      <alignment vertical="center" wrapText="1"/>
      <protection locked="0"/>
    </xf>
    <xf numFmtId="2" fontId="10" fillId="35" borderId="88" xfId="0" applyNumberFormat="1" applyFont="1" applyFill="1" applyBorder="1" applyAlignment="1">
      <alignment horizontal="center" vertical="center"/>
    </xf>
    <xf numFmtId="0" fontId="10" fillId="35" borderId="88" xfId="0" applyFont="1" applyFill="1" applyBorder="1" applyAlignment="1">
      <alignment horizontal="center" vertical="center"/>
    </xf>
    <xf numFmtId="4" fontId="11" fillId="35" borderId="89" xfId="0" applyNumberFormat="1" applyFont="1" applyFill="1" applyBorder="1" applyAlignment="1">
      <alignment horizontal="center" vertical="center"/>
    </xf>
    <xf numFmtId="0" fontId="112" fillId="0" borderId="22" xfId="12" applyFont="1" applyBorder="1" applyAlignment="1">
      <alignment horizontal="center" vertical="center"/>
    </xf>
    <xf numFmtId="0" fontId="111" fillId="0" borderId="22" xfId="12" applyFont="1" applyBorder="1" applyAlignment="1">
      <alignment vertical="center"/>
    </xf>
    <xf numFmtId="0" fontId="110" fillId="0" borderId="51" xfId="12" applyFont="1" applyBorder="1" applyAlignment="1">
      <alignment horizontal="center" vertical="center"/>
    </xf>
    <xf numFmtId="0" fontId="0" fillId="0" borderId="130" xfId="0" applyBorder="1"/>
    <xf numFmtId="4" fontId="0" fillId="0" borderId="131" xfId="0" applyNumberFormat="1" applyBorder="1"/>
    <xf numFmtId="0" fontId="0" fillId="0" borderId="132" xfId="0" applyBorder="1"/>
    <xf numFmtId="0" fontId="0" fillId="0" borderId="133" xfId="0" applyBorder="1"/>
    <xf numFmtId="4" fontId="0" fillId="0" borderId="134" xfId="0" applyNumberFormat="1" applyBorder="1"/>
    <xf numFmtId="2" fontId="11" fillId="20" borderId="92" xfId="0" applyNumberFormat="1" applyFont="1" applyFill="1" applyBorder="1" applyAlignment="1">
      <alignment horizontal="right" vertical="center"/>
    </xf>
    <xf numFmtId="2" fontId="10" fillId="20" borderId="93" xfId="0" applyNumberFormat="1" applyFont="1" applyFill="1" applyBorder="1" applyAlignment="1">
      <alignment horizontal="right" vertical="center"/>
    </xf>
    <xf numFmtId="0" fontId="87" fillId="0" borderId="88" xfId="0" applyFont="1" applyFill="1" applyBorder="1" applyAlignment="1" applyProtection="1">
      <alignment vertical="center" wrapText="1"/>
      <protection locked="0"/>
    </xf>
    <xf numFmtId="0" fontId="80" fillId="0" borderId="84" xfId="0" applyFont="1" applyFill="1" applyBorder="1" applyAlignment="1" applyProtection="1">
      <alignment vertical="center" wrapText="1"/>
      <protection locked="0"/>
    </xf>
    <xf numFmtId="0" fontId="80" fillId="0" borderId="85" xfId="0" applyFont="1" applyFill="1" applyBorder="1" applyAlignment="1" applyProtection="1">
      <alignment vertical="center" wrapText="1"/>
      <protection locked="0"/>
    </xf>
    <xf numFmtId="0" fontId="87" fillId="0" borderId="87" xfId="0" applyFont="1" applyFill="1" applyBorder="1" applyAlignment="1" applyProtection="1">
      <alignment vertical="center"/>
      <protection locked="0"/>
    </xf>
    <xf numFmtId="2" fontId="11" fillId="0" borderId="88" xfId="0" applyNumberFormat="1" applyFont="1" applyFill="1" applyBorder="1" applyAlignment="1">
      <alignment horizontal="center" vertical="center"/>
    </xf>
    <xf numFmtId="0" fontId="10" fillId="0" borderId="88" xfId="0" applyFont="1" applyFill="1" applyBorder="1" applyAlignment="1">
      <alignment horizontal="center" vertical="center"/>
    </xf>
    <xf numFmtId="4" fontId="11" fillId="0" borderId="22" xfId="0" applyNumberFormat="1" applyFont="1" applyFill="1" applyBorder="1" applyAlignment="1">
      <alignment horizontal="center" vertical="center"/>
    </xf>
    <xf numFmtId="0" fontId="0" fillId="0" borderId="0" xfId="0" applyFill="1"/>
    <xf numFmtId="4" fontId="11" fillId="0" borderId="89" xfId="0" applyNumberFormat="1" applyFont="1" applyFill="1" applyBorder="1" applyAlignment="1">
      <alignment horizontal="center" vertical="center"/>
    </xf>
    <xf numFmtId="178" fontId="10" fillId="0" borderId="88" xfId="0" applyNumberFormat="1" applyFont="1" applyFill="1" applyBorder="1" applyAlignment="1">
      <alignment horizontal="center" vertical="center"/>
    </xf>
    <xf numFmtId="0" fontId="80" fillId="0" borderId="88" xfId="0" applyFont="1" applyFill="1" applyBorder="1" applyAlignment="1" applyProtection="1">
      <alignment vertical="center" wrapText="1"/>
      <protection locked="0"/>
    </xf>
    <xf numFmtId="0" fontId="87" fillId="0" borderId="85" xfId="0" applyFont="1" applyFill="1" applyBorder="1" applyAlignment="1" applyProtection="1">
      <alignment vertical="center"/>
      <protection locked="0"/>
    </xf>
    <xf numFmtId="0" fontId="87" fillId="0" borderId="85" xfId="0" applyFont="1" applyFill="1" applyBorder="1" applyAlignment="1" applyProtection="1">
      <alignment horizontal="center" vertical="center"/>
      <protection locked="0"/>
    </xf>
    <xf numFmtId="2" fontId="10" fillId="0" borderId="94" xfId="0" applyNumberFormat="1" applyFont="1" applyFill="1" applyBorder="1" applyAlignment="1">
      <alignment horizontal="center" vertical="center"/>
    </xf>
    <xf numFmtId="2" fontId="11" fillId="0" borderId="86" xfId="0" applyNumberFormat="1" applyFont="1" applyFill="1" applyBorder="1" applyAlignment="1">
      <alignment horizontal="right" vertical="center"/>
    </xf>
    <xf numFmtId="2" fontId="10" fillId="0" borderId="69" xfId="0" applyNumberFormat="1" applyFont="1" applyFill="1" applyBorder="1" applyAlignment="1">
      <alignment horizontal="right" vertical="center"/>
    </xf>
    <xf numFmtId="0" fontId="12" fillId="0" borderId="85" xfId="45" applyFont="1" applyFill="1" applyBorder="1" applyAlignment="1">
      <alignment horizontal="center" vertical="center"/>
    </xf>
    <xf numFmtId="4" fontId="11" fillId="0" borderId="96" xfId="0" applyNumberFormat="1" applyFont="1" applyFill="1" applyBorder="1" applyAlignment="1">
      <alignment horizontal="center" vertical="center"/>
    </xf>
    <xf numFmtId="2" fontId="10" fillId="0" borderId="94" xfId="0" applyNumberFormat="1" applyFont="1" applyFill="1" applyBorder="1" applyAlignment="1">
      <alignment horizontal="center" vertical="center"/>
    </xf>
    <xf numFmtId="0" fontId="87" fillId="0" borderId="87" xfId="0" quotePrefix="1" applyFont="1" applyFill="1" applyBorder="1" applyAlignment="1" applyProtection="1">
      <alignment horizontal="left" vertical="center" wrapText="1"/>
      <protection locked="0"/>
    </xf>
    <xf numFmtId="0" fontId="80" fillId="0" borderId="85" xfId="0" applyFont="1" applyFill="1" applyBorder="1" applyAlignment="1" applyProtection="1">
      <alignment horizontal="center" vertical="center"/>
      <protection locked="0"/>
    </xf>
    <xf numFmtId="0" fontId="80" fillId="0" borderId="85" xfId="0" applyFont="1" applyFill="1" applyBorder="1" applyAlignment="1" applyProtection="1">
      <alignment horizontal="center" vertical="center" wrapText="1"/>
      <protection locked="0"/>
    </xf>
    <xf numFmtId="0" fontId="80" fillId="0" borderId="85" xfId="0" applyFont="1" applyFill="1" applyBorder="1" applyAlignment="1" applyProtection="1">
      <alignment vertical="center"/>
      <protection locked="0"/>
    </xf>
    <xf numFmtId="0" fontId="80" fillId="0" borderId="95" xfId="0" quotePrefix="1" applyFont="1" applyFill="1" applyBorder="1" applyAlignment="1" applyProtection="1">
      <alignment horizontal="left" vertical="center" wrapText="1"/>
      <protection locked="0"/>
    </xf>
    <xf numFmtId="0" fontId="37" fillId="4" borderId="85" xfId="0" applyFont="1" applyFill="1" applyBorder="1" applyAlignment="1" applyProtection="1">
      <alignment vertical="center"/>
      <protection locked="0"/>
    </xf>
    <xf numFmtId="0" fontId="37" fillId="4" borderId="85" xfId="0" applyFont="1" applyFill="1" applyBorder="1" applyAlignment="1" applyProtection="1">
      <alignment horizontal="left" vertical="center"/>
      <protection locked="0"/>
    </xf>
    <xf numFmtId="0" fontId="13" fillId="0" borderId="136" xfId="0" applyFont="1" applyBorder="1"/>
    <xf numFmtId="0" fontId="13" fillId="0" borderId="90" xfId="0" applyFont="1" applyBorder="1"/>
    <xf numFmtId="0" fontId="0" fillId="0" borderId="90" xfId="0" applyBorder="1"/>
    <xf numFmtId="4" fontId="0" fillId="0" borderId="137" xfId="0" applyNumberFormat="1" applyBorder="1"/>
    <xf numFmtId="0" fontId="20" fillId="0" borderId="138" xfId="0" applyFont="1" applyBorder="1" applyAlignment="1">
      <alignment horizontal="left" indent="1"/>
    </xf>
    <xf numFmtId="0" fontId="20" fillId="0" borderId="138" xfId="0" applyFont="1" applyBorder="1" applyAlignment="1">
      <alignment horizontal="left"/>
    </xf>
    <xf numFmtId="0" fontId="20" fillId="0" borderId="138" xfId="0" applyFont="1" applyBorder="1"/>
    <xf numFmtId="0" fontId="0" fillId="0" borderId="138" xfId="0" applyBorder="1"/>
    <xf numFmtId="0" fontId="0" fillId="0" borderId="138" xfId="0" applyBorder="1" applyAlignment="1">
      <alignment horizontal="left" indent="2"/>
    </xf>
    <xf numFmtId="4" fontId="0" fillId="0" borderId="138" xfId="0" applyNumberFormat="1" applyBorder="1"/>
    <xf numFmtId="0" fontId="0" fillId="0" borderId="138" xfId="0" applyBorder="1" applyAlignment="1">
      <alignment horizontal="left"/>
    </xf>
    <xf numFmtId="0" fontId="13" fillId="0" borderId="138" xfId="0" applyFont="1" applyBorder="1"/>
    <xf numFmtId="2" fontId="0" fillId="0" borderId="138" xfId="0" applyNumberFormat="1" applyBorder="1"/>
    <xf numFmtId="0" fontId="0" fillId="0" borderId="138" xfId="0" applyBorder="1" applyAlignment="1">
      <alignment vertical="center"/>
    </xf>
    <xf numFmtId="0" fontId="13" fillId="0" borderId="138" xfId="0" applyFont="1" applyBorder="1" applyAlignment="1">
      <alignment vertical="center"/>
    </xf>
    <xf numFmtId="0" fontId="12" fillId="2" borderId="55" xfId="12" applyFont="1" applyFill="1" applyBorder="1" applyAlignment="1">
      <alignment horizontal="center" vertical="center"/>
    </xf>
    <xf numFmtId="0" fontId="12" fillId="2" borderId="67" xfId="12" applyFont="1" applyFill="1" applyBorder="1" applyAlignment="1">
      <alignment horizontal="center" vertical="center"/>
    </xf>
    <xf numFmtId="0" fontId="12" fillId="2" borderId="55" xfId="12" applyFont="1" applyFill="1" applyBorder="1" applyAlignment="1">
      <alignment horizontal="distributed"/>
    </xf>
    <xf numFmtId="0" fontId="12" fillId="2" borderId="67" xfId="12" applyFont="1" applyFill="1" applyBorder="1" applyAlignment="1">
      <alignment horizontal="distributed"/>
    </xf>
    <xf numFmtId="0" fontId="14" fillId="2" borderId="55" xfId="12" applyFont="1" applyFill="1" applyBorder="1" applyAlignment="1">
      <alignment horizontal="center" vertical="center"/>
    </xf>
    <xf numFmtId="0" fontId="14" fillId="2" borderId="67" xfId="12" applyFont="1" applyFill="1" applyBorder="1" applyAlignment="1">
      <alignment horizontal="center" vertical="center"/>
    </xf>
    <xf numFmtId="0" fontId="12" fillId="2" borderId="18" xfId="12" applyFont="1" applyFill="1" applyBorder="1" applyAlignment="1">
      <alignment horizontal="center"/>
    </xf>
    <xf numFmtId="0" fontId="12" fillId="2" borderId="19" xfId="12" applyFont="1" applyFill="1" applyBorder="1" applyAlignment="1">
      <alignment horizontal="center"/>
    </xf>
    <xf numFmtId="0" fontId="12" fillId="2" borderId="20" xfId="12" applyFont="1" applyFill="1" applyBorder="1" applyAlignment="1">
      <alignment horizontal="center"/>
    </xf>
    <xf numFmtId="0" fontId="20" fillId="2" borderId="9" xfId="12" applyNumberFormat="1" applyFont="1" applyFill="1" applyBorder="1" applyAlignment="1">
      <alignment horizontal="center"/>
    </xf>
    <xf numFmtId="0" fontId="20" fillId="2" borderId="10" xfId="12" applyNumberFormat="1" applyFont="1" applyFill="1" applyBorder="1" applyAlignment="1">
      <alignment horizontal="center"/>
    </xf>
    <xf numFmtId="0" fontId="20" fillId="2" borderId="17" xfId="12" applyNumberFormat="1" applyFont="1" applyFill="1" applyBorder="1" applyAlignment="1">
      <alignment horizontal="center"/>
    </xf>
    <xf numFmtId="0" fontId="20" fillId="0" borderId="0" xfId="12" applyFont="1" applyAlignment="1">
      <alignment horizontal="center"/>
    </xf>
    <xf numFmtId="0" fontId="12" fillId="0" borderId="0" xfId="12" applyFont="1" applyAlignment="1">
      <alignment horizontal="center"/>
    </xf>
    <xf numFmtId="14" fontId="24" fillId="0" borderId="18" xfId="12" applyNumberFormat="1" applyFont="1" applyBorder="1" applyAlignment="1">
      <alignment horizontal="left" vertical="center" wrapText="1"/>
    </xf>
    <xf numFmtId="14" fontId="24" fillId="0" borderId="19" xfId="12" applyNumberFormat="1" applyFont="1" applyBorder="1" applyAlignment="1">
      <alignment horizontal="left" vertical="center" wrapText="1"/>
    </xf>
    <xf numFmtId="14" fontId="24" fillId="0" borderId="20" xfId="12" applyNumberFormat="1" applyFont="1" applyBorder="1" applyAlignment="1">
      <alignment horizontal="left" vertical="center" wrapText="1"/>
    </xf>
    <xf numFmtId="14" fontId="10" fillId="0" borderId="0" xfId="12" applyNumberFormat="1" applyFont="1" applyAlignment="1">
      <alignment horizontal="right" vertical="top"/>
    </xf>
    <xf numFmtId="0" fontId="12" fillId="2" borderId="33" xfId="12" applyFont="1" applyFill="1" applyBorder="1" applyAlignment="1">
      <alignment horizontal="center" vertical="center"/>
    </xf>
    <xf numFmtId="0" fontId="14" fillId="2" borderId="33" xfId="12" applyFont="1" applyFill="1" applyBorder="1" applyAlignment="1">
      <alignment horizontal="center" vertical="center"/>
    </xf>
    <xf numFmtId="0" fontId="12" fillId="2" borderId="48" xfId="12" applyFont="1" applyFill="1" applyBorder="1" applyAlignment="1">
      <alignment horizontal="center" vertical="center"/>
    </xf>
    <xf numFmtId="0" fontId="12" fillId="2" borderId="52" xfId="12" applyFont="1" applyFill="1" applyBorder="1" applyAlignment="1">
      <alignment horizontal="center" vertical="center"/>
    </xf>
    <xf numFmtId="0" fontId="12" fillId="2" borderId="65" xfId="12" applyFont="1" applyFill="1" applyBorder="1" applyAlignment="1">
      <alignment horizontal="center" vertical="center"/>
    </xf>
    <xf numFmtId="0" fontId="12" fillId="2" borderId="49" xfId="12" applyFont="1" applyFill="1" applyBorder="1" applyAlignment="1">
      <alignment horizontal="center" vertical="center"/>
    </xf>
    <xf numFmtId="0" fontId="12" fillId="2" borderId="50" xfId="12" applyFont="1" applyFill="1" applyBorder="1" applyAlignment="1">
      <alignment horizontal="center" vertical="center"/>
    </xf>
    <xf numFmtId="0" fontId="12" fillId="2" borderId="51" xfId="12" applyFont="1" applyFill="1" applyBorder="1" applyAlignment="1">
      <alignment horizontal="center" vertical="center"/>
    </xf>
    <xf numFmtId="0" fontId="12" fillId="2" borderId="55" xfId="12" applyFont="1" applyFill="1" applyBorder="1" applyAlignment="1">
      <alignment horizontal="distributed" vertical="center"/>
    </xf>
    <xf numFmtId="0" fontId="12" fillId="2" borderId="67" xfId="12" applyFont="1" applyFill="1" applyBorder="1" applyAlignment="1">
      <alignment horizontal="distributed" vertical="center"/>
    </xf>
    <xf numFmtId="0" fontId="13" fillId="0" borderId="53" xfId="0" applyFont="1" applyBorder="1" applyAlignment="1">
      <alignment horizontal="center"/>
    </xf>
    <xf numFmtId="43" fontId="20" fillId="23" borderId="101" xfId="42" applyFont="1" applyFill="1" applyBorder="1" applyAlignment="1">
      <alignment horizontal="center" vertical="center" wrapText="1"/>
    </xf>
    <xf numFmtId="175" fontId="20" fillId="23" borderId="102" xfId="42" applyNumberFormat="1" applyFont="1" applyFill="1" applyBorder="1" applyAlignment="1">
      <alignment horizontal="center" vertical="center" wrapText="1"/>
    </xf>
    <xf numFmtId="175" fontId="20" fillId="23" borderId="107" xfId="42" applyNumberFormat="1" applyFont="1" applyFill="1" applyBorder="1" applyAlignment="1">
      <alignment horizontal="center" vertical="center" wrapText="1"/>
    </xf>
    <xf numFmtId="175" fontId="20" fillId="23" borderId="117" xfId="42" applyNumberFormat="1" applyFont="1" applyFill="1" applyBorder="1" applyAlignment="1">
      <alignment horizontal="center" vertical="center" wrapText="1"/>
    </xf>
    <xf numFmtId="175" fontId="20" fillId="23" borderId="103" xfId="42" applyNumberFormat="1" applyFont="1" applyFill="1" applyBorder="1" applyAlignment="1">
      <alignment horizontal="center" vertical="center" wrapText="1"/>
    </xf>
    <xf numFmtId="175" fontId="20" fillId="23" borderId="108" xfId="42" applyNumberFormat="1" applyFont="1" applyFill="1" applyBorder="1" applyAlignment="1">
      <alignment horizontal="center" vertical="center" wrapText="1"/>
    </xf>
    <xf numFmtId="175" fontId="20" fillId="23" borderId="118" xfId="42" applyNumberFormat="1" applyFont="1" applyFill="1" applyBorder="1" applyAlignment="1">
      <alignment horizontal="center" vertical="center" wrapText="1"/>
    </xf>
    <xf numFmtId="0" fontId="107" fillId="23" borderId="5" xfId="55" applyFont="1" applyFill="1" applyBorder="1" applyAlignment="1">
      <alignment horizontal="center" vertical="center"/>
    </xf>
    <xf numFmtId="0" fontId="10" fillId="0" borderId="28" xfId="55" applyNumberFormat="1" applyFont="1" applyBorder="1" applyAlignment="1">
      <alignment horizontal="left" vertical="center" wrapText="1"/>
    </xf>
    <xf numFmtId="0" fontId="10" fillId="0" borderId="29" xfId="55" applyNumberFormat="1" applyFont="1" applyBorder="1" applyAlignment="1">
      <alignment horizontal="left" vertical="center" wrapText="1"/>
    </xf>
    <xf numFmtId="0" fontId="10" fillId="0" borderId="0" xfId="55" applyNumberFormat="1" applyFont="1" applyBorder="1" applyAlignment="1">
      <alignment horizontal="left" vertical="center" wrapText="1"/>
    </xf>
    <xf numFmtId="0" fontId="10" fillId="0" borderId="78" xfId="55" applyNumberFormat="1" applyFont="1" applyBorder="1" applyAlignment="1">
      <alignment horizontal="left" vertical="center" wrapText="1"/>
    </xf>
    <xf numFmtId="0" fontId="13" fillId="0" borderId="81" xfId="55" applyBorder="1" applyAlignment="1">
      <alignment horizontal="center"/>
    </xf>
    <xf numFmtId="0" fontId="13" fillId="0" borderId="50" xfId="55" applyBorder="1" applyAlignment="1">
      <alignment horizontal="center"/>
    </xf>
    <xf numFmtId="0" fontId="13" fillId="0" borderId="80" xfId="55" applyBorder="1" applyAlignment="1">
      <alignment horizontal="center"/>
    </xf>
    <xf numFmtId="0" fontId="20" fillId="23" borderId="121" xfId="56" applyFont="1" applyFill="1" applyBorder="1" applyAlignment="1">
      <alignment horizontal="center" vertical="center" wrapText="1"/>
    </xf>
    <xf numFmtId="0" fontId="20" fillId="23" borderId="122" xfId="56" applyFont="1" applyFill="1" applyBorder="1" applyAlignment="1">
      <alignment horizontal="center" vertical="center" wrapText="1"/>
    </xf>
    <xf numFmtId="0" fontId="20" fillId="23" borderId="123" xfId="56" applyFont="1" applyFill="1" applyBorder="1" applyAlignment="1">
      <alignment horizontal="center" vertical="center" wrapText="1"/>
    </xf>
    <xf numFmtId="0" fontId="20" fillId="23" borderId="99" xfId="56" applyFont="1" applyFill="1" applyBorder="1" applyAlignment="1">
      <alignment horizontal="left" vertical="center" wrapText="1"/>
    </xf>
    <xf numFmtId="0" fontId="20" fillId="23" borderId="104" xfId="56" applyFont="1" applyFill="1" applyBorder="1" applyAlignment="1">
      <alignment horizontal="left" vertical="center" wrapText="1"/>
    </xf>
    <xf numFmtId="0" fontId="20" fillId="23" borderId="114" xfId="56" applyFont="1" applyFill="1" applyBorder="1" applyAlignment="1">
      <alignment horizontal="left" vertical="center" wrapText="1"/>
    </xf>
    <xf numFmtId="0" fontId="20" fillId="23" borderId="100" xfId="56" applyFont="1" applyFill="1" applyBorder="1" applyAlignment="1">
      <alignment horizontal="center" vertical="center" wrapText="1"/>
    </xf>
    <xf numFmtId="0" fontId="20" fillId="23" borderId="105" xfId="56" applyFont="1" applyFill="1" applyBorder="1" applyAlignment="1">
      <alignment horizontal="center" vertical="center" wrapText="1"/>
    </xf>
    <xf numFmtId="0" fontId="20" fillId="23" borderId="115" xfId="56" applyFont="1" applyFill="1" applyBorder="1" applyAlignment="1">
      <alignment horizontal="center" vertical="center" wrapText="1"/>
    </xf>
    <xf numFmtId="0" fontId="20" fillId="23" borderId="101" xfId="56" applyFont="1" applyFill="1" applyBorder="1" applyAlignment="1">
      <alignment horizontal="center" vertical="center" wrapText="1"/>
    </xf>
    <xf numFmtId="0" fontId="20" fillId="23" borderId="106" xfId="56" applyFont="1" applyFill="1" applyBorder="1" applyAlignment="1">
      <alignment horizontal="center" vertical="center" wrapText="1"/>
    </xf>
    <xf numFmtId="0" fontId="20" fillId="23" borderId="116" xfId="56" applyFont="1" applyFill="1" applyBorder="1" applyAlignment="1">
      <alignment horizontal="center" vertical="center" wrapText="1"/>
    </xf>
    <xf numFmtId="43" fontId="20" fillId="23" borderId="106" xfId="42" applyFont="1" applyFill="1" applyBorder="1" applyAlignment="1">
      <alignment horizontal="center" vertical="center" wrapText="1"/>
    </xf>
    <xf numFmtId="43" fontId="20" fillId="23" borderId="116" xfId="42" applyFont="1" applyFill="1" applyBorder="1" applyAlignment="1">
      <alignment horizontal="center" vertical="center" wrapText="1"/>
    </xf>
    <xf numFmtId="2" fontId="10" fillId="0" borderId="135" xfId="0" applyNumberFormat="1" applyFont="1" applyFill="1" applyBorder="1" applyAlignment="1">
      <alignment horizontal="center" vertical="center"/>
    </xf>
    <xf numFmtId="2" fontId="10" fillId="0" borderId="69" xfId="0" applyNumberFormat="1" applyFont="1" applyFill="1" applyBorder="1" applyAlignment="1">
      <alignment horizontal="center" vertical="center"/>
    </xf>
    <xf numFmtId="2" fontId="10" fillId="0" borderId="94" xfId="0" applyNumberFormat="1" applyFont="1" applyFill="1" applyBorder="1" applyAlignment="1">
      <alignment horizontal="center" vertical="center"/>
    </xf>
    <xf numFmtId="0" fontId="109" fillId="0" borderId="48" xfId="12" applyFont="1" applyBorder="1" applyAlignment="1">
      <alignment horizontal="center" vertical="center"/>
    </xf>
    <xf numFmtId="0" fontId="109" fillId="0" borderId="52" xfId="12" applyFont="1" applyBorder="1" applyAlignment="1">
      <alignment horizontal="center" vertical="center"/>
    </xf>
    <xf numFmtId="0" fontId="109" fillId="0" borderId="65" xfId="12" applyFont="1" applyBorder="1" applyAlignment="1">
      <alignment horizontal="center" vertical="center"/>
    </xf>
    <xf numFmtId="0" fontId="112" fillId="0" borderId="0" xfId="12" applyFont="1" applyBorder="1" applyAlignment="1">
      <alignment horizontal="center" vertical="top" wrapText="1"/>
    </xf>
    <xf numFmtId="0" fontId="112" fillId="0" borderId="22" xfId="12" applyFont="1" applyBorder="1" applyAlignment="1">
      <alignment horizontal="center" vertical="top" wrapText="1"/>
    </xf>
    <xf numFmtId="0" fontId="114" fillId="0" borderId="4" xfId="12" applyFont="1" applyBorder="1" applyAlignment="1">
      <alignment horizontal="center" vertical="center"/>
    </xf>
    <xf numFmtId="0" fontId="114" fillId="0" borderId="5" xfId="12" applyFont="1" applyBorder="1" applyAlignment="1">
      <alignment horizontal="center" vertical="center"/>
    </xf>
    <xf numFmtId="0" fontId="114" fillId="0" borderId="6" xfId="12" applyFont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1" fillId="0" borderId="6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1" fillId="0" borderId="20" xfId="0" applyFont="1" applyBorder="1" applyAlignment="1">
      <alignment horizontal="center"/>
    </xf>
    <xf numFmtId="2" fontId="11" fillId="0" borderId="55" xfId="0" applyNumberFormat="1" applyFont="1" applyFill="1" applyBorder="1" applyAlignment="1">
      <alignment horizontal="center" vertical="center"/>
    </xf>
    <xf numFmtId="2" fontId="11" fillId="0" borderId="67" xfId="0" applyNumberFormat="1" applyFont="1" applyFill="1" applyBorder="1" applyAlignment="1">
      <alignment horizontal="center" vertical="center"/>
    </xf>
    <xf numFmtId="2" fontId="11" fillId="0" borderId="55" xfId="0" applyNumberFormat="1" applyFont="1" applyBorder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4" fontId="11" fillId="0" borderId="55" xfId="0" applyNumberFormat="1" applyFont="1" applyBorder="1" applyAlignment="1">
      <alignment horizontal="center" vertical="center"/>
    </xf>
    <xf numFmtId="4" fontId="11" fillId="0" borderId="67" xfId="0" applyNumberFormat="1" applyFont="1" applyBorder="1" applyAlignment="1">
      <alignment horizontal="center" vertical="center"/>
    </xf>
    <xf numFmtId="0" fontId="11" fillId="0" borderId="55" xfId="0" applyFont="1" applyFill="1" applyBorder="1" applyAlignment="1">
      <alignment horizontal="center" vertical="center"/>
    </xf>
    <xf numFmtId="0" fontId="11" fillId="0" borderId="67" xfId="0" applyFont="1" applyFill="1" applyBorder="1" applyAlignment="1">
      <alignment horizontal="center" vertical="center"/>
    </xf>
    <xf numFmtId="0" fontId="11" fillId="0" borderId="55" xfId="0" applyFont="1" applyFill="1" applyBorder="1" applyAlignment="1">
      <alignment horizontal="left" vertical="center"/>
    </xf>
    <xf numFmtId="0" fontId="11" fillId="0" borderId="67" xfId="0" applyFont="1" applyFill="1" applyBorder="1" applyAlignment="1">
      <alignment horizontal="left" vertical="center"/>
    </xf>
    <xf numFmtId="0" fontId="11" fillId="0" borderId="18" xfId="0" applyFont="1" applyFill="1" applyBorder="1" applyAlignment="1">
      <alignment horizontal="center"/>
    </xf>
    <xf numFmtId="0" fontId="11" fillId="0" borderId="19" xfId="0" applyFont="1" applyFill="1" applyBorder="1" applyAlignment="1">
      <alignment horizontal="center"/>
    </xf>
    <xf numFmtId="0" fontId="11" fillId="0" borderId="20" xfId="0" applyFont="1" applyFill="1" applyBorder="1" applyAlignment="1">
      <alignment horizontal="center"/>
    </xf>
    <xf numFmtId="0" fontId="11" fillId="0" borderId="55" xfId="0" applyFont="1" applyBorder="1" applyAlignment="1">
      <alignment horizontal="left" vertical="center"/>
    </xf>
    <xf numFmtId="0" fontId="11" fillId="0" borderId="67" xfId="0" applyFont="1" applyBorder="1" applyAlignment="1">
      <alignment horizontal="left" vertical="center"/>
    </xf>
    <xf numFmtId="0" fontId="11" fillId="0" borderId="139" xfId="0" applyFont="1" applyBorder="1" applyAlignment="1">
      <alignment horizontal="center" vertical="center"/>
    </xf>
    <xf numFmtId="0" fontId="11" fillId="0" borderId="139" xfId="0" applyFont="1" applyBorder="1" applyAlignment="1">
      <alignment horizontal="left" vertical="center"/>
    </xf>
    <xf numFmtId="4" fontId="11" fillId="0" borderId="139" xfId="0" applyNumberFormat="1" applyFont="1" applyBorder="1" applyAlignment="1">
      <alignment horizontal="center" vertical="center"/>
    </xf>
    <xf numFmtId="0" fontId="109" fillId="0" borderId="59" xfId="12" applyFont="1" applyBorder="1" applyAlignment="1">
      <alignment horizontal="center" vertical="center"/>
    </xf>
    <xf numFmtId="0" fontId="109" fillId="0" borderId="39" xfId="12" applyFont="1" applyBorder="1" applyAlignment="1">
      <alignment horizontal="center" vertical="center"/>
    </xf>
    <xf numFmtId="0" fontId="109" fillId="0" borderId="128" xfId="12" applyFont="1" applyBorder="1" applyAlignment="1">
      <alignment horizontal="center" vertical="center"/>
    </xf>
    <xf numFmtId="0" fontId="114" fillId="0" borderId="35" xfId="12" applyFont="1" applyBorder="1" applyAlignment="1">
      <alignment horizontal="center" vertical="center"/>
    </xf>
    <xf numFmtId="0" fontId="114" fillId="0" borderId="10" xfId="12" applyFont="1" applyBorder="1" applyAlignment="1">
      <alignment horizontal="center" vertical="center"/>
    </xf>
    <xf numFmtId="0" fontId="114" fillId="0" borderId="57" xfId="12" applyFont="1" applyBorder="1" applyAlignment="1">
      <alignment horizontal="center" vertical="center"/>
    </xf>
    <xf numFmtId="0" fontId="112" fillId="0" borderId="28" xfId="12" applyFont="1" applyBorder="1" applyAlignment="1">
      <alignment horizontal="center" vertical="top" wrapText="1"/>
    </xf>
    <xf numFmtId="0" fontId="112" fillId="0" borderId="129" xfId="12" applyFont="1" applyBorder="1" applyAlignment="1">
      <alignment horizontal="center" vertical="top" wrapText="1"/>
    </xf>
    <xf numFmtId="0" fontId="55" fillId="4" borderId="0" xfId="0" applyFont="1" applyFill="1" applyAlignment="1">
      <alignment horizontal="right"/>
    </xf>
    <xf numFmtId="0" fontId="55" fillId="4" borderId="0" xfId="0" applyFont="1" applyFill="1" applyAlignment="1">
      <alignment horizontal="center"/>
    </xf>
    <xf numFmtId="0" fontId="55" fillId="4" borderId="0" xfId="0" applyFont="1" applyFill="1" applyAlignment="1">
      <alignment horizontal="left"/>
    </xf>
    <xf numFmtId="14" fontId="55" fillId="4" borderId="0" xfId="0" applyNumberFormat="1" applyFont="1" applyFill="1" applyAlignment="1">
      <alignment horizontal="left" wrapText="1"/>
    </xf>
    <xf numFmtId="0" fontId="55" fillId="4" borderId="0" xfId="0" applyFont="1" applyFill="1" applyAlignment="1">
      <alignment horizontal="left" wrapText="1"/>
    </xf>
    <xf numFmtId="0" fontId="57" fillId="4" borderId="55" xfId="0" applyFont="1" applyFill="1" applyBorder="1" applyAlignment="1">
      <alignment horizontal="center" vertical="center"/>
    </xf>
    <xf numFmtId="0" fontId="57" fillId="4" borderId="67" xfId="0" applyFont="1" applyFill="1" applyBorder="1" applyAlignment="1">
      <alignment horizontal="center" vertical="center"/>
    </xf>
    <xf numFmtId="0" fontId="90" fillId="4" borderId="0" xfId="0" applyFont="1" applyFill="1" applyBorder="1" applyAlignment="1">
      <alignment horizontal="right"/>
    </xf>
    <xf numFmtId="14" fontId="90" fillId="4" borderId="0" xfId="0" applyNumberFormat="1" applyFont="1" applyFill="1" applyAlignment="1">
      <alignment horizontal="left"/>
    </xf>
    <xf numFmtId="0" fontId="90" fillId="4" borderId="18" xfId="0" applyFont="1" applyFill="1" applyBorder="1" applyAlignment="1">
      <alignment horizontal="center"/>
    </xf>
    <xf numFmtId="0" fontId="90" fillId="4" borderId="19" xfId="0" applyFont="1" applyFill="1" applyBorder="1" applyAlignment="1">
      <alignment horizontal="center"/>
    </xf>
    <xf numFmtId="0" fontId="90" fillId="4" borderId="20" xfId="0" applyFont="1" applyFill="1" applyBorder="1" applyAlignment="1">
      <alignment horizontal="center"/>
    </xf>
    <xf numFmtId="14" fontId="20" fillId="0" borderId="0" xfId="12" applyNumberFormat="1" applyFont="1" applyAlignment="1">
      <alignment horizontal="left" vertical="center" wrapText="1"/>
    </xf>
    <xf numFmtId="0" fontId="12" fillId="2" borderId="21" xfId="12" applyFont="1" applyFill="1" applyBorder="1" applyAlignment="1">
      <alignment horizontal="center" vertical="center"/>
    </xf>
    <xf numFmtId="0" fontId="12" fillId="2" borderId="0" xfId="12" applyFont="1" applyFill="1" applyBorder="1" applyAlignment="1">
      <alignment horizontal="center" vertical="center"/>
    </xf>
    <xf numFmtId="0" fontId="12" fillId="2" borderId="22" xfId="12" applyFont="1" applyFill="1" applyBorder="1" applyAlignment="1">
      <alignment horizontal="center" vertical="center"/>
    </xf>
    <xf numFmtId="0" fontId="12" fillId="2" borderId="53" xfId="12" applyFont="1" applyFill="1" applyBorder="1" applyAlignment="1">
      <alignment horizontal="center" vertical="center"/>
    </xf>
    <xf numFmtId="0" fontId="12" fillId="2" borderId="28" xfId="12" applyFont="1" applyFill="1" applyBorder="1" applyAlignment="1">
      <alignment horizontal="center" vertical="center"/>
    </xf>
    <xf numFmtId="0" fontId="12" fillId="2" borderId="37" xfId="12" applyFont="1" applyFill="1" applyBorder="1" applyAlignment="1">
      <alignment horizontal="center" vertical="center"/>
    </xf>
    <xf numFmtId="0" fontId="12" fillId="2" borderId="63" xfId="12" applyFont="1" applyFill="1" applyBorder="1" applyAlignment="1">
      <alignment horizontal="center" vertical="center"/>
    </xf>
    <xf numFmtId="0" fontId="12" fillId="2" borderId="37" xfId="12" applyFont="1" applyFill="1" applyBorder="1" applyAlignment="1">
      <alignment horizontal="distributed" vertical="center"/>
    </xf>
    <xf numFmtId="0" fontId="12" fillId="2" borderId="63" xfId="12" applyFont="1" applyFill="1" applyBorder="1" applyAlignment="1">
      <alignment horizontal="distributed" vertical="center"/>
    </xf>
    <xf numFmtId="0" fontId="12" fillId="0" borderId="5" xfId="12" applyNumberFormat="1" applyFont="1" applyFill="1" applyBorder="1" applyAlignment="1">
      <alignment horizontal="center"/>
    </xf>
    <xf numFmtId="0" fontId="20" fillId="0" borderId="5" xfId="12" applyNumberFormat="1" applyFont="1" applyFill="1" applyBorder="1" applyAlignment="1">
      <alignment horizontal="center"/>
    </xf>
    <xf numFmtId="0" fontId="20" fillId="2" borderId="18" xfId="12" applyNumberFormat="1" applyFont="1" applyFill="1" applyBorder="1" applyAlignment="1">
      <alignment horizontal="center"/>
    </xf>
    <xf numFmtId="0" fontId="20" fillId="2" borderId="19" xfId="12" applyNumberFormat="1" applyFont="1" applyFill="1" applyBorder="1" applyAlignment="1">
      <alignment horizontal="center"/>
    </xf>
    <xf numFmtId="0" fontId="20" fillId="2" borderId="20" xfId="12" applyNumberFormat="1" applyFont="1" applyFill="1" applyBorder="1" applyAlignment="1">
      <alignment horizontal="center"/>
    </xf>
    <xf numFmtId="0" fontId="12" fillId="2" borderId="0" xfId="12" applyFont="1" applyFill="1" applyBorder="1" applyAlignment="1">
      <alignment horizontal="distributed"/>
    </xf>
    <xf numFmtId="0" fontId="103" fillId="15" borderId="0" xfId="0" applyFont="1" applyFill="1" applyAlignment="1">
      <alignment horizontal="center"/>
    </xf>
    <xf numFmtId="0" fontId="102" fillId="15" borderId="0" xfId="0" applyFont="1" applyFill="1" applyAlignment="1">
      <alignment horizontal="center"/>
    </xf>
    <xf numFmtId="0" fontId="90" fillId="4" borderId="50" xfId="0" applyFont="1" applyFill="1" applyBorder="1" applyAlignment="1">
      <alignment horizontal="center"/>
    </xf>
    <xf numFmtId="14" fontId="24" fillId="0" borderId="0" xfId="12" applyNumberFormat="1" applyFont="1" applyAlignment="1">
      <alignment horizontal="left" vertical="center" wrapText="1"/>
    </xf>
    <xf numFmtId="0" fontId="20" fillId="5" borderId="70" xfId="12" applyFont="1" applyFill="1" applyBorder="1" applyAlignment="1">
      <alignment horizontal="center" vertical="center"/>
    </xf>
    <xf numFmtId="0" fontId="20" fillId="5" borderId="83" xfId="12" applyFont="1" applyFill="1" applyBorder="1" applyAlignment="1">
      <alignment horizontal="center" vertical="center"/>
    </xf>
    <xf numFmtId="0" fontId="20" fillId="5" borderId="64" xfId="12" applyFont="1" applyFill="1" applyBorder="1" applyAlignment="1">
      <alignment horizontal="center" vertical="center"/>
    </xf>
    <xf numFmtId="0" fontId="20" fillId="5" borderId="75" xfId="12" applyFont="1" applyFill="1" applyBorder="1" applyAlignment="1">
      <alignment horizontal="center" vertical="center"/>
    </xf>
    <xf numFmtId="0" fontId="20" fillId="5" borderId="72" xfId="12" applyFont="1" applyFill="1" applyBorder="1" applyAlignment="1">
      <alignment horizontal="center" vertical="center"/>
    </xf>
    <xf numFmtId="0" fontId="20" fillId="5" borderId="42" xfId="12" applyFont="1" applyFill="1" applyBorder="1" applyAlignment="1">
      <alignment horizontal="center" vertical="center"/>
    </xf>
    <xf numFmtId="0" fontId="20" fillId="5" borderId="78" xfId="12" applyFont="1" applyFill="1" applyBorder="1" applyAlignment="1">
      <alignment horizontal="center" vertical="center"/>
    </xf>
    <xf numFmtId="0" fontId="20" fillId="5" borderId="81" xfId="12" applyFont="1" applyFill="1" applyBorder="1" applyAlignment="1">
      <alignment horizontal="center" vertical="center"/>
    </xf>
    <xf numFmtId="0" fontId="20" fillId="5" borderId="80" xfId="12" applyFont="1" applyFill="1" applyBorder="1" applyAlignment="1">
      <alignment horizontal="center" vertical="center"/>
    </xf>
    <xf numFmtId="0" fontId="20" fillId="5" borderId="71" xfId="12" applyFont="1" applyFill="1" applyBorder="1" applyAlignment="1">
      <alignment horizontal="center" vertical="center"/>
    </xf>
    <xf numFmtId="0" fontId="20" fillId="5" borderId="11" xfId="12" applyFont="1" applyFill="1" applyBorder="1" applyAlignment="1">
      <alignment horizontal="center" vertical="center"/>
    </xf>
    <xf numFmtId="0" fontId="20" fillId="5" borderId="66" xfId="12" applyFont="1" applyFill="1" applyBorder="1" applyAlignment="1">
      <alignment horizontal="center" vertical="center"/>
    </xf>
    <xf numFmtId="0" fontId="20" fillId="5" borderId="56" xfId="12" applyFont="1" applyFill="1" applyBorder="1" applyAlignment="1">
      <alignment horizontal="center"/>
    </xf>
    <xf numFmtId="0" fontId="20" fillId="5" borderId="39" xfId="12" applyFont="1" applyFill="1" applyBorder="1" applyAlignment="1">
      <alignment horizontal="center"/>
    </xf>
    <xf numFmtId="0" fontId="20" fillId="5" borderId="60" xfId="12" applyFont="1" applyFill="1" applyBorder="1" applyAlignment="1">
      <alignment horizontal="center"/>
    </xf>
    <xf numFmtId="0" fontId="20" fillId="5" borderId="65" xfId="12" applyFont="1" applyFill="1" applyBorder="1" applyAlignment="1">
      <alignment horizontal="center" vertical="center"/>
    </xf>
    <xf numFmtId="0" fontId="20" fillId="5" borderId="45" xfId="12" applyFont="1" applyFill="1" applyBorder="1" applyAlignment="1">
      <alignment horizontal="center" vertical="center"/>
    </xf>
    <xf numFmtId="0" fontId="20" fillId="5" borderId="82" xfId="12" applyFont="1" applyFill="1" applyBorder="1" applyAlignment="1">
      <alignment horizontal="center" vertical="center"/>
    </xf>
    <xf numFmtId="0" fontId="20" fillId="5" borderId="9" xfId="12" applyFont="1" applyFill="1" applyBorder="1" applyAlignment="1">
      <alignment horizontal="center"/>
    </xf>
    <xf numFmtId="0" fontId="20" fillId="5" borderId="17" xfId="12" applyFont="1" applyFill="1" applyBorder="1" applyAlignment="1">
      <alignment horizontal="center"/>
    </xf>
    <xf numFmtId="0" fontId="20" fillId="5" borderId="25" xfId="12" applyFont="1" applyFill="1" applyBorder="1" applyAlignment="1">
      <alignment horizontal="center" vertical="center" wrapText="1"/>
    </xf>
    <xf numFmtId="0" fontId="20" fillId="5" borderId="66" xfId="12" applyFont="1" applyFill="1" applyBorder="1" applyAlignment="1">
      <alignment horizontal="center" vertical="center" wrapText="1"/>
    </xf>
    <xf numFmtId="0" fontId="20" fillId="5" borderId="25" xfId="12" applyFont="1" applyFill="1" applyBorder="1" applyAlignment="1">
      <alignment horizontal="center" vertical="center"/>
    </xf>
    <xf numFmtId="0" fontId="20" fillId="5" borderId="44" xfId="12" applyFont="1" applyFill="1" applyBorder="1" applyAlignment="1">
      <alignment horizontal="center" vertical="center"/>
    </xf>
    <xf numFmtId="0" fontId="20" fillId="5" borderId="68" xfId="12" applyFont="1" applyFill="1" applyBorder="1" applyAlignment="1">
      <alignment horizontal="center" vertical="center"/>
    </xf>
    <xf numFmtId="0" fontId="40" fillId="0" borderId="70" xfId="12" applyFont="1" applyFill="1" applyBorder="1" applyAlignment="1">
      <alignment horizontal="center" vertical="center"/>
    </xf>
    <xf numFmtId="0" fontId="40" fillId="0" borderId="46" xfId="12" applyFont="1" applyFill="1" applyBorder="1" applyAlignment="1">
      <alignment horizontal="center" vertical="center"/>
    </xf>
    <xf numFmtId="49" fontId="40" fillId="0" borderId="75" xfId="12" applyNumberFormat="1" applyFont="1" applyFill="1" applyBorder="1" applyAlignment="1">
      <alignment horizontal="left" vertical="center" wrapText="1"/>
    </xf>
    <xf numFmtId="49" fontId="40" fillId="0" borderId="72" xfId="12" applyNumberFormat="1" applyFont="1" applyFill="1" applyBorder="1" applyAlignment="1">
      <alignment horizontal="left" vertical="center" wrapText="1"/>
    </xf>
    <xf numFmtId="49" fontId="40" fillId="0" borderId="45" xfId="12" applyNumberFormat="1" applyFont="1" applyFill="1" applyBorder="1" applyAlignment="1">
      <alignment horizontal="left" vertical="center" wrapText="1"/>
    </xf>
    <xf numFmtId="49" fontId="40" fillId="0" borderId="54" xfId="12" applyNumberFormat="1" applyFont="1" applyFill="1" applyBorder="1" applyAlignment="1">
      <alignment horizontal="left" vertical="center" wrapText="1"/>
    </xf>
    <xf numFmtId="4" fontId="40" fillId="0" borderId="71" xfId="12" applyNumberFormat="1" applyFont="1" applyFill="1" applyBorder="1" applyAlignment="1">
      <alignment horizontal="center" vertical="center"/>
    </xf>
    <xf numFmtId="4" fontId="40" fillId="0" borderId="13" xfId="12" applyNumberFormat="1" applyFont="1" applyFill="1" applyBorder="1" applyAlignment="1">
      <alignment horizontal="center" vertical="center"/>
    </xf>
    <xf numFmtId="10" fontId="40" fillId="0" borderId="71" xfId="29" applyNumberFormat="1" applyFont="1" applyFill="1" applyBorder="1" applyAlignment="1">
      <alignment horizontal="center" vertical="center"/>
    </xf>
    <xf numFmtId="10" fontId="40" fillId="0" borderId="13" xfId="29" applyNumberFormat="1" applyFont="1" applyFill="1" applyBorder="1" applyAlignment="1">
      <alignment horizontal="center" vertical="center"/>
    </xf>
    <xf numFmtId="10" fontId="13" fillId="0" borderId="74" xfId="29" applyNumberFormat="1" applyFont="1" applyFill="1" applyBorder="1" applyAlignment="1">
      <alignment horizontal="center" vertical="center"/>
    </xf>
    <xf numFmtId="10" fontId="13" fillId="0" borderId="47" xfId="29" applyNumberFormat="1" applyFont="1" applyFill="1" applyBorder="1" applyAlignment="1">
      <alignment horizontal="center" vertical="center"/>
    </xf>
    <xf numFmtId="0" fontId="20" fillId="0" borderId="36" xfId="12" applyNumberFormat="1" applyFont="1" applyBorder="1" applyAlignment="1">
      <alignment horizontal="left"/>
    </xf>
    <xf numFmtId="0" fontId="20" fillId="0" borderId="40" xfId="12" applyNumberFormat="1" applyFont="1" applyBorder="1" applyAlignment="1">
      <alignment horizontal="left"/>
    </xf>
    <xf numFmtId="0" fontId="20" fillId="0" borderId="61" xfId="12" applyNumberFormat="1" applyFont="1" applyBorder="1" applyAlignment="1">
      <alignment horizontal="left"/>
    </xf>
    <xf numFmtId="0" fontId="20" fillId="0" borderId="18" xfId="12" applyNumberFormat="1" applyFont="1" applyBorder="1" applyAlignment="1">
      <alignment horizontal="left"/>
    </xf>
    <xf numFmtId="0" fontId="20" fillId="0" borderId="19" xfId="12" applyNumberFormat="1" applyFont="1" applyBorder="1" applyAlignment="1">
      <alignment horizontal="left"/>
    </xf>
    <xf numFmtId="0" fontId="20" fillId="0" borderId="79" xfId="12" applyNumberFormat="1" applyFont="1" applyBorder="1" applyAlignment="1">
      <alignment horizontal="left"/>
    </xf>
    <xf numFmtId="10" fontId="20" fillId="5" borderId="18" xfId="12" applyNumberFormat="1" applyFont="1" applyFill="1" applyBorder="1" applyAlignment="1">
      <alignment horizontal="center"/>
    </xf>
    <xf numFmtId="10" fontId="20" fillId="5" borderId="20" xfId="12" applyNumberFormat="1" applyFont="1" applyFill="1" applyBorder="1" applyAlignment="1">
      <alignment horizontal="center"/>
    </xf>
    <xf numFmtId="0" fontId="20" fillId="5" borderId="18" xfId="12" applyNumberFormat="1" applyFont="1" applyFill="1" applyBorder="1" applyAlignment="1">
      <alignment horizontal="left"/>
    </xf>
    <xf numFmtId="0" fontId="20" fillId="5" borderId="19" xfId="12" applyNumberFormat="1" applyFont="1" applyFill="1" applyBorder="1" applyAlignment="1">
      <alignment horizontal="left"/>
    </xf>
    <xf numFmtId="0" fontId="20" fillId="5" borderId="20" xfId="12" applyNumberFormat="1" applyFont="1" applyFill="1" applyBorder="1" applyAlignment="1">
      <alignment horizontal="left"/>
    </xf>
    <xf numFmtId="0" fontId="46" fillId="0" borderId="50" xfId="12" applyFont="1" applyBorder="1" applyAlignment="1">
      <alignment horizontal="center"/>
    </xf>
    <xf numFmtId="0" fontId="40" fillId="0" borderId="56" xfId="12" applyFont="1" applyFill="1" applyBorder="1" applyAlignment="1">
      <alignment horizontal="left" vertical="center"/>
    </xf>
    <xf numFmtId="0" fontId="40" fillId="0" borderId="60" xfId="12" applyFont="1" applyFill="1" applyBorder="1" applyAlignment="1">
      <alignment horizontal="left" vertical="center"/>
    </xf>
    <xf numFmtId="0" fontId="40" fillId="0" borderId="9" xfId="12" applyFont="1" applyFill="1" applyBorder="1" applyAlignment="1">
      <alignment horizontal="left" vertical="center"/>
    </xf>
    <xf numFmtId="0" fontId="40" fillId="0" borderId="17" xfId="12" applyFont="1" applyFill="1" applyBorder="1" applyAlignment="1">
      <alignment horizontal="left" vertical="center"/>
    </xf>
    <xf numFmtId="0" fontId="40" fillId="0" borderId="62" xfId="12" applyFont="1" applyFill="1" applyBorder="1" applyAlignment="1">
      <alignment horizontal="left" vertical="center"/>
    </xf>
    <xf numFmtId="0" fontId="40" fillId="0" borderId="61" xfId="12" applyFont="1" applyFill="1" applyBorder="1" applyAlignment="1">
      <alignment horizontal="left" vertical="center"/>
    </xf>
    <xf numFmtId="2" fontId="25" fillId="0" borderId="0" xfId="23" applyNumberFormat="1" applyFont="1" applyFill="1" applyBorder="1" applyAlignment="1">
      <alignment horizontal="center"/>
    </xf>
    <xf numFmtId="2" fontId="11" fillId="0" borderId="0" xfId="23" applyNumberFormat="1" applyFont="1" applyFill="1" applyBorder="1" applyAlignment="1">
      <alignment horizontal="center"/>
    </xf>
    <xf numFmtId="2" fontId="11" fillId="5" borderId="1" xfId="23" applyNumberFormat="1" applyFont="1" applyFill="1" applyBorder="1" applyAlignment="1">
      <alignment horizontal="center" vertical="center" wrapText="1"/>
    </xf>
    <xf numFmtId="2" fontId="11" fillId="5" borderId="7" xfId="23" applyNumberFormat="1" applyFont="1" applyFill="1" applyBorder="1" applyAlignment="1">
      <alignment horizontal="center" vertical="center" wrapText="1"/>
    </xf>
    <xf numFmtId="2" fontId="11" fillId="5" borderId="2" xfId="23" applyNumberFormat="1" applyFont="1" applyFill="1" applyBorder="1" applyAlignment="1">
      <alignment horizontal="center" vertical="center" wrapText="1"/>
    </xf>
    <xf numFmtId="2" fontId="11" fillId="5" borderId="8" xfId="23" applyNumberFormat="1" applyFont="1" applyFill="1" applyBorder="1" applyAlignment="1">
      <alignment horizontal="center" vertical="center" wrapText="1"/>
    </xf>
    <xf numFmtId="2" fontId="11" fillId="5" borderId="2" xfId="23" applyNumberFormat="1" applyFont="1" applyFill="1" applyBorder="1" applyAlignment="1">
      <alignment horizontal="center"/>
    </xf>
    <xf numFmtId="2" fontId="11" fillId="5" borderId="74" xfId="23" applyNumberFormat="1" applyFont="1" applyFill="1" applyBorder="1" applyAlignment="1">
      <alignment horizontal="center" vertical="center"/>
    </xf>
    <xf numFmtId="2" fontId="11" fillId="5" borderId="68" xfId="23" applyNumberFormat="1" applyFont="1" applyFill="1" applyBorder="1" applyAlignment="1">
      <alignment horizontal="center" vertical="center"/>
    </xf>
    <xf numFmtId="4" fontId="13" fillId="0" borderId="5" xfId="0" applyNumberFormat="1" applyFont="1" applyFill="1" applyBorder="1" applyAlignment="1">
      <alignment horizontal="center"/>
    </xf>
    <xf numFmtId="166" fontId="76" fillId="4" borderId="56" xfId="38" applyNumberFormat="1" applyFont="1" applyFill="1" applyBorder="1" applyAlignment="1">
      <alignment horizontal="right"/>
    </xf>
    <xf numFmtId="166" fontId="76" fillId="4" borderId="60" xfId="38" applyNumberFormat="1" applyFont="1" applyFill="1" applyBorder="1" applyAlignment="1">
      <alignment horizontal="right"/>
    </xf>
    <xf numFmtId="166" fontId="77" fillId="4" borderId="9" xfId="38" applyNumberFormat="1" applyFont="1" applyFill="1" applyBorder="1" applyAlignment="1">
      <alignment horizontal="right"/>
    </xf>
    <xf numFmtId="0" fontId="77" fillId="4" borderId="17" xfId="38" applyFont="1" applyFill="1" applyBorder="1" applyAlignment="1">
      <alignment horizontal="right"/>
    </xf>
    <xf numFmtId="172" fontId="84" fillId="8" borderId="55" xfId="38" applyNumberFormat="1" applyFont="1" applyFill="1" applyBorder="1" applyAlignment="1">
      <alignment horizontal="center" vertical="center" wrapText="1"/>
    </xf>
    <xf numFmtId="0" fontId="72" fillId="0" borderId="33" xfId="38" applyBorder="1" applyAlignment="1">
      <alignment horizontal="center" vertical="center" wrapText="1"/>
    </xf>
    <xf numFmtId="0" fontId="83" fillId="8" borderId="16" xfId="38" applyFont="1" applyFill="1" applyBorder="1" applyAlignment="1">
      <alignment horizontal="center" vertical="center" wrapText="1"/>
    </xf>
    <xf numFmtId="0" fontId="83" fillId="8" borderId="55" xfId="38" applyFont="1" applyFill="1" applyBorder="1" applyAlignment="1">
      <alignment horizontal="center" vertical="center" wrapText="1"/>
    </xf>
    <xf numFmtId="173" fontId="86" fillId="0" borderId="0" xfId="38" applyNumberFormat="1" applyFont="1" applyFill="1" applyAlignment="1" applyProtection="1">
      <alignment horizontal="center" vertical="center"/>
    </xf>
    <xf numFmtId="172" fontId="84" fillId="8" borderId="18" xfId="38" applyNumberFormat="1" applyFont="1" applyFill="1" applyBorder="1" applyAlignment="1">
      <alignment horizontal="center" vertical="center" wrapText="1"/>
    </xf>
    <xf numFmtId="172" fontId="84" fillId="8" borderId="19" xfId="38" applyNumberFormat="1" applyFont="1" applyFill="1" applyBorder="1" applyAlignment="1">
      <alignment horizontal="center" vertical="center" wrapText="1"/>
    </xf>
    <xf numFmtId="166" fontId="77" fillId="4" borderId="17" xfId="38" applyNumberFormat="1" applyFont="1" applyFill="1" applyBorder="1" applyAlignment="1">
      <alignment horizontal="right"/>
    </xf>
    <xf numFmtId="166" fontId="77" fillId="0" borderId="9" xfId="38" applyNumberFormat="1" applyFont="1" applyBorder="1" applyAlignment="1">
      <alignment horizontal="right"/>
    </xf>
    <xf numFmtId="166" fontId="77" fillId="0" borderId="17" xfId="38" applyNumberFormat="1" applyFont="1" applyBorder="1" applyAlignment="1">
      <alignment horizontal="right"/>
    </xf>
    <xf numFmtId="166" fontId="76" fillId="0" borderId="9" xfId="38" applyNumberFormat="1" applyFont="1" applyBorder="1" applyAlignment="1">
      <alignment horizontal="right"/>
    </xf>
    <xf numFmtId="0" fontId="76" fillId="0" borderId="17" xfId="38" applyFont="1" applyBorder="1" applyAlignment="1">
      <alignment horizontal="right"/>
    </xf>
    <xf numFmtId="10" fontId="79" fillId="4" borderId="9" xfId="38" applyNumberFormat="1" applyFont="1" applyFill="1" applyBorder="1" applyAlignment="1">
      <alignment horizontal="center"/>
    </xf>
    <xf numFmtId="0" fontId="79" fillId="4" borderId="17" xfId="38" applyFont="1" applyFill="1" applyBorder="1" applyAlignment="1">
      <alignment horizontal="center"/>
    </xf>
    <xf numFmtId="10" fontId="79" fillId="4" borderId="62" xfId="38" applyNumberFormat="1" applyFont="1" applyFill="1" applyBorder="1" applyAlignment="1">
      <alignment horizontal="center"/>
    </xf>
    <xf numFmtId="0" fontId="79" fillId="4" borderId="61" xfId="38" applyFont="1" applyFill="1" applyBorder="1" applyAlignment="1">
      <alignment horizontal="center"/>
    </xf>
    <xf numFmtId="166" fontId="76" fillId="4" borderId="9" xfId="38" applyNumberFormat="1" applyFont="1" applyFill="1" applyBorder="1" applyAlignment="1">
      <alignment horizontal="right"/>
    </xf>
    <xf numFmtId="0" fontId="76" fillId="4" borderId="17" xfId="38" applyFont="1" applyFill="1" applyBorder="1" applyAlignment="1">
      <alignment horizontal="right"/>
    </xf>
    <xf numFmtId="4" fontId="54" fillId="0" borderId="75" xfId="15" applyNumberFormat="1" applyFont="1" applyFill="1" applyBorder="1" applyAlignment="1">
      <alignment horizontal="center" vertical="center"/>
    </xf>
    <xf numFmtId="4" fontId="54" fillId="0" borderId="42" xfId="15" applyNumberFormat="1" applyFont="1" applyFill="1" applyBorder="1" applyAlignment="1">
      <alignment horizontal="center" vertical="center"/>
    </xf>
    <xf numFmtId="4" fontId="50" fillId="0" borderId="0" xfId="15" applyNumberFormat="1" applyFont="1" applyBorder="1" applyAlignment="1">
      <alignment horizontal="center"/>
    </xf>
    <xf numFmtId="4" fontId="54" fillId="0" borderId="48" xfId="15" applyNumberFormat="1" applyFont="1" applyFill="1" applyBorder="1" applyAlignment="1">
      <alignment horizontal="center" vertical="center"/>
    </xf>
    <xf numFmtId="4" fontId="54" fillId="0" borderId="21" xfId="15" applyNumberFormat="1" applyFont="1" applyFill="1" applyBorder="1" applyAlignment="1">
      <alignment horizontal="center" vertical="center"/>
    </xf>
    <xf numFmtId="4" fontId="54" fillId="0" borderId="71" xfId="15" applyNumberFormat="1" applyFont="1" applyFill="1" applyBorder="1" applyAlignment="1">
      <alignment horizontal="center" vertical="center"/>
    </xf>
    <xf numFmtId="4" fontId="54" fillId="0" borderId="11" xfId="15" applyNumberFormat="1" applyFont="1" applyFill="1" applyBorder="1" applyAlignment="1">
      <alignment horizontal="center" vertical="center"/>
    </xf>
    <xf numFmtId="39" fontId="27" fillId="0" borderId="52" xfId="26" applyNumberFormat="1" applyFont="1" applyFill="1" applyBorder="1" applyAlignment="1">
      <alignment horizontal="center" vertical="center" wrapText="1"/>
    </xf>
    <xf numFmtId="39" fontId="27" fillId="0" borderId="65" xfId="26" applyNumberFormat="1" applyFont="1" applyFill="1" applyBorder="1" applyAlignment="1">
      <alignment horizontal="center" vertical="center" wrapText="1"/>
    </xf>
  </cellXfs>
  <cellStyles count="60">
    <cellStyle name="Euro" xfId="1" xr:uid="{00000000-0005-0000-0000-000000000000}"/>
    <cellStyle name="Euro 2" xfId="41" xr:uid="{00000000-0005-0000-0000-000001000000}"/>
    <cellStyle name="Millares 2" xfId="2" xr:uid="{00000000-0005-0000-0000-000002000000}"/>
    <cellStyle name="Millares 3" xfId="3" xr:uid="{00000000-0005-0000-0000-000003000000}"/>
    <cellStyle name="Millares 4" xfId="4" xr:uid="{00000000-0005-0000-0000-000004000000}"/>
    <cellStyle name="Millares 5" xfId="5" xr:uid="{00000000-0005-0000-0000-000005000000}"/>
    <cellStyle name="Millares 6" xfId="6" xr:uid="{00000000-0005-0000-0000-000006000000}"/>
    <cellStyle name="Millares 7" xfId="7" xr:uid="{00000000-0005-0000-0000-000007000000}"/>
    <cellStyle name="Millares 8" xfId="42" xr:uid="{00000000-0005-0000-0000-000008000000}"/>
    <cellStyle name="Millares_Hoja1" xfId="8" xr:uid="{00000000-0005-0000-0000-000009000000}"/>
    <cellStyle name="Normal" xfId="0" builtinId="0"/>
    <cellStyle name="Normal 10" xfId="9" xr:uid="{00000000-0005-0000-0000-00000B000000}"/>
    <cellStyle name="Normal 10 2" xfId="37" xr:uid="{00000000-0005-0000-0000-00000C000000}"/>
    <cellStyle name="Normal 10 3" xfId="52" xr:uid="{00000000-0005-0000-0000-00000D000000}"/>
    <cellStyle name="Normal 10 32" xfId="40" xr:uid="{00000000-0005-0000-0000-00000E000000}"/>
    <cellStyle name="Normal 11" xfId="10" xr:uid="{00000000-0005-0000-0000-00000F000000}"/>
    <cellStyle name="Normal 11 2" xfId="51" xr:uid="{00000000-0005-0000-0000-000010000000}"/>
    <cellStyle name="Normal 12" xfId="33" xr:uid="{00000000-0005-0000-0000-000011000000}"/>
    <cellStyle name="Normal 12 2" xfId="55" xr:uid="{00000000-0005-0000-0000-000012000000}"/>
    <cellStyle name="Normal 13" xfId="35" xr:uid="{00000000-0005-0000-0000-000013000000}"/>
    <cellStyle name="Normal 14" xfId="38" xr:uid="{00000000-0005-0000-0000-000014000000}"/>
    <cellStyle name="Normal 15" xfId="39" xr:uid="{00000000-0005-0000-0000-000015000000}"/>
    <cellStyle name="Normal 16" xfId="53" xr:uid="{00000000-0005-0000-0000-000016000000}"/>
    <cellStyle name="Normal 18" xfId="54" xr:uid="{00000000-0005-0000-0000-000017000000}"/>
    <cellStyle name="Normal 19" xfId="57" xr:uid="{00000000-0005-0000-0000-000018000000}"/>
    <cellStyle name="Normal 2" xfId="11" xr:uid="{00000000-0005-0000-0000-000019000000}"/>
    <cellStyle name="Normal 2 2" xfId="12" xr:uid="{00000000-0005-0000-0000-00001A000000}"/>
    <cellStyle name="Normal 2 2 2" xfId="13" xr:uid="{00000000-0005-0000-0000-00001B000000}"/>
    <cellStyle name="Normal 2 3" xfId="14" xr:uid="{00000000-0005-0000-0000-00001C000000}"/>
    <cellStyle name="Normal 2 4" xfId="36" xr:uid="{00000000-0005-0000-0000-00001D000000}"/>
    <cellStyle name="Normal 2 5" xfId="43" xr:uid="{00000000-0005-0000-0000-00001E000000}"/>
    <cellStyle name="Normal 2_Resumen y cronograma hv" xfId="15" xr:uid="{00000000-0005-0000-0000-00001F000000}"/>
    <cellStyle name="Normal 3" xfId="16" xr:uid="{00000000-0005-0000-0000-000020000000}"/>
    <cellStyle name="Normal 3 2" xfId="44" xr:uid="{00000000-0005-0000-0000-000021000000}"/>
    <cellStyle name="Normal 4" xfId="17" xr:uid="{00000000-0005-0000-0000-000022000000}"/>
    <cellStyle name="Normal 4 2" xfId="45" xr:uid="{00000000-0005-0000-0000-000023000000}"/>
    <cellStyle name="Normal 4 2 2 2" xfId="59" xr:uid="{D33DA7D8-1ACC-4AD0-B92B-59420CD5421F}"/>
    <cellStyle name="Normal 4 2 3 2" xfId="58" xr:uid="{BECCD669-710D-414D-85AA-2740D04C9B75}"/>
    <cellStyle name="Normal 5" xfId="18" xr:uid="{00000000-0005-0000-0000-000024000000}"/>
    <cellStyle name="Normal 5 2" xfId="46" xr:uid="{00000000-0005-0000-0000-000025000000}"/>
    <cellStyle name="Normal 6" xfId="19" xr:uid="{00000000-0005-0000-0000-000026000000}"/>
    <cellStyle name="Normal 6 2" xfId="47" xr:uid="{00000000-0005-0000-0000-000027000000}"/>
    <cellStyle name="Normal 7" xfId="20" xr:uid="{00000000-0005-0000-0000-000028000000}"/>
    <cellStyle name="Normal 7 2" xfId="48" xr:uid="{00000000-0005-0000-0000-000029000000}"/>
    <cellStyle name="Normal 8" xfId="21" xr:uid="{00000000-0005-0000-0000-00002A000000}"/>
    <cellStyle name="Normal 8 2" xfId="49" xr:uid="{00000000-0005-0000-0000-00002B000000}"/>
    <cellStyle name="Normal 9" xfId="22" xr:uid="{00000000-0005-0000-0000-00002C000000}"/>
    <cellStyle name="Normal 9 2" xfId="50" xr:uid="{00000000-0005-0000-0000-00002D000000}"/>
    <cellStyle name="Normal_metrado PERU-BIRF" xfId="56" xr:uid="{00000000-0005-0000-0000-00002E000000}"/>
    <cellStyle name="Normal_Metrados Ampliacion de Tribunasur FEB-05" xfId="23" xr:uid="{00000000-0005-0000-0000-00002F000000}"/>
    <cellStyle name="Normal_ppto urubamba" xfId="24" xr:uid="{00000000-0005-0000-0000-000030000000}"/>
    <cellStyle name="Normal_Presupuesto LA CRIA 2" xfId="25" xr:uid="{00000000-0005-0000-0000-000031000000}"/>
    <cellStyle name="Normal_Presupuesto LA CRIA 2 2" xfId="26" xr:uid="{00000000-0005-0000-0000-000032000000}"/>
    <cellStyle name="Porcentaje 2" xfId="27" xr:uid="{00000000-0005-0000-0000-000033000000}"/>
    <cellStyle name="Porcentaje 3" xfId="28" xr:uid="{00000000-0005-0000-0000-000034000000}"/>
    <cellStyle name="Porcentaje 4" xfId="34" xr:uid="{00000000-0005-0000-0000-000035000000}"/>
    <cellStyle name="Porcentual 2" xfId="29" xr:uid="{00000000-0005-0000-0000-000036000000}"/>
    <cellStyle name="Porcentual 2 2" xfId="30" xr:uid="{00000000-0005-0000-0000-000037000000}"/>
    <cellStyle name="Porcentual 3" xfId="31" xr:uid="{00000000-0005-0000-0000-000038000000}"/>
    <cellStyle name="Porcentual 4" xfId="32" xr:uid="{00000000-0005-0000-0000-000039000000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124239</xdr:colOff>
      <xdr:row>13</xdr:row>
      <xdr:rowOff>33131</xdr:rowOff>
    </xdr:from>
    <xdr:to>
      <xdr:col>2</xdr:col>
      <xdr:colOff>364435</xdr:colOff>
      <xdr:row>13</xdr:row>
      <xdr:rowOff>157371</xdr:rowOff>
    </xdr:to>
    <xdr:sp macro="" textlink="">
      <xdr:nvSpPr>
        <xdr:cNvPr id="4" name="638 Rectángulo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2920779" y="37340651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12</xdr:row>
      <xdr:rowOff>76200</xdr:rowOff>
    </xdr:from>
    <xdr:to>
      <xdr:col>2</xdr:col>
      <xdr:colOff>428625</xdr:colOff>
      <xdr:row>12</xdr:row>
      <xdr:rowOff>121919</xdr:rowOff>
    </xdr:to>
    <xdr:sp macro="" textlink="">
      <xdr:nvSpPr>
        <xdr:cNvPr id="5" name="Cerrar corchet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 rot="16200000">
          <a:off x="3026093" y="37039867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15</xdr:row>
      <xdr:rowOff>33131</xdr:rowOff>
    </xdr:from>
    <xdr:to>
      <xdr:col>2</xdr:col>
      <xdr:colOff>364435</xdr:colOff>
      <xdr:row>15</xdr:row>
      <xdr:rowOff>157371</xdr:rowOff>
    </xdr:to>
    <xdr:sp macro="" textlink="">
      <xdr:nvSpPr>
        <xdr:cNvPr id="6" name="638 Rectángulo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4754854" y="2494977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14</xdr:row>
      <xdr:rowOff>76200</xdr:rowOff>
    </xdr:from>
    <xdr:to>
      <xdr:col>2</xdr:col>
      <xdr:colOff>428625</xdr:colOff>
      <xdr:row>14</xdr:row>
      <xdr:rowOff>121919</xdr:rowOff>
    </xdr:to>
    <xdr:sp macro="" textlink="">
      <xdr:nvSpPr>
        <xdr:cNvPr id="7" name="Cerrar corche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 rot="16200000">
          <a:off x="4860168" y="2217221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19</xdr:row>
      <xdr:rowOff>33131</xdr:rowOff>
    </xdr:from>
    <xdr:to>
      <xdr:col>2</xdr:col>
      <xdr:colOff>364435</xdr:colOff>
      <xdr:row>19</xdr:row>
      <xdr:rowOff>157371</xdr:rowOff>
    </xdr:to>
    <xdr:sp macro="" textlink="">
      <xdr:nvSpPr>
        <xdr:cNvPr id="8" name="638 Rectángulo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4754854" y="2327505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18</xdr:row>
      <xdr:rowOff>76200</xdr:rowOff>
    </xdr:from>
    <xdr:to>
      <xdr:col>2</xdr:col>
      <xdr:colOff>428625</xdr:colOff>
      <xdr:row>18</xdr:row>
      <xdr:rowOff>121919</xdr:rowOff>
    </xdr:to>
    <xdr:sp macro="" textlink="">
      <xdr:nvSpPr>
        <xdr:cNvPr id="9" name="Cerrar corche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 rot="16200000">
          <a:off x="4860168" y="2049748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21</xdr:row>
      <xdr:rowOff>33131</xdr:rowOff>
    </xdr:from>
    <xdr:to>
      <xdr:col>2</xdr:col>
      <xdr:colOff>364435</xdr:colOff>
      <xdr:row>21</xdr:row>
      <xdr:rowOff>157371</xdr:rowOff>
    </xdr:to>
    <xdr:sp macro="" textlink="">
      <xdr:nvSpPr>
        <xdr:cNvPr id="10" name="638 Rectángulo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754854" y="2662450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20</xdr:row>
      <xdr:rowOff>76200</xdr:rowOff>
    </xdr:from>
    <xdr:to>
      <xdr:col>2</xdr:col>
      <xdr:colOff>428625</xdr:colOff>
      <xdr:row>20</xdr:row>
      <xdr:rowOff>121919</xdr:rowOff>
    </xdr:to>
    <xdr:sp macro="" textlink="">
      <xdr:nvSpPr>
        <xdr:cNvPr id="11" name="Cerrar corchet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 rot="16200000">
          <a:off x="4860168" y="2384693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640080</xdr:colOff>
          <xdr:row>0</xdr:row>
          <xdr:rowOff>99060</xdr:rowOff>
        </xdr:from>
        <xdr:to>
          <xdr:col>10</xdr:col>
          <xdr:colOff>838200</xdr:colOff>
          <xdr:row>6</xdr:row>
          <xdr:rowOff>83820</xdr:rowOff>
        </xdr:to>
        <xdr:sp macro="" textlink="">
          <xdr:nvSpPr>
            <xdr:cNvPr id="35841" name="Object 1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00000000-0008-0000-1700-00000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99060</xdr:rowOff>
        </xdr:from>
        <xdr:to>
          <xdr:col>10</xdr:col>
          <xdr:colOff>769620</xdr:colOff>
          <xdr:row>6</xdr:row>
          <xdr:rowOff>0</xdr:rowOff>
        </xdr:to>
        <xdr:sp macro="" textlink="">
          <xdr:nvSpPr>
            <xdr:cNvPr id="36865" name="Object 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18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57150</xdr:colOff>
      <xdr:row>159</xdr:row>
      <xdr:rowOff>123825</xdr:rowOff>
    </xdr:from>
    <xdr:ext cx="5866667" cy="304762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3150" y="30413325"/>
          <a:ext cx="5866667" cy="304762"/>
        </a:xfrm>
        <a:prstGeom prst="rect">
          <a:avLst/>
        </a:prstGeom>
      </xdr:spPr>
    </xdr:pic>
    <xdr:clientData/>
  </xdr:oneCellAnchor>
  <xdr:oneCellAnchor>
    <xdr:from>
      <xdr:col>18</xdr:col>
      <xdr:colOff>57150</xdr:colOff>
      <xdr:row>159</xdr:row>
      <xdr:rowOff>123825</xdr:rowOff>
    </xdr:from>
    <xdr:ext cx="5866667" cy="304762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35625" y="19411950"/>
          <a:ext cx="5866667" cy="30476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aul\Mis%20documentos\Downloads\VALORIZACIONES\DEP\27pse-OECF-II\SPres-resumen\Pr-21\RpCH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NUXFS\pproceso\Dep-2004-Estudios\PSE%20Huancan&#233;\Informe-04-05locl\PARTE1.LP\V2-METR.PRE\DEP\27pse-OECF-II\SPres-resumen\Pr-21\RpCHI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aul\Mis%20documentos\Downloads\VALORIZACIONES\CGV\GESTION%202002\PPTO-2002\DECRETO%20DE%20URGENCIA\PSE%20SANDIA%20II\DEP\27pse-OECF-II\SPres-resumen\Pr-21\RpCH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evin\Desktop\COL.SANTA%20ROSA\Expediente%20definitivo%20I.E%20Santa%20Rosa%20SNIP%20167720%20-%201ER%20TOMO%20ACTUALIZADO%20-%20DICIEMBRE\11.%20Metrados\Estructuras\E0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RABAJO\SANTA%20ROSA\EXPEDIENTE%20TECNICO%20SANTA%20ROSA\Expediente%20definitivo%20I.E%20Santa%20Rosa%20SNIP%20167720%20-%201ER%20TOMO%20ACTUALIZADO%20-%20DICIEMBRE\11.%20Metrados\Estructuras\E0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evin\Desktop\COL.SANTA%20ROSA\Expediente%20definitivo%20I.E%20Santa%20Rosa%20SNIP%20167720%20-%201ER%20TOMO%20ACTUALIZADO%20-%20DICIEMBRE\11.%20Metrados\Estructuras\E1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arpeta%20de%20Windows\Desktop\SANTA%20ROSA\EXPEDIENTE%20TECNICO%20SANTA%20ROSA\Expediente%20definitivo%20I.E%20Santa%20Rosa%20SNIP%20167720%20-%201ER%20TOMO%20ACTUALIZADO%20-%20DICIEMBRE\11.%20Metrados\Estructuras\E0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NUXFS\pproceso\Dep-2004-Estudios\PSE%20Huancan&#233;\Informe-04-05locl\PARTE1.LP\V2-METR.PRE\Jimbe-Pamparomas%20II%20Etapa\PRIMARIA\VOLUMEN%20II\RP_JIMBE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sa\samuel\tabaconas\Vol-ii\PRES-RP-TABA-FEBRE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q14\c\C\MEM\DEP\RP_JIMBE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OHN%20EDISON\Desktop\ESCRITORIO%20LENOVO\OBRA%20DE%20PICHIUCA\INFORMES%20MENSUALES%20DE%20OBRA\INFORMES%20MENSUALES%20-%20FIRME\03.%20INFORME%20PICHIUCA%20JUNIO%202017\01.%20VAL.%20PICHIUCA%20JUNIO%202017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OHN%20EDISON\Desktop\ESCRITORIO%20LENOVO\OBRA%20DE%20PICHIUCA\INFORMES%20MENSUALES%20DE%20OBRA%20-%20PICHIUCA\INFORMES%20MENSUALES%20-%20FIRME\7.0%20INFORME%20MENSUAL%20PICHIUCA%20OCTUBRE%202017\01.%20VAL.%20PICHIUCA%20OCTUBRE%20201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OHN%20EDISON\Desktop\ESCRITORIO%20LENOVO\OBRA%20DE%20PICHIUCA\INFORMES%20MENSUALES%20DE%20OBRA\INFORMES%20MENSUALES%20-%20FIRME\4.0%20INFORME%20MENSUAL%20PICHIUCA%20JULIO%202017\01.%20VAL.%20PICHIUCA%20JULIO%202017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userr\Downloads\JEAN-7\VALORIZACI&#211;N%20OCTUBRE%20LUCUCHANGA\METRADOS\OCTUBRE\ESTRUCTURA%20BLOQUE%2005.xls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OBRAS\0BRAS%202019\PROYECTO%20SANTA%20ROSA\INFORMES\INFIRME%20SEPTIEMBRE\ABEL%202016\04.%20GOBIERNO%20REGIONAL%20DE%20APURIMAC\01.%20PACHACONAS%202016\VALORIZACIONES%202016\VALORIZACION%20%20PACHACONAS%20FEBRERO%202016\01.%20VALORIZACION%20CORTE%20JULIO.xls?7E1421DD" TargetMode="External"/><Relationship Id="rId1" Type="http://schemas.openxmlformats.org/officeDocument/2006/relationships/externalLinkPath" Target="file:///\\7E1421DD\01.%20VALORIZACION%20CORTE%20JULIO.xls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OBRAS\0BRAS%202019\PROYECTO%20SANTA%20ROSA\INFORMES\INFIRME%20SEPTIEMBRE\ABEL%202016\04.%20GOBIERNO%20REGIONAL%20DE%20APURIMAC\01.%20PACHACONAS%202016\INFORMES%20DE%20AMPLIACION%20DE%20PLAZO\02.%20AMPLIACION%20DE%20PLAZO%20N&#176;%2002\01.%20GANTT%20Y%20VALORIZADO.xlsx?DD20BFEE" TargetMode="External"/><Relationship Id="rId1" Type="http://schemas.openxmlformats.org/officeDocument/2006/relationships/externalLinkPath" Target="file:///\\DD20BFEE\01.%20GANTT%20Y%20VALORIZADO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BRAS\0BRAS%202019\PROYECTO%20SANTA%20ROSA\INFORMES\INFIRME%20SEPTIEMBRE\ABEL%202015\08.%20GOBIERNO%20REGIONAL%20APURIMAC\CRONOGRAMA%20VALORIZADO%20PACHA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  <sheetName val="__REF"/>
      <sheetName val="E-4 P"/>
      <sheetName val="A"/>
      <sheetName val="ARMADOS"/>
      <sheetName val="BASE"/>
      <sheetName val="Datos"/>
      <sheetName val="Da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Unit-op-cartel"/>
      <sheetName val="Uni-Arm"/>
      <sheetName val="Unit-ret"/>
      <sheetName val="Unit-conduct"/>
      <sheetName val="Unit-patoral"/>
      <sheetName val="Unit-tierra"/>
      <sheetName val="Unit-acom"/>
      <sheetName val="Unt-prueb"/>
      <sheetName val="Complementario"/>
      <sheetName val="Resumen-tipo &quot;B&quot;"/>
      <sheetName val="Montaje"/>
      <sheetName val="Principal"/>
      <sheetName val="Transporte"/>
      <sheetName val="PLANILLAS FORMATEADAS"/>
      <sheetName val="CONFIGURACIÓN"/>
      <sheetName val="CONTEO DE DATOS"/>
      <sheetName val="RESUMEN DE PARTIDAS"/>
      <sheetName val="DATOS DE CAMPO"/>
      <sheetName val="Hoja1"/>
      <sheetName val="Hoja2"/>
      <sheetName val="Hoja3"/>
      <sheetName val="Mont 02"/>
      <sheetName val="OC 02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 refreshError="1"/>
      <sheetData sheetId="8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OE.2 ES-COB"/>
      <sheetName val="Viga Conexion"/>
      <sheetName val="Columnas "/>
      <sheetName val="Placas"/>
      <sheetName val="Vigas "/>
      <sheetName val="Losa 30cm"/>
      <sheetName val="Losa 17cm"/>
      <sheetName val="Losas Techo"/>
      <sheetName val="DATOS"/>
      <sheetName val="NTM"/>
      <sheetName val="OE.2 ES-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Viga Conexion"/>
      <sheetName val="Columnas "/>
      <sheetName val="Placas"/>
      <sheetName val="Vigas "/>
      <sheetName val="Losa 25cm"/>
      <sheetName val="DATOS"/>
      <sheetName val="NTM"/>
      <sheetName val="OE.2 ES-M"/>
      <sheetName val="OE.2 ES-COB"/>
    </sheetNames>
    <sheetDataSet>
      <sheetData sheetId="0"/>
      <sheetData sheetId="1"/>
      <sheetData sheetId="2">
        <row r="16">
          <cell r="K16">
            <v>3892.2297600000006</v>
          </cell>
        </row>
      </sheetData>
      <sheetData sheetId="3"/>
      <sheetData sheetId="4"/>
      <sheetData sheetId="5"/>
      <sheetData sheetId="6"/>
      <sheetData sheetId="7"/>
      <sheetData sheetId="8">
        <row r="2">
          <cell r="B2" t="str">
            <v>6 mm.</v>
          </cell>
        </row>
        <row r="3">
          <cell r="B3" t="str">
            <v>8 mm.</v>
          </cell>
        </row>
        <row r="4">
          <cell r="B4" t="str">
            <v>3/8"</v>
          </cell>
        </row>
        <row r="5">
          <cell r="B5" t="str">
            <v>12 mm.</v>
          </cell>
          <cell r="F5" t="str">
            <v>3/8"</v>
          </cell>
        </row>
        <row r="6">
          <cell r="B6" t="str">
            <v>1/2"</v>
          </cell>
          <cell r="F6" t="str">
            <v>1/2"</v>
          </cell>
        </row>
        <row r="7">
          <cell r="B7" t="str">
            <v>5/8"</v>
          </cell>
          <cell r="F7" t="str">
            <v>5/8"</v>
          </cell>
        </row>
        <row r="8">
          <cell r="B8" t="str">
            <v>3/4"</v>
          </cell>
          <cell r="F8" t="str">
            <v>3/4"</v>
          </cell>
        </row>
        <row r="9">
          <cell r="B9" t="str">
            <v>1"</v>
          </cell>
          <cell r="F9" t="str">
            <v>1"</v>
          </cell>
        </row>
        <row r="10">
          <cell r="B10" t="str">
            <v>1 3/8"</v>
          </cell>
        </row>
      </sheetData>
      <sheetData sheetId="9">
        <row r="2">
          <cell r="A2" t="str">
            <v>OE.01</v>
          </cell>
        </row>
      </sheetData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OE.2 ES-COB"/>
      <sheetName val="Viga Conexion"/>
      <sheetName val="Columnas "/>
      <sheetName val="Placas"/>
      <sheetName val="Vigas "/>
      <sheetName val="Losa 30cm"/>
      <sheetName val="Losa 20cm"/>
      <sheetName val="Losa 17cm"/>
      <sheetName val="Losa Incli."/>
      <sheetName val="DATOS"/>
      <sheetName val="NTM"/>
      <sheetName val="OE.2 ES-M"/>
    </sheetNames>
    <sheetDataSet>
      <sheetData sheetId="0">
        <row r="22">
          <cell r="I22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P2" t="str">
            <v>m</v>
          </cell>
        </row>
        <row r="3">
          <cell r="P3" t="str">
            <v>m²</v>
          </cell>
        </row>
        <row r="4">
          <cell r="P4" t="str">
            <v>m³</v>
          </cell>
        </row>
        <row r="5">
          <cell r="P5" t="str">
            <v>und</v>
          </cell>
        </row>
        <row r="6">
          <cell r="P6" t="str">
            <v>pza</v>
          </cell>
        </row>
        <row r="7">
          <cell r="P7" t="str">
            <v>mes</v>
          </cell>
        </row>
        <row r="8">
          <cell r="P8" t="str">
            <v>kg</v>
          </cell>
        </row>
        <row r="9">
          <cell r="P9" t="str">
            <v>glb</v>
          </cell>
        </row>
      </sheetData>
      <sheetData sheetId="13">
        <row r="2">
          <cell r="A2" t="str">
            <v>OE.01</v>
          </cell>
        </row>
        <row r="3">
          <cell r="A3" t="str">
            <v>OE.01.01</v>
          </cell>
        </row>
        <row r="4">
          <cell r="A4" t="str">
            <v>OE.01.01.01</v>
          </cell>
        </row>
        <row r="5">
          <cell r="A5" t="str">
            <v>OE.01.02</v>
          </cell>
        </row>
        <row r="6">
          <cell r="A6" t="str">
            <v>OE.01.02.01</v>
          </cell>
        </row>
        <row r="7">
          <cell r="A7" t="str">
            <v>OE.01.02.02</v>
          </cell>
        </row>
        <row r="8">
          <cell r="A8" t="str">
            <v>OE.01.02.03</v>
          </cell>
        </row>
        <row r="9">
          <cell r="A9" t="str">
            <v>OE.01.02.04</v>
          </cell>
        </row>
        <row r="10">
          <cell r="A10" t="str">
            <v>OE.01.03</v>
          </cell>
        </row>
        <row r="11">
          <cell r="A11" t="str">
            <v>OE.01.03.01</v>
          </cell>
        </row>
        <row r="12">
          <cell r="A12" t="str">
            <v>OE.01.03.02</v>
          </cell>
        </row>
        <row r="13">
          <cell r="A13" t="str">
            <v>OE.01.04</v>
          </cell>
        </row>
        <row r="14">
          <cell r="A14" t="str">
            <v>OE.01.04.01</v>
          </cell>
        </row>
        <row r="15">
          <cell r="A15" t="str">
            <v>OE.01.04.02</v>
          </cell>
        </row>
        <row r="16">
          <cell r="A16" t="str">
            <v>OE.01.04.03</v>
          </cell>
        </row>
        <row r="17">
          <cell r="A17" t="str">
            <v>OE.01.04.04</v>
          </cell>
        </row>
        <row r="18">
          <cell r="A18" t="str">
            <v>OE.01.04.05</v>
          </cell>
        </row>
        <row r="19">
          <cell r="A19" t="str">
            <v>OE.01.04.06</v>
          </cell>
        </row>
        <row r="20">
          <cell r="A20" t="str">
            <v>OE.01.04.07</v>
          </cell>
        </row>
        <row r="21">
          <cell r="A21" t="str">
            <v>OE.01.04.08</v>
          </cell>
        </row>
        <row r="22">
          <cell r="A22" t="str">
            <v>OE.01.04.09</v>
          </cell>
        </row>
        <row r="23">
          <cell r="A23" t="str">
            <v>OE.01.04.10</v>
          </cell>
        </row>
        <row r="24">
          <cell r="A24" t="str">
            <v>OE.01.04.11</v>
          </cell>
        </row>
        <row r="25">
          <cell r="A25" t="str">
            <v>OE.01.04.12</v>
          </cell>
        </row>
        <row r="26">
          <cell r="A26" t="str">
            <v>OE.02</v>
          </cell>
        </row>
        <row r="27">
          <cell r="A27" t="str">
            <v>OE.02.01</v>
          </cell>
        </row>
        <row r="28">
          <cell r="A28" t="str">
            <v>OE.02.01.01</v>
          </cell>
        </row>
        <row r="29">
          <cell r="A29" t="str">
            <v>OE.02.01.02</v>
          </cell>
        </row>
        <row r="30">
          <cell r="A30" t="str">
            <v>OE.02.01.03</v>
          </cell>
        </row>
        <row r="31">
          <cell r="A31" t="str">
            <v>OE.02.01.04</v>
          </cell>
        </row>
        <row r="32">
          <cell r="A32" t="str">
            <v>OE.02.01.05</v>
          </cell>
        </row>
        <row r="33">
          <cell r="A33" t="str">
            <v>OE.02.01.06</v>
          </cell>
        </row>
        <row r="34">
          <cell r="A34" t="str">
            <v>OE.02.02</v>
          </cell>
        </row>
        <row r="35">
          <cell r="A35" t="str">
            <v>OE.02.02.01</v>
          </cell>
        </row>
        <row r="36">
          <cell r="A36" t="str">
            <v>OE.02.02.01.01</v>
          </cell>
        </row>
        <row r="37">
          <cell r="A37" t="str">
            <v>OE.02.02.02</v>
          </cell>
        </row>
        <row r="38">
          <cell r="A38" t="str">
            <v>OE.02.02.02.01</v>
          </cell>
        </row>
        <row r="39">
          <cell r="A39" t="str">
            <v>OE.02.02.03</v>
          </cell>
        </row>
        <row r="40">
          <cell r="A40" t="str">
            <v>OE.02.02.03.01</v>
          </cell>
        </row>
        <row r="41">
          <cell r="A41" t="str">
            <v>OE.02.02.04</v>
          </cell>
        </row>
        <row r="42">
          <cell r="A42" t="str">
            <v>OE.02.02.04.01</v>
          </cell>
        </row>
        <row r="43">
          <cell r="A43" t="str">
            <v>OE.02.02.04.02</v>
          </cell>
        </row>
        <row r="44">
          <cell r="A44" t="str">
            <v>OE.02.02.05</v>
          </cell>
        </row>
        <row r="45">
          <cell r="A45" t="str">
            <v>OE.02.02.05.01</v>
          </cell>
        </row>
        <row r="46">
          <cell r="A46" t="str">
            <v>OE.02.02.05.02</v>
          </cell>
        </row>
        <row r="47">
          <cell r="A47" t="str">
            <v>OE.02.02.05.03</v>
          </cell>
        </row>
        <row r="48">
          <cell r="A48" t="str">
            <v>OE.02.02.05.04</v>
          </cell>
        </row>
        <row r="49">
          <cell r="A49" t="str">
            <v>OE.02.02.05.05</v>
          </cell>
        </row>
        <row r="50">
          <cell r="A50" t="str">
            <v>OE.02.02.06</v>
          </cell>
        </row>
        <row r="51">
          <cell r="A51" t="str">
            <v>OE.02.02.06.01</v>
          </cell>
        </row>
        <row r="52">
          <cell r="A52" t="str">
            <v>OE.02.02.06.02</v>
          </cell>
        </row>
        <row r="53">
          <cell r="A53" t="str">
            <v>OE.02.03</v>
          </cell>
        </row>
        <row r="54">
          <cell r="A54" t="str">
            <v>OE.02.03.01</v>
          </cell>
        </row>
        <row r="55">
          <cell r="A55" t="str">
            <v>OE.02.03.01.01</v>
          </cell>
        </row>
        <row r="56">
          <cell r="A56" t="str">
            <v>OE.02.03.01.02</v>
          </cell>
        </row>
        <row r="57">
          <cell r="A57" t="str">
            <v>OE.02.03.02</v>
          </cell>
        </row>
        <row r="58">
          <cell r="A58" t="str">
            <v>OE.02.03.02.01</v>
          </cell>
        </row>
        <row r="59">
          <cell r="A59" t="str">
            <v>OE.02.03.02.02</v>
          </cell>
        </row>
        <row r="60">
          <cell r="A60" t="str">
            <v>OE.02.03.02.03</v>
          </cell>
        </row>
        <row r="61">
          <cell r="A61" t="str">
            <v>OE.02.03.03</v>
          </cell>
        </row>
        <row r="62">
          <cell r="A62" t="str">
            <v>OE.02.03.03.01</v>
          </cell>
        </row>
        <row r="63">
          <cell r="A63" t="str">
            <v>OE.02.03.03.02</v>
          </cell>
        </row>
        <row r="64">
          <cell r="A64" t="str">
            <v>OE.02.03.03.03</v>
          </cell>
        </row>
        <row r="65">
          <cell r="A65" t="str">
            <v>OE.02.03.04</v>
          </cell>
        </row>
        <row r="66">
          <cell r="A66" t="str">
            <v>OE.02.03.04.01</v>
          </cell>
        </row>
        <row r="67">
          <cell r="A67" t="str">
            <v>OE.02.03.04.02</v>
          </cell>
        </row>
        <row r="68">
          <cell r="A68" t="str">
            <v>OE.02.03.04.03</v>
          </cell>
        </row>
        <row r="69">
          <cell r="A69" t="str">
            <v>OE.02.03.05</v>
          </cell>
        </row>
        <row r="70">
          <cell r="A70" t="str">
            <v>OE.02.03.05.01</v>
          </cell>
        </row>
        <row r="71">
          <cell r="A71" t="str">
            <v>OE.02.03.05.02</v>
          </cell>
        </row>
        <row r="72">
          <cell r="A72" t="str">
            <v>OE.02.03.05.03</v>
          </cell>
        </row>
        <row r="73">
          <cell r="A73" t="str">
            <v>OE.02.03.06</v>
          </cell>
        </row>
        <row r="74">
          <cell r="A74" t="str">
            <v>OE.02.03.06.01</v>
          </cell>
        </row>
        <row r="75">
          <cell r="A75" t="str">
            <v>OE.02.03.06.02</v>
          </cell>
        </row>
        <row r="76">
          <cell r="A76" t="str">
            <v>OE.02.03.06.03</v>
          </cell>
        </row>
        <row r="77">
          <cell r="A77" t="str">
            <v>OE.02.03.07</v>
          </cell>
        </row>
        <row r="78">
          <cell r="A78" t="str">
            <v>OE.02.03.07.01</v>
          </cell>
        </row>
        <row r="79">
          <cell r="A79" t="str">
            <v>OE.02.03.07.02</v>
          </cell>
        </row>
        <row r="80">
          <cell r="A80" t="str">
            <v>OE.02.03.07.03</v>
          </cell>
        </row>
        <row r="81">
          <cell r="A81" t="str">
            <v>OE.02.03.08</v>
          </cell>
        </row>
        <row r="82">
          <cell r="A82" t="str">
            <v>OE.02.03.08.01</v>
          </cell>
        </row>
        <row r="83">
          <cell r="A83" t="str">
            <v>OE.02.03.08.02</v>
          </cell>
        </row>
        <row r="84">
          <cell r="A84" t="str">
            <v>OE.02.03.08.03</v>
          </cell>
        </row>
        <row r="85">
          <cell r="A85" t="str">
            <v>OE.02.03.09</v>
          </cell>
        </row>
        <row r="86">
          <cell r="A86" t="str">
            <v>OE.02.03.09.01</v>
          </cell>
        </row>
        <row r="87">
          <cell r="A87" t="str">
            <v>OE.02.03.09.02</v>
          </cell>
        </row>
        <row r="88">
          <cell r="A88" t="str">
            <v>OE.02.03.09.03</v>
          </cell>
        </row>
        <row r="89">
          <cell r="A89" t="str">
            <v>OE.02.03.10</v>
          </cell>
        </row>
        <row r="90">
          <cell r="A90" t="str">
            <v>OE.02.03.10.01</v>
          </cell>
        </row>
        <row r="91">
          <cell r="A91" t="str">
            <v>OE.02.03.10.02</v>
          </cell>
        </row>
        <row r="92">
          <cell r="A92" t="str">
            <v>OE.02.03.10.03</v>
          </cell>
        </row>
        <row r="93">
          <cell r="A93" t="str">
            <v>OE.02.03.10.04</v>
          </cell>
        </row>
        <row r="94">
          <cell r="A94" t="str">
            <v>OE.02.03.11</v>
          </cell>
        </row>
        <row r="95">
          <cell r="A95" t="str">
            <v>OE.02.03.11.01</v>
          </cell>
        </row>
        <row r="96">
          <cell r="A96" t="str">
            <v>OE.02.03.11.02</v>
          </cell>
        </row>
        <row r="97">
          <cell r="A97" t="str">
            <v>OE.02.03.11.03</v>
          </cell>
        </row>
        <row r="98">
          <cell r="A98" t="str">
            <v>OE.02.03.11.04</v>
          </cell>
        </row>
        <row r="99">
          <cell r="A99" t="str">
            <v>OE.02.03.12</v>
          </cell>
        </row>
        <row r="100">
          <cell r="A100" t="str">
            <v>OE.02.03.12.01</v>
          </cell>
        </row>
        <row r="101">
          <cell r="A101" t="str">
            <v>OE.02.03.12.02</v>
          </cell>
        </row>
        <row r="102">
          <cell r="A102" t="str">
            <v>OE.02.03.12.03</v>
          </cell>
        </row>
        <row r="103">
          <cell r="A103" t="str">
            <v>OE.02.03.12.04</v>
          </cell>
        </row>
        <row r="104">
          <cell r="A104" t="str">
            <v>OE.02.03.13</v>
          </cell>
        </row>
        <row r="105">
          <cell r="A105" t="str">
            <v>OE.02.03.13.01</v>
          </cell>
        </row>
        <row r="106">
          <cell r="A106" t="str">
            <v>OE.02.03.13.02</v>
          </cell>
        </row>
        <row r="107">
          <cell r="A107" t="str">
            <v>OE.02.03.13.03</v>
          </cell>
        </row>
        <row r="108">
          <cell r="A108" t="str">
            <v>OE.02.03.13.04</v>
          </cell>
        </row>
        <row r="109">
          <cell r="A109" t="str">
            <v>OE.02.03.14</v>
          </cell>
        </row>
        <row r="110">
          <cell r="A110" t="str">
            <v>OE.02.03.14.01</v>
          </cell>
        </row>
        <row r="111">
          <cell r="A111" t="str">
            <v>OE.02.03.14.02</v>
          </cell>
        </row>
        <row r="112">
          <cell r="A112" t="str">
            <v>OE.02.03.14.03</v>
          </cell>
        </row>
        <row r="113">
          <cell r="A113" t="str">
            <v>OE.02.03.14.04</v>
          </cell>
        </row>
        <row r="114">
          <cell r="A114" t="str">
            <v>OE.02.03.15</v>
          </cell>
        </row>
        <row r="115">
          <cell r="A115" t="str">
            <v>OE.02.03.15.01</v>
          </cell>
        </row>
        <row r="116">
          <cell r="A116" t="str">
            <v>OE.02.03.15.02</v>
          </cell>
        </row>
        <row r="117">
          <cell r="A117" t="str">
            <v>OE.02.03.15.03</v>
          </cell>
        </row>
        <row r="118">
          <cell r="A118" t="str">
            <v>OE.02.03.15.04</v>
          </cell>
        </row>
        <row r="119">
          <cell r="A119" t="str">
            <v>OE.02.03.16</v>
          </cell>
        </row>
        <row r="120">
          <cell r="A120" t="str">
            <v>OE.02.03.16.01</v>
          </cell>
        </row>
        <row r="121">
          <cell r="A121" t="str">
            <v>OE.02.03.16.02</v>
          </cell>
        </row>
        <row r="122">
          <cell r="A122" t="str">
            <v>OE.02.03.16.03</v>
          </cell>
        </row>
        <row r="123">
          <cell r="A123" t="str">
            <v>OE.02.03.17</v>
          </cell>
        </row>
        <row r="124">
          <cell r="A124" t="str">
            <v>OE.02.03.17.01</v>
          </cell>
        </row>
        <row r="125">
          <cell r="A125" t="str">
            <v>OE.02.03.17.02</v>
          </cell>
        </row>
        <row r="126">
          <cell r="A126" t="str">
            <v>OE.02.03.17.03</v>
          </cell>
        </row>
        <row r="127">
          <cell r="A127" t="str">
            <v>OE.02.03.18</v>
          </cell>
        </row>
        <row r="128">
          <cell r="A128" t="str">
            <v>OE.02.03.18.01</v>
          </cell>
        </row>
        <row r="129">
          <cell r="A129" t="str">
            <v>OE.02.03.18.02</v>
          </cell>
        </row>
        <row r="130">
          <cell r="A130" t="str">
            <v>OE.02.03.18.03</v>
          </cell>
        </row>
        <row r="131">
          <cell r="A131" t="str">
            <v>OE.02.03.19</v>
          </cell>
        </row>
        <row r="132">
          <cell r="A132" t="str">
            <v>OE.02.03.19.01</v>
          </cell>
        </row>
        <row r="133">
          <cell r="A133" t="str">
            <v>OE.02.03.19.02</v>
          </cell>
        </row>
        <row r="134">
          <cell r="A134" t="str">
            <v>OE.02.03.19.03</v>
          </cell>
        </row>
        <row r="135">
          <cell r="A135" t="str">
            <v>OE.02.03.20</v>
          </cell>
        </row>
        <row r="136">
          <cell r="A136" t="str">
            <v>OE.02.03.20.01</v>
          </cell>
        </row>
        <row r="137">
          <cell r="A137" t="str">
            <v>OE.02.03.20.02</v>
          </cell>
        </row>
        <row r="138">
          <cell r="A138" t="str">
            <v>OE.02.03.20.03</v>
          </cell>
        </row>
        <row r="139">
          <cell r="A139" t="str">
            <v>OE.02.03.20.04</v>
          </cell>
        </row>
        <row r="140">
          <cell r="A140" t="str">
            <v>OE.02.03.20.05</v>
          </cell>
        </row>
        <row r="141">
          <cell r="A141" t="str">
            <v>OE.02.03.21</v>
          </cell>
        </row>
        <row r="142">
          <cell r="A142" t="str">
            <v>OE.02.03.21.01</v>
          </cell>
        </row>
        <row r="143">
          <cell r="A143" t="str">
            <v>OE.02.03.21.01.01</v>
          </cell>
        </row>
        <row r="144">
          <cell r="A144" t="str">
            <v>OE.02.03.21.01.02</v>
          </cell>
        </row>
        <row r="145">
          <cell r="A145" t="str">
            <v>OE.02.03.21.01.03</v>
          </cell>
        </row>
        <row r="146">
          <cell r="A146" t="str">
            <v>OE.02.03.21.01.04</v>
          </cell>
        </row>
        <row r="147">
          <cell r="A147" t="str">
            <v>OE.02.03.21.02</v>
          </cell>
        </row>
        <row r="148">
          <cell r="A148" t="str">
            <v>OE.02.03.21.02.01</v>
          </cell>
        </row>
        <row r="149">
          <cell r="A149" t="str">
            <v>OE.02.03.21.02.02</v>
          </cell>
        </row>
        <row r="150">
          <cell r="A150" t="str">
            <v>OE.02.03.21.02.03</v>
          </cell>
        </row>
        <row r="151">
          <cell r="A151" t="str">
            <v>OE.02.03.22</v>
          </cell>
        </row>
        <row r="152">
          <cell r="A152" t="str">
            <v>OE.02.03.22.01</v>
          </cell>
        </row>
        <row r="153">
          <cell r="A153" t="str">
            <v>OE.02.03.22.01.01</v>
          </cell>
        </row>
        <row r="154">
          <cell r="A154" t="str">
            <v>OE.02.03.22.01.02</v>
          </cell>
        </row>
        <row r="155">
          <cell r="A155" t="str">
            <v>OE.02.03.22.01.03</v>
          </cell>
        </row>
        <row r="156">
          <cell r="A156" t="str">
            <v>OE.02.03.22.01.04</v>
          </cell>
        </row>
        <row r="157">
          <cell r="A157" t="str">
            <v>OE.02.03.22.02</v>
          </cell>
        </row>
        <row r="158">
          <cell r="A158" t="str">
            <v>OE.02.03.22.02.01</v>
          </cell>
        </row>
        <row r="159">
          <cell r="A159" t="str">
            <v>OE.02.03.22.02.02</v>
          </cell>
        </row>
        <row r="160">
          <cell r="A160" t="str">
            <v>OE.02.03.22.02.03</v>
          </cell>
        </row>
        <row r="161">
          <cell r="A161" t="str">
            <v>OE.02.03.23</v>
          </cell>
        </row>
        <row r="162">
          <cell r="A162" t="str">
            <v>OE.02.03.23.01</v>
          </cell>
        </row>
        <row r="163">
          <cell r="A163" t="str">
            <v>OE.02.04</v>
          </cell>
        </row>
        <row r="164">
          <cell r="A164" t="str">
            <v>OE.02.04.01</v>
          </cell>
        </row>
        <row r="165">
          <cell r="A165" t="str">
            <v>OE.02.04.01.01</v>
          </cell>
        </row>
        <row r="166">
          <cell r="A166" t="str">
            <v>OE.02.04.01.02</v>
          </cell>
        </row>
        <row r="167">
          <cell r="A167" t="str">
            <v>OE.02.04.01.03</v>
          </cell>
        </row>
        <row r="168">
          <cell r="A168" t="str">
            <v>OE.02.04.01.04</v>
          </cell>
        </row>
        <row r="169">
          <cell r="A169" t="str">
            <v>OE.02.04.02</v>
          </cell>
        </row>
        <row r="170">
          <cell r="A170" t="str">
            <v>OE.02.04.02.01</v>
          </cell>
        </row>
        <row r="171">
          <cell r="A171" t="str">
            <v>OE.02.04.02.02</v>
          </cell>
        </row>
        <row r="172">
          <cell r="A172" t="str">
            <v>OE.02.04.02.03</v>
          </cell>
        </row>
        <row r="173">
          <cell r="A173" t="str">
            <v>OE.02.04.02.04</v>
          </cell>
        </row>
        <row r="174">
          <cell r="A174" t="str">
            <v>OE.02.04.02.05</v>
          </cell>
        </row>
        <row r="175">
          <cell r="A175" t="str">
            <v>OE.02.04.02.06</v>
          </cell>
        </row>
        <row r="176">
          <cell r="A176" t="str">
            <v>OE.02.04.03</v>
          </cell>
        </row>
        <row r="177">
          <cell r="A177" t="str">
            <v>OE.02.04.03.01</v>
          </cell>
        </row>
        <row r="178">
          <cell r="A178" t="str">
            <v>OE.02.04.03.02</v>
          </cell>
        </row>
        <row r="179">
          <cell r="A179" t="str">
            <v>OE.02.04.03.03</v>
          </cell>
        </row>
        <row r="180">
          <cell r="A180" t="str">
            <v>OE.02.04.03.04</v>
          </cell>
        </row>
        <row r="181">
          <cell r="A181" t="str">
            <v>OE.02.04.03.05</v>
          </cell>
        </row>
        <row r="182">
          <cell r="A182" t="str">
            <v>OE.02.04.03.06</v>
          </cell>
        </row>
        <row r="183">
          <cell r="A183" t="str">
            <v>OE.02.04.03.07</v>
          </cell>
        </row>
        <row r="184">
          <cell r="A184" t="str">
            <v>OE.02.04.03.08</v>
          </cell>
        </row>
        <row r="185">
          <cell r="A185" t="str">
            <v>OE.02.04.04</v>
          </cell>
        </row>
        <row r="186">
          <cell r="A186" t="str">
            <v>OE.02.04.04.01</v>
          </cell>
        </row>
        <row r="187">
          <cell r="A187" t="str">
            <v>OE.02.04.04.02</v>
          </cell>
        </row>
        <row r="188">
          <cell r="A188" t="str">
            <v>OE.02.04.04.03</v>
          </cell>
        </row>
        <row r="189">
          <cell r="A189" t="str">
            <v>OE.02.04.04.04</v>
          </cell>
        </row>
        <row r="190">
          <cell r="A190" t="str">
            <v>OE.02.04.04.05</v>
          </cell>
        </row>
        <row r="191">
          <cell r="A191" t="str">
            <v>OE.02.04.04.06</v>
          </cell>
        </row>
        <row r="192">
          <cell r="A192" t="str">
            <v>OE.02.04.04.07</v>
          </cell>
        </row>
        <row r="193">
          <cell r="A193" t="str">
            <v>OE.02.04.04.08</v>
          </cell>
        </row>
        <row r="194">
          <cell r="A194" t="str">
            <v>OE.02.04.05</v>
          </cell>
        </row>
        <row r="195">
          <cell r="A195" t="str">
            <v>OE.02.04.05.01</v>
          </cell>
        </row>
        <row r="196">
          <cell r="A196" t="str">
            <v>OE.02.04.05.02</v>
          </cell>
        </row>
        <row r="197">
          <cell r="A197" t="str">
            <v>OE.02.04.05.03</v>
          </cell>
        </row>
        <row r="198">
          <cell r="A198" t="str">
            <v>OE.02.05</v>
          </cell>
        </row>
        <row r="199">
          <cell r="A199" t="str">
            <v>OE.02.05.01</v>
          </cell>
        </row>
        <row r="200">
          <cell r="A200" t="str">
            <v>OE.02.05.02</v>
          </cell>
        </row>
        <row r="201">
          <cell r="A201" t="str">
            <v>OE.02.05.03</v>
          </cell>
        </row>
        <row r="202">
          <cell r="A202" t="str">
            <v>OE.02.05.04</v>
          </cell>
        </row>
        <row r="203">
          <cell r="A203" t="str">
            <v>OE.02.05.05</v>
          </cell>
        </row>
      </sheetData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OE.2 ES-COB"/>
      <sheetName val="Viga Conexion"/>
      <sheetName val="Columnas "/>
      <sheetName val="Placas"/>
      <sheetName val="Vigas "/>
      <sheetName val="Losa 30cm"/>
      <sheetName val="Losa 17cm"/>
      <sheetName val="Losa Incli."/>
      <sheetName val="DATOS"/>
      <sheetName val="NTM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DATOS"/>
      <sheetName val="Hoja4"/>
      <sheetName val="FORMULA"/>
      <sheetName val="Desmonteras"/>
      <sheetName val="Datos de la localidad"/>
      <sheetName val="Analisis de la T.C. - 2.2"/>
      <sheetName val="#¡REF"/>
      <sheetName val="QURR"/>
      <sheetName val="LOCALIDADES"/>
      <sheetName val="PLANILLA GENERAL"/>
      <sheetName val="Datos de la lkcalidad"/>
      <sheetName val="#¡RED"/>
      <sheetName val="DATA"/>
      <sheetName val="PLANILLA LP 22.9 kV"/>
      <sheetName val="CALCULO"/>
      <sheetName val="DATOS TECNICOS SE SANTUARIO"/>
      <sheetName val="PROC MANT LT 1"/>
      <sheetName val="CALENDARIO"/>
      <sheetName val="REV3"/>
      <sheetName val="CAP-120mm2"/>
      <sheetName val="INGRESO"/>
      <sheetName val="RES"/>
      <sheetName val="CENSO93"/>
      <sheetName val="HIDRANDINA"/>
      <sheetName val="FORMA-SE2"/>
      <sheetName val="UNITARIOS-RP"/>
      <sheetName val="PLAN RS"/>
      <sheetName val="Datos de Entrada"/>
      <sheetName val="1.2.1 RENDIMIENTO"/>
      <sheetName val="Plani"/>
      <sheetName val="Hoja79"/>
      <sheetName val="CC"/>
      <sheetName val="Datos_de_la_localidad"/>
      <sheetName val="Analisis_de_la_T_C__-_2_2"/>
      <sheetName val="PLANILLA_GENERAL"/>
      <sheetName val="Datos_de_la_lkcalidad"/>
      <sheetName val="PLANILLA_LP_22_9_kV"/>
      <sheetName val="DATOS_TECNICOS_SE_SANTUARIO"/>
      <sheetName val="PROC_MANT_LT_1"/>
      <sheetName val="Datos_de_Entrada"/>
      <sheetName val="1_2_1_RENDIMIENTO"/>
      <sheetName val="FORMA-LS3"/>
      <sheetName val="FORMA-LS1-LS2"/>
      <sheetName val="FORMA- RE1"/>
      <sheetName val="FORMA-RL1"/>
      <sheetName val="FORMA-ST1"/>
      <sheetName val="Resumen-RS"/>
      <sheetName val="3. Manpower"/>
      <sheetName val="Matriz"/>
      <sheetName val="C-WATT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P-A-D"/>
      <sheetName val="DATOS DE CAMPO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Hoja4"/>
      <sheetName val="TOTAL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Base Ret. y Pt."/>
      <sheetName val="1.2.1 RENDIMIENTO"/>
      <sheetName val="INGRESO"/>
      <sheetName val="CAP_120mm2"/>
      <sheetName val="CAP-120mm2"/>
      <sheetName val="Datos"/>
      <sheetName val="PLAN_CONFORME"/>
      <sheetName val="1_2_1_RENDIMIENTO"/>
      <sheetName val="Base_Ret__y_Pt_"/>
      <sheetName val="#¡REF"/>
      <sheetName val="1_2_1_RENDIMIENTO1"/>
      <sheetName val="Base_Ret__y_Pt_1"/>
      <sheetName val="18O"/>
    </sheetNames>
    <sheetDataSet>
      <sheetData sheetId="0">
        <row r="3">
          <cell r="B3" t="str">
            <v>OBRA</v>
          </cell>
          <cell r="C3" t="str">
            <v>SECCION</v>
          </cell>
          <cell r="D3" t="str">
            <v>LOCALIDAD</v>
          </cell>
          <cell r="E3" t="str">
            <v>DISTRITO</v>
          </cell>
          <cell r="F3" t="str">
            <v>PROVINCIA</v>
          </cell>
          <cell r="G3" t="str">
            <v>DEPARTAMENTO</v>
          </cell>
          <cell r="H3" t="str">
            <v>5-D-BRUTO</v>
          </cell>
          <cell r="I3" t="str">
            <v>POS_01</v>
          </cell>
          <cell r="J3" t="str">
            <v>N_POSTES</v>
          </cell>
          <cell r="K3" t="str">
            <v>POS_02</v>
          </cell>
          <cell r="L3" t="str">
            <v>6-D-BRUTO</v>
          </cell>
          <cell r="M3" t="str">
            <v>OP_EX</v>
          </cell>
          <cell r="N3" t="str">
            <v>PPS_RP</v>
          </cell>
          <cell r="O3" t="str">
            <v>PPS_LP</v>
          </cell>
          <cell r="P3" t="str">
            <v>CARTEL</v>
          </cell>
          <cell r="Q3" t="str">
            <v>CAMPA</v>
          </cell>
          <cell r="R3" t="str">
            <v>AAAC-25</v>
          </cell>
          <cell r="S3" t="str">
            <v>REP_RP</v>
          </cell>
          <cell r="T3" t="str">
            <v>CON_10</v>
          </cell>
          <cell r="U3" t="str">
            <v>CON_11</v>
          </cell>
          <cell r="V3" t="str">
            <v>R_3F</v>
          </cell>
          <cell r="W3" t="str">
            <v>C_3F</v>
          </cell>
          <cell r="X3" t="str">
            <v>R_2F</v>
          </cell>
          <cell r="Y3" t="str">
            <v>C_2F</v>
          </cell>
          <cell r="Z3" t="str">
            <v>R_MRT</v>
          </cell>
          <cell r="AA3" t="str">
            <v>C_MRT</v>
          </cell>
          <cell r="AB3" t="str">
            <v>PS1-3</v>
          </cell>
          <cell r="AC3" t="str">
            <v>PSH-3</v>
          </cell>
          <cell r="AD3" t="str">
            <v>PA1-3</v>
          </cell>
          <cell r="AE3" t="str">
            <v>P3A1-3</v>
          </cell>
          <cell r="AF3" t="str">
            <v>PA1H-3</v>
          </cell>
          <cell r="AG3" t="str">
            <v>P3A2-3</v>
          </cell>
          <cell r="AH3" t="str">
            <v>PA2-3</v>
          </cell>
          <cell r="AI3" t="str">
            <v>PA2H-3</v>
          </cell>
          <cell r="AJ3" t="str">
            <v>PA3-3</v>
          </cell>
          <cell r="AK3" t="str">
            <v>PR3-3</v>
          </cell>
          <cell r="AL3" t="str">
            <v>PRH-3</v>
          </cell>
          <cell r="AM3" t="str">
            <v>PTH-3</v>
          </cell>
          <cell r="AN3" t="str">
            <v>3PR3-0</v>
          </cell>
          <cell r="AO3" t="str">
            <v>PSEC-3P</v>
          </cell>
          <cell r="AP3" t="str">
            <v>PS1-0</v>
          </cell>
          <cell r="AQ3" t="str">
            <v>PA1-0</v>
          </cell>
          <cell r="AR3" t="str">
            <v>PA2-0</v>
          </cell>
          <cell r="AS3" t="str">
            <v>PA3-0</v>
          </cell>
          <cell r="AT3" t="str">
            <v>PR3-0</v>
          </cell>
          <cell r="AU3" t="str">
            <v>PTV-0</v>
          </cell>
          <cell r="AV3" t="str">
            <v>PTV-0-SP</v>
          </cell>
          <cell r="AW3" t="str">
            <v>PSEC-0P</v>
          </cell>
          <cell r="AX3" t="str">
            <v>PS1-2</v>
          </cell>
          <cell r="AY3" t="str">
            <v>PA1-2</v>
          </cell>
          <cell r="AZ3" t="str">
            <v>PA2-2</v>
          </cell>
          <cell r="BA3" t="str">
            <v>PA3-2</v>
          </cell>
          <cell r="BB3" t="str">
            <v>PR3-2</v>
          </cell>
          <cell r="BC3" t="str">
            <v>PTH-2</v>
          </cell>
          <cell r="BD3" t="str">
            <v>PSEC-2P</v>
          </cell>
          <cell r="BE3" t="str">
            <v>PTV-2</v>
          </cell>
          <cell r="BF3" t="str">
            <v>2PR3-0</v>
          </cell>
          <cell r="BG3" t="str">
            <v>PAT-1</v>
          </cell>
          <cell r="BH3" t="str">
            <v>PAT-2</v>
          </cell>
          <cell r="BI3" t="str">
            <v>R1-A</v>
          </cell>
          <cell r="BJ3" t="str">
            <v>RV-A</v>
          </cell>
          <cell r="BK3" t="str">
            <v>T-75</v>
          </cell>
          <cell r="BL3" t="str">
            <v>T-50</v>
          </cell>
          <cell r="BM3" t="str">
            <v>T-40</v>
          </cell>
          <cell r="BN3" t="str">
            <v>T-25</v>
          </cell>
          <cell r="BO3" t="str">
            <v>T-15</v>
          </cell>
          <cell r="BP3" t="str">
            <v>T-10</v>
          </cell>
          <cell r="BQ3" t="str">
            <v>SMM-1P</v>
          </cell>
          <cell r="BR3" t="str">
            <v>STB</v>
          </cell>
        </row>
        <row r="4">
          <cell r="A4">
            <v>1</v>
          </cell>
          <cell r="B4" t="str">
            <v>P.S.E. ASOCIADO  A  LA  C.H.  TABACONAS</v>
          </cell>
          <cell r="C4" t="str">
            <v>RED  DE  DISTRIBUCION  PRIMARIA     13.2kV  MRT</v>
          </cell>
          <cell r="D4" t="str">
            <v>TABACONAS</v>
          </cell>
          <cell r="E4" t="str">
            <v>TABACONAS</v>
          </cell>
          <cell r="F4" t="str">
            <v>SAN  IGNACIO</v>
          </cell>
          <cell r="G4" t="str">
            <v>CAJAMARCA</v>
          </cell>
          <cell r="H4">
            <v>1</v>
          </cell>
          <cell r="I4">
            <v>1</v>
          </cell>
          <cell r="J4">
            <v>5</v>
          </cell>
          <cell r="K4">
            <v>4</v>
          </cell>
          <cell r="L4">
            <v>5</v>
          </cell>
          <cell r="M4">
            <v>0.5</v>
          </cell>
          <cell r="N4">
            <v>0.16666666666666666</v>
          </cell>
          <cell r="R4">
            <v>0.35</v>
          </cell>
          <cell r="S4">
            <v>0.34</v>
          </cell>
          <cell r="T4">
            <v>1</v>
          </cell>
          <cell r="U4">
            <v>1</v>
          </cell>
          <cell r="W4">
            <v>0</v>
          </cell>
          <cell r="Y4">
            <v>0</v>
          </cell>
          <cell r="Z4">
            <v>0.33700000000000002</v>
          </cell>
          <cell r="AA4">
            <v>0.35</v>
          </cell>
          <cell r="AP4">
            <v>2</v>
          </cell>
          <cell r="AS4">
            <v>1</v>
          </cell>
          <cell r="AU4">
            <v>2</v>
          </cell>
          <cell r="BG4">
            <v>1</v>
          </cell>
          <cell r="BH4">
            <v>3</v>
          </cell>
          <cell r="BI4">
            <v>3</v>
          </cell>
          <cell r="BN4">
            <v>1</v>
          </cell>
          <cell r="BQ4">
            <v>1</v>
          </cell>
        </row>
        <row r="5">
          <cell r="A5">
            <v>2</v>
          </cell>
          <cell r="B5" t="str">
            <v>P.S.E. ASOCIADO  A  LA  C.H.  TABACONAS</v>
          </cell>
          <cell r="C5" t="str">
            <v>RED  DE  DISTRIBUCION  PRIMARIA     13.2kV  MRT</v>
          </cell>
          <cell r="D5" t="str">
            <v>GRANADILLAS BAJO</v>
          </cell>
          <cell r="E5" t="str">
            <v>TABACONAS</v>
          </cell>
          <cell r="F5" t="str">
            <v>SAN  IGNACIO</v>
          </cell>
          <cell r="G5" t="str">
            <v>CAJAMARCA</v>
          </cell>
          <cell r="H5">
            <v>1</v>
          </cell>
          <cell r="I5">
            <v>1</v>
          </cell>
          <cell r="J5">
            <v>4</v>
          </cell>
          <cell r="K5">
            <v>3</v>
          </cell>
          <cell r="L5">
            <v>4</v>
          </cell>
          <cell r="M5">
            <v>0.1</v>
          </cell>
          <cell r="N5">
            <v>0.16666666666666666</v>
          </cell>
          <cell r="R5">
            <v>0.16</v>
          </cell>
          <cell r="S5">
            <v>0.16</v>
          </cell>
          <cell r="T5">
            <v>1</v>
          </cell>
          <cell r="U5">
            <v>1</v>
          </cell>
          <cell r="W5">
            <v>0</v>
          </cell>
          <cell r="Y5">
            <v>0</v>
          </cell>
          <cell r="Z5">
            <v>0.156</v>
          </cell>
          <cell r="AA5">
            <v>0.16</v>
          </cell>
          <cell r="AP5">
            <v>1</v>
          </cell>
          <cell r="AQ5">
            <v>1</v>
          </cell>
          <cell r="AU5">
            <v>2</v>
          </cell>
          <cell r="BG5">
            <v>1</v>
          </cell>
          <cell r="BH5">
            <v>2</v>
          </cell>
          <cell r="BI5">
            <v>2</v>
          </cell>
          <cell r="BO5">
            <v>1</v>
          </cell>
          <cell r="BQ5">
            <v>1</v>
          </cell>
        </row>
        <row r="6">
          <cell r="A6">
            <v>3</v>
          </cell>
          <cell r="B6" t="str">
            <v>P.S.E. ASOCIADO  A  LA  C.H.  TABACONAS</v>
          </cell>
          <cell r="C6" t="str">
            <v>RED  DE  DISTRIBUCION  PRIMARIA     13.2kV  MRT</v>
          </cell>
          <cell r="D6" t="str">
            <v>MANCHARA</v>
          </cell>
          <cell r="E6" t="str">
            <v>TABACONAS</v>
          </cell>
          <cell r="F6" t="str">
            <v>SAN  IGNACIO</v>
          </cell>
          <cell r="G6" t="str">
            <v>CAJAMARCA</v>
          </cell>
          <cell r="H6">
            <v>1</v>
          </cell>
          <cell r="I6">
            <v>1</v>
          </cell>
          <cell r="J6">
            <v>2</v>
          </cell>
          <cell r="K6">
            <v>1</v>
          </cell>
          <cell r="L6">
            <v>2</v>
          </cell>
          <cell r="M6">
            <v>0.1</v>
          </cell>
          <cell r="N6">
            <v>0.16666666666666666</v>
          </cell>
          <cell r="R6">
            <v>7.0000000000000007E-2</v>
          </cell>
          <cell r="S6">
            <v>7.0000000000000007E-2</v>
          </cell>
          <cell r="T6">
            <v>1</v>
          </cell>
          <cell r="U6">
            <v>1</v>
          </cell>
          <cell r="W6">
            <v>0</v>
          </cell>
          <cell r="Y6">
            <v>0</v>
          </cell>
          <cell r="Z6">
            <v>7.0000000000000007E-2</v>
          </cell>
          <cell r="AA6">
            <v>7.0000000000000007E-2</v>
          </cell>
          <cell r="AU6">
            <v>2</v>
          </cell>
          <cell r="BG6">
            <v>1</v>
          </cell>
          <cell r="BI6">
            <v>2</v>
          </cell>
          <cell r="BP6">
            <v>1</v>
          </cell>
          <cell r="BQ6">
            <v>1</v>
          </cell>
        </row>
        <row r="7">
          <cell r="A7">
            <v>4</v>
          </cell>
          <cell r="B7" t="str">
            <v>P.S.E. ASOCIADO  A  LA  C.H.  TABACONAS</v>
          </cell>
          <cell r="C7" t="str">
            <v>RED  DE  DISTRIBUCION  PRIMARIA     13.2kV  MRT</v>
          </cell>
          <cell r="D7" t="str">
            <v>YUSHCAPAMPA</v>
          </cell>
          <cell r="E7" t="str">
            <v>TABACONAS</v>
          </cell>
          <cell r="F7" t="str">
            <v>SAN  IGNACIO</v>
          </cell>
          <cell r="G7" t="str">
            <v>CAJAMARCA</v>
          </cell>
          <cell r="H7">
            <v>1</v>
          </cell>
          <cell r="I7">
            <v>1</v>
          </cell>
          <cell r="J7">
            <v>2</v>
          </cell>
          <cell r="K7">
            <v>1</v>
          </cell>
          <cell r="L7">
            <v>3</v>
          </cell>
          <cell r="M7">
            <v>0.1</v>
          </cell>
          <cell r="N7">
            <v>0.16666666666666666</v>
          </cell>
          <cell r="R7">
            <v>0.15</v>
          </cell>
          <cell r="S7">
            <v>0.14000000000000001</v>
          </cell>
          <cell r="T7">
            <v>1</v>
          </cell>
          <cell r="U7">
            <v>1</v>
          </cell>
          <cell r="W7">
            <v>0</v>
          </cell>
          <cell r="Y7">
            <v>0</v>
          </cell>
          <cell r="Z7">
            <v>0.14099999999999999</v>
          </cell>
          <cell r="AA7">
            <v>0.15</v>
          </cell>
          <cell r="AT7">
            <v>1</v>
          </cell>
          <cell r="AU7">
            <v>2</v>
          </cell>
          <cell r="BG7">
            <v>1</v>
          </cell>
          <cell r="BH7">
            <v>1</v>
          </cell>
          <cell r="BI7">
            <v>2</v>
          </cell>
          <cell r="BP7">
            <v>1</v>
          </cell>
          <cell r="BQ7">
            <v>1</v>
          </cell>
        </row>
        <row r="8">
          <cell r="A8">
            <v>5</v>
          </cell>
          <cell r="B8" t="str">
            <v>P.S.E. ASOCIADO  A  LA  C.H.  TABACONAS</v>
          </cell>
          <cell r="C8" t="str">
            <v>RED  DE  DISTRIBUCION  PRIMARIA     13.2kV  MRT</v>
          </cell>
          <cell r="D8" t="str">
            <v>RODEO PAMPA</v>
          </cell>
          <cell r="E8" t="str">
            <v>TABACONAS</v>
          </cell>
          <cell r="F8" t="str">
            <v>SAN  IGNACIO</v>
          </cell>
          <cell r="G8" t="str">
            <v>CAJAMARCA</v>
          </cell>
          <cell r="H8">
            <v>1</v>
          </cell>
          <cell r="I8">
            <v>1</v>
          </cell>
          <cell r="J8">
            <v>3</v>
          </cell>
          <cell r="K8">
            <v>2</v>
          </cell>
          <cell r="L8">
            <v>4</v>
          </cell>
          <cell r="M8">
            <v>0.1</v>
          </cell>
          <cell r="N8">
            <v>0.16666666666666666</v>
          </cell>
          <cell r="R8">
            <v>0.25</v>
          </cell>
          <cell r="S8">
            <v>0.24</v>
          </cell>
          <cell r="T8">
            <v>1</v>
          </cell>
          <cell r="U8">
            <v>1</v>
          </cell>
          <cell r="W8">
            <v>0</v>
          </cell>
          <cell r="Y8">
            <v>0</v>
          </cell>
          <cell r="Z8">
            <v>0.23899999999999999</v>
          </cell>
          <cell r="AA8">
            <v>0.25</v>
          </cell>
          <cell r="AP8">
            <v>1</v>
          </cell>
          <cell r="AT8">
            <v>1</v>
          </cell>
          <cell r="AU8">
            <v>2</v>
          </cell>
          <cell r="BG8">
            <v>1</v>
          </cell>
          <cell r="BH8">
            <v>2</v>
          </cell>
          <cell r="BI8">
            <v>2</v>
          </cell>
          <cell r="BP8">
            <v>1</v>
          </cell>
          <cell r="BQ8">
            <v>1</v>
          </cell>
        </row>
        <row r="9">
          <cell r="A9">
            <v>6</v>
          </cell>
          <cell r="B9" t="str">
            <v>P.S.E. ASOCIADO  A  LA  C.H.  TABACONAS</v>
          </cell>
          <cell r="C9" t="str">
            <v>RED  DE  DISTRIBUCION  PRIMARIA     13.2kV  MRT</v>
          </cell>
          <cell r="D9" t="str">
            <v>PAMPA LIMON</v>
          </cell>
          <cell r="E9" t="str">
            <v>TABACONAS</v>
          </cell>
          <cell r="F9" t="str">
            <v>SAN  IGNACIO</v>
          </cell>
          <cell r="G9" t="str">
            <v>CAJAMARCA</v>
          </cell>
          <cell r="H9">
            <v>1</v>
          </cell>
          <cell r="I9">
            <v>1</v>
          </cell>
          <cell r="J9">
            <v>1</v>
          </cell>
          <cell r="K9">
            <v>0</v>
          </cell>
          <cell r="L9">
            <v>2</v>
          </cell>
          <cell r="M9">
            <v>0.1</v>
          </cell>
          <cell r="N9">
            <v>0.16666666666666666</v>
          </cell>
          <cell r="R9">
            <v>0.04</v>
          </cell>
          <cell r="S9">
            <v>0.04</v>
          </cell>
          <cell r="T9">
            <v>1</v>
          </cell>
          <cell r="U9">
            <v>1</v>
          </cell>
          <cell r="W9">
            <v>0</v>
          </cell>
          <cell r="Y9">
            <v>0</v>
          </cell>
          <cell r="Z9">
            <v>4.1000000000000002E-2</v>
          </cell>
          <cell r="AA9">
            <v>0.04</v>
          </cell>
          <cell r="AU9">
            <v>2</v>
          </cell>
          <cell r="BG9">
            <v>1</v>
          </cell>
          <cell r="BO9">
            <v>1</v>
          </cell>
          <cell r="BQ9">
            <v>1</v>
          </cell>
        </row>
        <row r="10">
          <cell r="A10">
            <v>7</v>
          </cell>
          <cell r="B10" t="str">
            <v>P.S.E. ASOCIADO  A  LA  C.H.  TABACONAS</v>
          </cell>
          <cell r="C10" t="str">
            <v>RED  DE  DISTRIBUCION  PRIMARIA     13.2kV  MRT</v>
          </cell>
          <cell r="D10" t="str">
            <v>RESUMEN   GENERAL</v>
          </cell>
          <cell r="E10" t="str">
            <v>TABACONAS</v>
          </cell>
          <cell r="F10" t="str">
            <v>SAN  IGNACIO</v>
          </cell>
          <cell r="G10" t="str">
            <v>CAJAMARCA</v>
          </cell>
          <cell r="H10">
            <v>6</v>
          </cell>
          <cell r="I10">
            <v>6</v>
          </cell>
          <cell r="J10">
            <v>17</v>
          </cell>
          <cell r="K10">
            <v>11</v>
          </cell>
          <cell r="L10">
            <v>20</v>
          </cell>
          <cell r="M10">
            <v>0.99999999999999989</v>
          </cell>
          <cell r="N10">
            <v>0.99999999999999989</v>
          </cell>
          <cell r="P10">
            <v>0</v>
          </cell>
          <cell r="Q10">
            <v>0</v>
          </cell>
          <cell r="R10">
            <v>1.02</v>
          </cell>
          <cell r="S10">
            <v>0.9900000000000001</v>
          </cell>
          <cell r="T10">
            <v>6</v>
          </cell>
          <cell r="U10">
            <v>6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0.98399999999999999</v>
          </cell>
          <cell r="AA10">
            <v>1.02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4</v>
          </cell>
          <cell r="AQ10">
            <v>1</v>
          </cell>
          <cell r="AR10">
            <v>0</v>
          </cell>
          <cell r="AS10">
            <v>1</v>
          </cell>
          <cell r="AT10">
            <v>2</v>
          </cell>
          <cell r="AU10">
            <v>12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6</v>
          </cell>
          <cell r="BH10">
            <v>8</v>
          </cell>
          <cell r="BI10">
            <v>11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1</v>
          </cell>
          <cell r="BO10">
            <v>2</v>
          </cell>
          <cell r="BP10">
            <v>3</v>
          </cell>
          <cell r="BQ10">
            <v>6</v>
          </cell>
          <cell r="BR10">
            <v>0</v>
          </cell>
        </row>
        <row r="11">
          <cell r="A11">
            <v>8</v>
          </cell>
          <cell r="B11" t="str">
            <v>P.S.E. ASOCIADO  A  LA  C.H.  SALLIQUE</v>
          </cell>
          <cell r="C11" t="str">
            <v>L.P. TRONCAL C.H. SALLIQUE-SALLIQUE 22.9kV TRIFASICO</v>
          </cell>
          <cell r="D11" t="str">
            <v>SALLIQUE</v>
          </cell>
          <cell r="E11" t="str">
            <v>SALLIQUE</v>
          </cell>
          <cell r="F11" t="str">
            <v>JAEN</v>
          </cell>
          <cell r="G11" t="str">
            <v>CAJAMARCA</v>
          </cell>
          <cell r="J11">
            <v>2</v>
          </cell>
          <cell r="K11">
            <v>2</v>
          </cell>
          <cell r="L11">
            <v>2</v>
          </cell>
          <cell r="V11">
            <v>0.11434</v>
          </cell>
          <cell r="W11">
            <v>0.36</v>
          </cell>
          <cell r="AB11">
            <v>1</v>
          </cell>
          <cell r="AO11">
            <v>1</v>
          </cell>
          <cell r="BG11">
            <v>2</v>
          </cell>
          <cell r="BH11">
            <v>0</v>
          </cell>
          <cell r="BI11">
            <v>1</v>
          </cell>
          <cell r="BQ11">
            <v>0</v>
          </cell>
          <cell r="BR11">
            <v>0</v>
          </cell>
        </row>
        <row r="12">
          <cell r="A12">
            <v>9</v>
          </cell>
          <cell r="B12" t="str">
            <v>P.S.E. ASOCIADO  A  LA  C.H.  SALLIQUE</v>
          </cell>
          <cell r="C12" t="str">
            <v>L.P. DERIVACION  PIQUIJACA 13.2kV MRT</v>
          </cell>
          <cell r="D12" t="str">
            <v>PIQUIJACA</v>
          </cell>
          <cell r="E12" t="str">
            <v>SALLIQUE</v>
          </cell>
          <cell r="F12" t="str">
            <v>JAEN</v>
          </cell>
          <cell r="G12" t="str">
            <v>CAJAMARCA</v>
          </cell>
          <cell r="J12">
            <v>36</v>
          </cell>
          <cell r="K12">
            <v>36</v>
          </cell>
          <cell r="L12">
            <v>36</v>
          </cell>
          <cell r="W12">
            <v>0</v>
          </cell>
          <cell r="Z12">
            <v>9.3792899999999992</v>
          </cell>
          <cell r="AP12">
            <v>13</v>
          </cell>
          <cell r="AQ12">
            <v>1</v>
          </cell>
          <cell r="AT12">
            <v>20</v>
          </cell>
          <cell r="AU12">
            <v>1</v>
          </cell>
          <cell r="AW12">
            <v>1</v>
          </cell>
          <cell r="BG12">
            <v>4</v>
          </cell>
          <cell r="BH12">
            <v>32</v>
          </cell>
          <cell r="BI12">
            <v>44</v>
          </cell>
          <cell r="BQ12">
            <v>0</v>
          </cell>
          <cell r="BR12">
            <v>0</v>
          </cell>
        </row>
        <row r="13">
          <cell r="A13">
            <v>10</v>
          </cell>
          <cell r="B13" t="str">
            <v>P.S.E. ASOCIADO  A  LA  C.H.  SALLIQUE</v>
          </cell>
          <cell r="C13" t="str">
            <v>L.P. RAMAL CATALA  13.2kV MRT</v>
          </cell>
          <cell r="D13" t="str">
            <v>CATALA</v>
          </cell>
          <cell r="E13" t="str">
            <v>SALLIQUE</v>
          </cell>
          <cell r="F13" t="str">
            <v>JAEN</v>
          </cell>
          <cell r="G13" t="str">
            <v>CAJAMARCA</v>
          </cell>
          <cell r="I13">
            <v>1</v>
          </cell>
          <cell r="J13">
            <v>4</v>
          </cell>
          <cell r="K13">
            <v>3</v>
          </cell>
          <cell r="L13">
            <v>5</v>
          </cell>
          <cell r="W13">
            <v>0</v>
          </cell>
          <cell r="Z13">
            <v>0.75175000000000003</v>
          </cell>
          <cell r="AT13">
            <v>3</v>
          </cell>
          <cell r="AU13">
            <v>2</v>
          </cell>
          <cell r="BG13">
            <v>0</v>
          </cell>
          <cell r="BH13">
            <v>3</v>
          </cell>
          <cell r="BI13">
            <v>8</v>
          </cell>
          <cell r="BQ13">
            <v>0</v>
          </cell>
          <cell r="BR13">
            <v>0</v>
          </cell>
        </row>
        <row r="14">
          <cell r="A14">
            <v>11</v>
          </cell>
          <cell r="B14" t="str">
            <v>P.S.E. ASOCIADO  A  LA  C.H.  SALLIQUE</v>
          </cell>
          <cell r="C14" t="str">
            <v>L.P. DERIVACION  SHIMANA 13.2kV MRT</v>
          </cell>
          <cell r="D14" t="str">
            <v>SHIMANA</v>
          </cell>
          <cell r="E14" t="str">
            <v>SALLIQUE</v>
          </cell>
          <cell r="F14" t="str">
            <v>JAEN</v>
          </cell>
          <cell r="G14" t="str">
            <v>CAJAMARCA</v>
          </cell>
          <cell r="J14">
            <v>13</v>
          </cell>
          <cell r="K14">
            <v>13</v>
          </cell>
          <cell r="L14">
            <v>13</v>
          </cell>
          <cell r="W14">
            <v>0</v>
          </cell>
          <cell r="Z14">
            <v>2.4500000000000002</v>
          </cell>
          <cell r="AP14">
            <v>8</v>
          </cell>
          <cell r="AT14">
            <v>3</v>
          </cell>
          <cell r="AU14">
            <v>1</v>
          </cell>
          <cell r="AW14">
            <v>1</v>
          </cell>
          <cell r="BG14">
            <v>1</v>
          </cell>
          <cell r="BH14">
            <v>12</v>
          </cell>
          <cell r="BI14">
            <v>8</v>
          </cell>
          <cell r="BQ14">
            <v>0</v>
          </cell>
          <cell r="BR14">
            <v>0</v>
          </cell>
        </row>
        <row r="15">
          <cell r="A15">
            <v>12</v>
          </cell>
          <cell r="B15" t="str">
            <v>P.S.E. ASOCIADO  A  LA  C.H.  SALLIQUE</v>
          </cell>
          <cell r="C15" t="str">
            <v>L.P. DERIVACION  AYACATE 13.2kV MRT</v>
          </cell>
          <cell r="D15" t="str">
            <v>AYACATE</v>
          </cell>
          <cell r="E15" t="str">
            <v>SALLIQUE</v>
          </cell>
          <cell r="F15" t="str">
            <v>JAEN</v>
          </cell>
          <cell r="G15" t="str">
            <v>CAJAMARCA</v>
          </cell>
          <cell r="I15">
            <v>1</v>
          </cell>
          <cell r="J15">
            <v>15</v>
          </cell>
          <cell r="K15">
            <v>14</v>
          </cell>
          <cell r="L15">
            <v>15</v>
          </cell>
          <cell r="W15">
            <v>0</v>
          </cell>
          <cell r="Z15">
            <v>4.01</v>
          </cell>
          <cell r="AP15">
            <v>5</v>
          </cell>
          <cell r="AT15">
            <v>8</v>
          </cell>
          <cell r="AU15">
            <v>1</v>
          </cell>
          <cell r="AW15">
            <v>1</v>
          </cell>
          <cell r="BG15">
            <v>2</v>
          </cell>
          <cell r="BH15">
            <v>12</v>
          </cell>
          <cell r="BI15">
            <v>18</v>
          </cell>
          <cell r="BQ15">
            <v>0</v>
          </cell>
          <cell r="BR15">
            <v>0</v>
          </cell>
        </row>
        <row r="16">
          <cell r="A16">
            <v>13</v>
          </cell>
          <cell r="B16" t="str">
            <v>P.S.E. ASOCIADO  A  LA  C.H.  SALLIQUE</v>
          </cell>
          <cell r="C16" t="str">
            <v>L.P. RAMAL TABACAL  13.2kV MRT</v>
          </cell>
          <cell r="D16" t="str">
            <v>TABACAL</v>
          </cell>
          <cell r="E16" t="str">
            <v>SALLIQUE</v>
          </cell>
          <cell r="F16" t="str">
            <v>JAEN</v>
          </cell>
          <cell r="G16" t="str">
            <v>CAJAMARCA</v>
          </cell>
          <cell r="J16">
            <v>3</v>
          </cell>
          <cell r="K16">
            <v>3</v>
          </cell>
          <cell r="L16">
            <v>4</v>
          </cell>
          <cell r="W16">
            <v>0</v>
          </cell>
          <cell r="Z16">
            <v>0.54576999999999998</v>
          </cell>
          <cell r="AT16">
            <v>2</v>
          </cell>
          <cell r="AU16">
            <v>2</v>
          </cell>
          <cell r="BG16">
            <v>1</v>
          </cell>
          <cell r="BH16">
            <v>2</v>
          </cell>
          <cell r="BI16">
            <v>5</v>
          </cell>
          <cell r="BQ16">
            <v>0</v>
          </cell>
          <cell r="BR16">
            <v>0</v>
          </cell>
        </row>
        <row r="17">
          <cell r="A17">
            <v>14</v>
          </cell>
          <cell r="B17" t="str">
            <v>P.S.E. ASOCIADO  A  LA  C.H.  SALLIQUE</v>
          </cell>
          <cell r="C17" t="str">
            <v>LINEAS  PRIMARIAS   22.9/13.2kV - MRT  -   RESUMEN  GENERAL</v>
          </cell>
          <cell r="D17" t="str">
            <v>RESUMEN   GENERAL</v>
          </cell>
          <cell r="E17" t="str">
            <v>SALLIQUE</v>
          </cell>
          <cell r="F17" t="str">
            <v>JAEN</v>
          </cell>
          <cell r="G17" t="str">
            <v>CAJAMARCA</v>
          </cell>
          <cell r="H17">
            <v>0</v>
          </cell>
          <cell r="I17">
            <v>2</v>
          </cell>
          <cell r="J17">
            <v>73</v>
          </cell>
          <cell r="K17">
            <v>71</v>
          </cell>
          <cell r="L17">
            <v>75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V17">
            <v>0.11434</v>
          </cell>
          <cell r="W17">
            <v>0.36</v>
          </cell>
          <cell r="X17">
            <v>0</v>
          </cell>
          <cell r="Y17">
            <v>0</v>
          </cell>
          <cell r="Z17">
            <v>17.136810000000001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1</v>
          </cell>
          <cell r="AP17">
            <v>26</v>
          </cell>
          <cell r="AQ17">
            <v>1</v>
          </cell>
          <cell r="AR17">
            <v>0</v>
          </cell>
          <cell r="AS17">
            <v>0</v>
          </cell>
          <cell r="AT17">
            <v>36</v>
          </cell>
          <cell r="AU17">
            <v>7</v>
          </cell>
          <cell r="AV17">
            <v>0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10</v>
          </cell>
          <cell r="BH17">
            <v>61</v>
          </cell>
          <cell r="BI17">
            <v>84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</row>
        <row r="18">
          <cell r="A18">
            <v>15</v>
          </cell>
          <cell r="B18" t="str">
            <v>P.S.E. ASOCIADO  A  LA  C.H.  HUALLAPE</v>
          </cell>
          <cell r="C18" t="str">
            <v>L.P. TRONCAL HUALLAPE 22.9kV TRIFASICO</v>
          </cell>
          <cell r="D18" t="str">
            <v>HUALLAPE</v>
          </cell>
          <cell r="E18" t="str">
            <v>SANTA ROSA</v>
          </cell>
          <cell r="F18" t="str">
            <v>JAEN</v>
          </cell>
          <cell r="G18" t="str">
            <v>CAJAMARCA</v>
          </cell>
          <cell r="J18">
            <v>38</v>
          </cell>
          <cell r="K18">
            <v>38</v>
          </cell>
          <cell r="L18">
            <v>38</v>
          </cell>
          <cell r="V18">
            <v>6.4194699999999996</v>
          </cell>
          <cell r="W18">
            <v>20.22</v>
          </cell>
          <cell r="AB18">
            <v>31</v>
          </cell>
          <cell r="AD18">
            <v>1</v>
          </cell>
          <cell r="AH18">
            <v>2</v>
          </cell>
          <cell r="AJ18">
            <v>1</v>
          </cell>
          <cell r="AK18">
            <v>1</v>
          </cell>
          <cell r="AM18">
            <v>1</v>
          </cell>
          <cell r="AO18">
            <v>1</v>
          </cell>
          <cell r="BG18">
            <v>3</v>
          </cell>
          <cell r="BH18">
            <v>35</v>
          </cell>
          <cell r="BI18">
            <v>10</v>
          </cell>
          <cell r="BQ18">
            <v>0</v>
          </cell>
          <cell r="BR1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DATOS"/>
      <sheetName val="Hoja4"/>
      <sheetName val="FORMULA"/>
      <sheetName val="CALENDARIO"/>
      <sheetName val="REV3"/>
      <sheetName val="CAP-120mm2"/>
      <sheetName val="INGRESO"/>
      <sheetName val="RES"/>
      <sheetName val="CENSO93"/>
      <sheetName val="Datos de Entrada"/>
      <sheetName val="1.2.1 RENDIMIENTO"/>
      <sheetName val="FORMA-SE2"/>
      <sheetName val="Plani"/>
      <sheetName val="Datos de la localidad"/>
      <sheetName val="Analisis de la T.C. - 2.2"/>
      <sheetName val="#¡REF"/>
      <sheetName val="QURR"/>
      <sheetName val="PLANILLA GENERAL"/>
      <sheetName val="LOCALIDADES"/>
      <sheetName val="Datos de la lkcalidad"/>
      <sheetName val="#¡RED"/>
      <sheetName val="CALCULO"/>
      <sheetName val="DATA"/>
      <sheetName val="PLANILLA LP 22.9 kV"/>
      <sheetName val="Hoja79"/>
      <sheetName val="Resumen-RS"/>
      <sheetName val="CC"/>
      <sheetName val="3. Manpower"/>
      <sheetName val="DATOS DE CAMPO"/>
      <sheetName val="P-A-D"/>
      <sheetName val="FlujoTJ"/>
      <sheetName val="EVAL"/>
      <sheetName val="Matriz"/>
      <sheetName val="C-WATT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Tipo de Cambio"/>
      <sheetName val="1_2_1_RENDIMIENTO"/>
      <sheetName val="Datos_de_Entrada"/>
      <sheetName val="Datos_de_la_localidad"/>
      <sheetName val="Analisis_de_la_T_C__-_2_2"/>
      <sheetName val="PLANILLA_GENERAL"/>
      <sheetName val="Datos_de_la_lkcalidad"/>
      <sheetName val="PLANILLA_LP_22_9_kV"/>
      <sheetName val="3__Manpower"/>
      <sheetName val="DATOS_DE_CAMPO"/>
      <sheetName val="DATOS TECNICOS SE SANTUARIO"/>
      <sheetName val="PROC MANT LT 1"/>
      <sheetName val="YTD Comments"/>
      <sheetName val="ARRS"/>
      <sheetName val="BasE"/>
      <sheetName val="Tipo_de_Cambio"/>
      <sheetName val="1_2_1_RENDIMIENTO1"/>
      <sheetName val="Datos_de_Entrada1"/>
      <sheetName val="Datos_de_la_localidad1"/>
      <sheetName val="Analisis_de_la_T_C__-_2_21"/>
      <sheetName val="PLANILLA_GENERAL1"/>
      <sheetName val="Datos_de_la_lkcalidad1"/>
      <sheetName val="PLANILLA_LP_22_9_kV1"/>
      <sheetName val="3__Manpower1"/>
      <sheetName val="DATOS_DE_CAMPO1"/>
      <sheetName val="Tipo_de_Cambio1"/>
      <sheetName val="fp"/>
      <sheetName val="18O"/>
    </sheetNames>
    <sheetDataSet>
      <sheetData sheetId="0" refreshError="1"/>
      <sheetData sheetId="1" refreshError="1">
        <row r="287">
          <cell r="A287" t="str">
            <v>PT_03</v>
          </cell>
          <cell r="C287" t="str">
            <v>SI</v>
          </cell>
          <cell r="D287" t="str">
            <v>4.01</v>
          </cell>
          <cell r="F287" t="str">
            <v xml:space="preserve">Conector de Cu tipo perno partido </v>
          </cell>
          <cell r="I287" t="str">
            <v>U</v>
          </cell>
          <cell r="J287">
            <v>12</v>
          </cell>
          <cell r="K287">
            <v>2.4900000000000002</v>
          </cell>
          <cell r="L287">
            <v>29.88</v>
          </cell>
          <cell r="O287">
            <v>0</v>
          </cell>
        </row>
        <row r="292">
          <cell r="D292" t="str">
            <v>5.00</v>
          </cell>
          <cell r="F292" t="str">
            <v>EQUIPOS DE PROTECCION Y SECCIONAMIENTO</v>
          </cell>
          <cell r="O292">
            <v>0</v>
          </cell>
        </row>
        <row r="293">
          <cell r="A293" t="str">
            <v>PROT_02</v>
          </cell>
          <cell r="C293" t="str">
            <v>SI</v>
          </cell>
          <cell r="D293" t="str">
            <v>5.01</v>
          </cell>
          <cell r="F293" t="str">
            <v>Seccionador fusible unipolar Cut-out 36 kV, 100 A, 150kV BIL</v>
          </cell>
          <cell r="I293" t="str">
            <v>U</v>
          </cell>
          <cell r="J293">
            <v>11</v>
          </cell>
          <cell r="K293">
            <v>226.24</v>
          </cell>
          <cell r="L293">
            <v>2488.64</v>
          </cell>
          <cell r="O293">
            <v>0</v>
          </cell>
        </row>
        <row r="294">
          <cell r="F294" t="str">
            <v>SUB TOTAL</v>
          </cell>
          <cell r="M294">
            <v>2488.64</v>
          </cell>
          <cell r="O29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CHA 1"/>
      <sheetName val="FICHA 2"/>
      <sheetName val="VAL.PRINC"/>
      <sheetName val="VAL.M.M"/>
      <sheetName val="VAL.PN"/>
      <sheetName val="Hoja2"/>
      <sheetName val="Hoja3"/>
      <sheetName val="RES. VAL. "/>
      <sheetName val="MET. DIA"/>
      <sheetName val="MET.DIA M.M"/>
      <sheetName val="MET. DIA P.N."/>
      <sheetName val="Hoja1"/>
      <sheetName val="CS"/>
      <sheetName val="MET.ADIC"/>
      <sheetName val="MET.EXP"/>
      <sheetName val="CRON"/>
      <sheetName val="gantt (2)"/>
    </sheetNames>
    <sheetDataSet>
      <sheetData sheetId="0"/>
      <sheetData sheetId="1">
        <row r="164">
          <cell r="AB164">
            <v>861837.90733333374</v>
          </cell>
        </row>
      </sheetData>
      <sheetData sheetId="2">
        <row r="3">
          <cell r="B3" t="str">
            <v>INFORME CORRESPONDIENTE AL MES DE JUNIO DEL 2017</v>
          </cell>
        </row>
        <row r="4">
          <cell r="D4" t="str">
            <v>“MEJORAMIENTO DEL SERVICIO EDUCATIVO DE NIVEL INICIAL EN LA IEI 1100 PICHIUCA PROVINCIA DE ABANCAY - REGIÓN APURÍMAC".</v>
          </cell>
        </row>
        <row r="5">
          <cell r="D5" t="str">
            <v>22 EDUCACION</v>
          </cell>
          <cell r="P5" t="str">
            <v>LAMBRAMA</v>
          </cell>
        </row>
        <row r="6">
          <cell r="D6" t="str">
            <v>RECURSOS ORDINARIOS</v>
          </cell>
          <cell r="P6" t="str">
            <v>ABANCAY</v>
          </cell>
        </row>
        <row r="7">
          <cell r="P7" t="str">
            <v>APURIMAC</v>
          </cell>
        </row>
      </sheetData>
      <sheetData sheetId="3"/>
      <sheetData sheetId="4"/>
      <sheetData sheetId="5"/>
      <sheetData sheetId="6"/>
      <sheetData sheetId="7">
        <row r="38">
          <cell r="H38">
            <v>79361.01860000001</v>
          </cell>
        </row>
      </sheetData>
      <sheetData sheetId="8"/>
      <sheetData sheetId="9"/>
      <sheetData sheetId="10">
        <row r="13">
          <cell r="AI13">
            <v>750</v>
          </cell>
        </row>
        <row r="14">
          <cell r="AI14">
            <v>98</v>
          </cell>
        </row>
        <row r="17">
          <cell r="AI17">
            <v>25670.31</v>
          </cell>
        </row>
        <row r="18">
          <cell r="AI18">
            <v>49</v>
          </cell>
        </row>
        <row r="19">
          <cell r="AI19">
            <v>7392</v>
          </cell>
        </row>
        <row r="20">
          <cell r="AI20">
            <v>8118</v>
          </cell>
        </row>
        <row r="21">
          <cell r="AI21">
            <v>297.68</v>
          </cell>
        </row>
      </sheetData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CHA 1"/>
      <sheetName val="FICHA 2"/>
      <sheetName val="Hoja2"/>
      <sheetName val="CRONGRAMA JULIO"/>
      <sheetName val="VAL. PRINC"/>
      <sheetName val="Hoja5"/>
      <sheetName val="Hoja6"/>
      <sheetName val="Hoja7"/>
      <sheetName val="VAL.M.M"/>
      <sheetName val="VAL.PN"/>
      <sheetName val="METRADOS PN"/>
      <sheetName val="RES. VAL. "/>
      <sheetName val="MET AGOSTO"/>
      <sheetName val="Hoja4"/>
      <sheetName val="Hoja11"/>
      <sheetName val="Hoja10"/>
      <sheetName val="Hoja9"/>
      <sheetName val="MET. DIA"/>
      <sheetName val="Hoja3"/>
      <sheetName val="MET.DIA M.M"/>
      <sheetName val="MET. DIA P.N."/>
      <sheetName val="Hoja8"/>
      <sheetName val="Hoja1"/>
      <sheetName val="P.NUEVAS PROYECTADAS"/>
      <sheetName val="CS"/>
      <sheetName val="MET.ADIC"/>
      <sheetName val="MET.EXP"/>
      <sheetName val="CRON"/>
      <sheetName val="gantt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4">
          <cell r="H14">
            <v>74832.791299999997</v>
          </cell>
        </row>
        <row r="15">
          <cell r="H15">
            <v>74832.75</v>
          </cell>
        </row>
        <row r="16">
          <cell r="H16">
            <v>390219.46500000003</v>
          </cell>
        </row>
        <row r="17">
          <cell r="H17">
            <v>72474.674800000008</v>
          </cell>
        </row>
        <row r="18">
          <cell r="H18">
            <v>0</v>
          </cell>
        </row>
        <row r="19">
          <cell r="H19">
            <v>3211.13</v>
          </cell>
        </row>
        <row r="38">
          <cell r="H38">
            <v>540738.0686</v>
          </cell>
        </row>
        <row r="39">
          <cell r="H39">
            <v>55816.822099999998</v>
          </cell>
        </row>
        <row r="40">
          <cell r="H40">
            <v>286835.83134454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CHA 1"/>
      <sheetName val="FICHA 2"/>
      <sheetName val="Hoja2"/>
      <sheetName val="VAL.PRINC"/>
      <sheetName val="CRONGRAMA JULIO"/>
      <sheetName val="VAL.M.M"/>
      <sheetName val="VAL.PN"/>
      <sheetName val="METRADOS PN"/>
      <sheetName val="Hoja4"/>
      <sheetName val="RES. VAL. "/>
      <sheetName val="MET AGOSTO"/>
      <sheetName val="MET. DIA"/>
      <sheetName val="Hoja3"/>
      <sheetName val="MET.DIA M.M"/>
      <sheetName val="MET. DIA P.N."/>
      <sheetName val="Hoja1"/>
      <sheetName val="P.NUEVAS PROYECTADAS"/>
      <sheetName val="CS"/>
      <sheetName val="MET.ADIC"/>
      <sheetName val="MET.EXP"/>
      <sheetName val="CRON"/>
      <sheetName val="gantt (2)"/>
    </sheetNames>
    <sheetDataSet>
      <sheetData sheetId="0" refreshError="1"/>
      <sheetData sheetId="1" refreshError="1"/>
      <sheetData sheetId="2" refreshError="1"/>
      <sheetData sheetId="3" refreshError="1">
        <row r="38">
          <cell r="B38" t="str">
            <v>ESTRUCTURAS</v>
          </cell>
        </row>
        <row r="292">
          <cell r="B292" t="str">
            <v>ARQUITECTURA</v>
          </cell>
        </row>
        <row r="542">
          <cell r="B542" t="str">
            <v>INSTALACIONES SANITARIAS</v>
          </cell>
        </row>
        <row r="601">
          <cell r="B601" t="str">
            <v>INSTALACIONES ELECTRICAS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RADO GENERAL"/>
      <sheetName val="METRADO ACERO"/>
      <sheetName val="Hoja1"/>
      <sheetName val="PARTIDAS EJEC. OCTUBRE"/>
      <sheetName val="FICHA 1"/>
      <sheetName val="Hoja2"/>
      <sheetName val="CRONGRAMA JULIO"/>
      <sheetName val="DATOS GENERALES"/>
      <sheetName val="FICHA 2 VALE"/>
      <sheetName val="VAL. PRINC"/>
      <sheetName val="Hoja5"/>
      <sheetName val="Hoja6"/>
      <sheetName val="Hoja7"/>
      <sheetName val="METRADOS PN"/>
      <sheetName val="RES. VAL. "/>
      <sheetName val="MET AGOSTO"/>
      <sheetName val="Hoja4"/>
      <sheetName val="Hoja11"/>
      <sheetName val="Hoja10"/>
      <sheetName val="Hoja9"/>
      <sheetName val="Hoja3"/>
      <sheetName val="Hoja12"/>
      <sheetName val="Hoja8"/>
      <sheetName val="P.NUEVAS PROYECTADAS"/>
      <sheetName val="MET.MM"/>
      <sheetName val="MET.PN"/>
      <sheetName val="curva S NNN"/>
      <sheetName val="ABRIL "/>
      <sheetName val="Hoja14"/>
      <sheetName val="MET.ADIC"/>
      <sheetName val="MET.EXP"/>
      <sheetName val="CRON"/>
      <sheetName val="gantt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01"/>
      <sheetName val="FE-02 (2)"/>
      <sheetName val="FE -03"/>
      <sheetName val="FE -04 "/>
      <sheetName val="VAL. PN"/>
      <sheetName val="VAL.MM"/>
      <sheetName val="VAL.ADIC"/>
      <sheetName val="VAL.PRINC"/>
      <sheetName val="RES. VAL. FINAL"/>
      <sheetName val="RESUMEN VALORIZACION"/>
      <sheetName val="MET. ADIC"/>
      <sheetName val="MET. EXP. TEC."/>
      <sheetName val="CRON. VALORIZADO"/>
      <sheetName val="gantt"/>
      <sheetName val="Hoja1"/>
      <sheetName val="Hoja1 (2)"/>
      <sheetName val="F-4 METRADOS DIARIOS"/>
      <sheetName val="Hoja2"/>
      <sheetName val="Informe de compatibilid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5">
          <cell r="I15">
            <v>0</v>
          </cell>
        </row>
        <row r="16">
          <cell r="I16">
            <v>0</v>
          </cell>
        </row>
        <row r="17">
          <cell r="I17">
            <v>0</v>
          </cell>
        </row>
        <row r="18">
          <cell r="I18">
            <v>0</v>
          </cell>
        </row>
        <row r="19">
          <cell r="I19">
            <v>0</v>
          </cell>
        </row>
        <row r="20">
          <cell r="I20">
            <v>0</v>
          </cell>
        </row>
        <row r="21">
          <cell r="I21">
            <v>0</v>
          </cell>
        </row>
        <row r="22">
          <cell r="I22">
            <v>0</v>
          </cell>
        </row>
        <row r="23">
          <cell r="I23">
            <v>0</v>
          </cell>
        </row>
        <row r="24">
          <cell r="I24">
            <v>0</v>
          </cell>
        </row>
        <row r="25">
          <cell r="I25">
            <v>0</v>
          </cell>
        </row>
        <row r="26">
          <cell r="I26">
            <v>0</v>
          </cell>
        </row>
        <row r="27">
          <cell r="I27">
            <v>0</v>
          </cell>
        </row>
        <row r="28">
          <cell r="I28">
            <v>0</v>
          </cell>
        </row>
        <row r="29">
          <cell r="I29">
            <v>0</v>
          </cell>
        </row>
        <row r="30">
          <cell r="I30">
            <v>0</v>
          </cell>
        </row>
        <row r="31">
          <cell r="I31">
            <v>24.0306</v>
          </cell>
        </row>
        <row r="32">
          <cell r="I32">
            <v>12.784000000000001</v>
          </cell>
        </row>
        <row r="33">
          <cell r="I33">
            <v>9.1212800000000005</v>
          </cell>
        </row>
        <row r="34">
          <cell r="I34">
            <v>385.34240000000005</v>
          </cell>
        </row>
        <row r="35">
          <cell r="I35">
            <v>7.8</v>
          </cell>
        </row>
        <row r="36">
          <cell r="I36">
            <v>2.1840000000000002</v>
          </cell>
        </row>
        <row r="37">
          <cell r="I37">
            <v>1.9296</v>
          </cell>
        </row>
        <row r="38">
          <cell r="I38">
            <v>3.3521999999999998</v>
          </cell>
        </row>
        <row r="39">
          <cell r="I39">
            <v>0</v>
          </cell>
        </row>
        <row r="40">
          <cell r="I40">
            <v>0</v>
          </cell>
        </row>
        <row r="41">
          <cell r="I41">
            <v>0</v>
          </cell>
        </row>
        <row r="42">
          <cell r="I42">
            <v>0</v>
          </cell>
        </row>
        <row r="43">
          <cell r="I43">
            <v>0</v>
          </cell>
        </row>
        <row r="44">
          <cell r="I44">
            <v>0</v>
          </cell>
        </row>
        <row r="45">
          <cell r="I45">
            <v>0</v>
          </cell>
        </row>
        <row r="46">
          <cell r="I46">
            <v>0</v>
          </cell>
        </row>
        <row r="47">
          <cell r="I47">
            <v>0</v>
          </cell>
        </row>
        <row r="48">
          <cell r="I48">
            <v>0</v>
          </cell>
        </row>
        <row r="49">
          <cell r="I49">
            <v>0</v>
          </cell>
        </row>
        <row r="50">
          <cell r="I50">
            <v>0</v>
          </cell>
        </row>
        <row r="51">
          <cell r="I51">
            <v>0</v>
          </cell>
        </row>
        <row r="52">
          <cell r="I52">
            <v>0</v>
          </cell>
        </row>
        <row r="53">
          <cell r="I53">
            <v>0</v>
          </cell>
        </row>
        <row r="54">
          <cell r="I54">
            <v>0</v>
          </cell>
        </row>
        <row r="55">
          <cell r="I55">
            <v>0</v>
          </cell>
        </row>
        <row r="56">
          <cell r="I56">
            <v>0</v>
          </cell>
        </row>
        <row r="57">
          <cell r="I57">
            <v>0</v>
          </cell>
        </row>
        <row r="58">
          <cell r="I58">
            <v>0</v>
          </cell>
        </row>
        <row r="59">
          <cell r="I59">
            <v>0</v>
          </cell>
        </row>
        <row r="60">
          <cell r="I60">
            <v>0</v>
          </cell>
        </row>
        <row r="61">
          <cell r="I61">
            <v>0</v>
          </cell>
        </row>
        <row r="62">
          <cell r="I62">
            <v>0</v>
          </cell>
        </row>
        <row r="63">
          <cell r="I63">
            <v>0</v>
          </cell>
        </row>
        <row r="64">
          <cell r="I64">
            <v>0</v>
          </cell>
        </row>
        <row r="65">
          <cell r="I65">
            <v>0</v>
          </cell>
        </row>
        <row r="66">
          <cell r="I66">
            <v>0</v>
          </cell>
        </row>
        <row r="67">
          <cell r="I67">
            <v>0</v>
          </cell>
        </row>
        <row r="68">
          <cell r="I68">
            <v>0</v>
          </cell>
        </row>
        <row r="69">
          <cell r="I69">
            <v>0</v>
          </cell>
        </row>
        <row r="70">
          <cell r="I70">
            <v>0</v>
          </cell>
        </row>
        <row r="71">
          <cell r="I71">
            <v>0</v>
          </cell>
        </row>
        <row r="72">
          <cell r="I72">
            <v>0</v>
          </cell>
        </row>
        <row r="73">
          <cell r="I73">
            <v>0</v>
          </cell>
        </row>
        <row r="74">
          <cell r="I74">
            <v>0</v>
          </cell>
        </row>
        <row r="75">
          <cell r="I75">
            <v>0</v>
          </cell>
        </row>
        <row r="76">
          <cell r="I76">
            <v>0</v>
          </cell>
        </row>
        <row r="77">
          <cell r="I77">
            <v>0</v>
          </cell>
        </row>
        <row r="78">
          <cell r="I78">
            <v>0</v>
          </cell>
        </row>
        <row r="79">
          <cell r="I79">
            <v>0</v>
          </cell>
        </row>
        <row r="80">
          <cell r="I80">
            <v>0</v>
          </cell>
        </row>
        <row r="81">
          <cell r="I81">
            <v>0</v>
          </cell>
        </row>
        <row r="82">
          <cell r="I82">
            <v>0</v>
          </cell>
        </row>
        <row r="83">
          <cell r="I83">
            <v>0</v>
          </cell>
        </row>
        <row r="84">
          <cell r="I84">
            <v>0</v>
          </cell>
        </row>
        <row r="85">
          <cell r="I85">
            <v>0</v>
          </cell>
        </row>
        <row r="86">
          <cell r="I86">
            <v>0</v>
          </cell>
        </row>
        <row r="87">
          <cell r="I87">
            <v>0</v>
          </cell>
        </row>
        <row r="88">
          <cell r="I88">
            <v>0</v>
          </cell>
        </row>
        <row r="89">
          <cell r="I89">
            <v>0</v>
          </cell>
        </row>
        <row r="90">
          <cell r="I90">
            <v>0</v>
          </cell>
        </row>
        <row r="91">
          <cell r="I91">
            <v>0</v>
          </cell>
        </row>
        <row r="92">
          <cell r="I92">
            <v>0</v>
          </cell>
        </row>
        <row r="93">
          <cell r="I93">
            <v>0</v>
          </cell>
        </row>
        <row r="94">
          <cell r="I94">
            <v>0</v>
          </cell>
        </row>
        <row r="95">
          <cell r="I95">
            <v>0</v>
          </cell>
        </row>
        <row r="96">
          <cell r="I96">
            <v>0</v>
          </cell>
        </row>
        <row r="97">
          <cell r="I97">
            <v>0</v>
          </cell>
        </row>
        <row r="98">
          <cell r="I98">
            <v>0</v>
          </cell>
        </row>
        <row r="99">
          <cell r="I99">
            <v>0</v>
          </cell>
        </row>
        <row r="100">
          <cell r="I100">
            <v>0</v>
          </cell>
        </row>
        <row r="101">
          <cell r="I101">
            <v>0</v>
          </cell>
        </row>
        <row r="102">
          <cell r="I102">
            <v>0</v>
          </cell>
        </row>
        <row r="103">
          <cell r="I103">
            <v>0</v>
          </cell>
        </row>
        <row r="104">
          <cell r="I104">
            <v>0</v>
          </cell>
        </row>
        <row r="105">
          <cell r="I105">
            <v>0</v>
          </cell>
        </row>
        <row r="106">
          <cell r="I106">
            <v>0</v>
          </cell>
        </row>
        <row r="107">
          <cell r="I107">
            <v>0</v>
          </cell>
        </row>
        <row r="108">
          <cell r="I108">
            <v>0</v>
          </cell>
        </row>
        <row r="109">
          <cell r="I109">
            <v>0</v>
          </cell>
        </row>
        <row r="110">
          <cell r="I110">
            <v>0</v>
          </cell>
        </row>
        <row r="111">
          <cell r="I111">
            <v>0</v>
          </cell>
        </row>
        <row r="112">
          <cell r="I112">
            <v>0</v>
          </cell>
        </row>
        <row r="113">
          <cell r="I113">
            <v>0</v>
          </cell>
        </row>
        <row r="114">
          <cell r="I114">
            <v>0</v>
          </cell>
        </row>
        <row r="115">
          <cell r="I115">
            <v>0</v>
          </cell>
        </row>
        <row r="116">
          <cell r="I116">
            <v>0</v>
          </cell>
        </row>
        <row r="117">
          <cell r="I117">
            <v>0</v>
          </cell>
        </row>
        <row r="118">
          <cell r="I118">
            <v>0</v>
          </cell>
        </row>
        <row r="119">
          <cell r="I119">
            <v>0</v>
          </cell>
        </row>
        <row r="120">
          <cell r="I120">
            <v>0</v>
          </cell>
        </row>
        <row r="121">
          <cell r="I121">
            <v>0</v>
          </cell>
        </row>
        <row r="122">
          <cell r="I122">
            <v>0</v>
          </cell>
        </row>
        <row r="123">
          <cell r="I123">
            <v>0</v>
          </cell>
        </row>
        <row r="124">
          <cell r="I124">
            <v>0</v>
          </cell>
        </row>
        <row r="125">
          <cell r="I125">
            <v>0</v>
          </cell>
        </row>
        <row r="126">
          <cell r="I126">
            <v>0</v>
          </cell>
        </row>
        <row r="127">
          <cell r="I127">
            <v>0</v>
          </cell>
        </row>
        <row r="128">
          <cell r="I128">
            <v>0</v>
          </cell>
        </row>
        <row r="129">
          <cell r="I129">
            <v>0</v>
          </cell>
        </row>
        <row r="130">
          <cell r="I130">
            <v>0</v>
          </cell>
        </row>
        <row r="131">
          <cell r="I131">
            <v>0</v>
          </cell>
        </row>
        <row r="132">
          <cell r="I132">
            <v>0</v>
          </cell>
        </row>
        <row r="133">
          <cell r="I133">
            <v>0</v>
          </cell>
        </row>
        <row r="134">
          <cell r="I134">
            <v>0</v>
          </cell>
        </row>
        <row r="135">
          <cell r="I135">
            <v>0</v>
          </cell>
        </row>
        <row r="136">
          <cell r="I136">
            <v>0</v>
          </cell>
        </row>
        <row r="137">
          <cell r="I137">
            <v>0</v>
          </cell>
        </row>
        <row r="138">
          <cell r="I138">
            <v>0</v>
          </cell>
        </row>
        <row r="139">
          <cell r="I139">
            <v>0</v>
          </cell>
        </row>
        <row r="140">
          <cell r="I140">
            <v>0</v>
          </cell>
        </row>
        <row r="141">
          <cell r="I141">
            <v>0</v>
          </cell>
        </row>
        <row r="142">
          <cell r="I142">
            <v>0</v>
          </cell>
        </row>
        <row r="143">
          <cell r="I143">
            <v>0</v>
          </cell>
        </row>
        <row r="144">
          <cell r="I144">
            <v>0</v>
          </cell>
        </row>
        <row r="145">
          <cell r="I145">
            <v>0</v>
          </cell>
        </row>
        <row r="146">
          <cell r="I146">
            <v>0</v>
          </cell>
        </row>
        <row r="147">
          <cell r="I147">
            <v>0</v>
          </cell>
        </row>
        <row r="148">
          <cell r="I148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.VAL."/>
      <sheetName val="MOV.DE "/>
      <sheetName val="F-2(2)"/>
      <sheetName val="MEMB"/>
      <sheetName val="FICH.T"/>
      <sheetName val="FE-02"/>
      <sheetName val="VAL.PN"/>
      <sheetName val="VAL.MM"/>
      <sheetName val="VAL.PRINC"/>
      <sheetName val="RES. VAL. "/>
      <sheetName val="MET. DIA"/>
      <sheetName val="CS"/>
      <sheetName val="MET.ADIC"/>
      <sheetName val="MET.EXP"/>
      <sheetName val="CRON"/>
      <sheetName val="gantt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5">
          <cell r="N15">
            <v>0.25</v>
          </cell>
        </row>
        <row r="16">
          <cell r="N16">
            <v>0</v>
          </cell>
        </row>
        <row r="19">
          <cell r="N19">
            <v>0</v>
          </cell>
        </row>
        <row r="21">
          <cell r="N21">
            <v>0</v>
          </cell>
        </row>
        <row r="22">
          <cell r="N22">
            <v>6806.6327500000007</v>
          </cell>
        </row>
        <row r="23">
          <cell r="N23">
            <v>9640.875250000001</v>
          </cell>
        </row>
        <row r="24">
          <cell r="N24">
            <v>0</v>
          </cell>
        </row>
        <row r="25">
          <cell r="N25">
            <v>4497.5</v>
          </cell>
        </row>
        <row r="27">
          <cell r="N27">
            <v>86102.1155</v>
          </cell>
        </row>
        <row r="28">
          <cell r="N28">
            <v>5329.5320000000002</v>
          </cell>
        </row>
        <row r="31">
          <cell r="N31">
            <v>2.7999999999792635E-3</v>
          </cell>
        </row>
        <row r="32">
          <cell r="N32">
            <v>2.0000000000095497E-3</v>
          </cell>
        </row>
        <row r="33">
          <cell r="N33">
            <v>4.6400000000090813E-3</v>
          </cell>
        </row>
        <row r="34">
          <cell r="N34">
            <v>0</v>
          </cell>
        </row>
        <row r="35">
          <cell r="N35">
            <v>0</v>
          </cell>
        </row>
        <row r="36">
          <cell r="N36">
            <v>2.000000000005997E-3</v>
          </cell>
        </row>
        <row r="37">
          <cell r="N37">
            <v>4.7999999999994714E-3</v>
          </cell>
        </row>
        <row r="38">
          <cell r="N38">
            <v>3.5999999999987153E-3</v>
          </cell>
        </row>
        <row r="40">
          <cell r="N40">
            <v>120</v>
          </cell>
        </row>
        <row r="41">
          <cell r="N41">
            <v>145</v>
          </cell>
        </row>
        <row r="42">
          <cell r="N42">
            <v>170</v>
          </cell>
        </row>
        <row r="43">
          <cell r="N43">
            <v>156</v>
          </cell>
        </row>
        <row r="44">
          <cell r="N44">
            <v>50</v>
          </cell>
        </row>
        <row r="45">
          <cell r="N45">
            <v>100</v>
          </cell>
        </row>
        <row r="46">
          <cell r="N46">
            <v>7.8</v>
          </cell>
        </row>
        <row r="47">
          <cell r="N47">
            <v>51</v>
          </cell>
        </row>
        <row r="49">
          <cell r="N49">
            <v>9852</v>
          </cell>
        </row>
        <row r="50">
          <cell r="N50">
            <v>1576</v>
          </cell>
        </row>
        <row r="51">
          <cell r="N51">
            <v>1000</v>
          </cell>
        </row>
        <row r="52">
          <cell r="O52">
            <v>1550015.2552</v>
          </cell>
        </row>
        <row r="112">
          <cell r="N112">
            <v>1</v>
          </cell>
        </row>
        <row r="113">
          <cell r="N113">
            <v>40</v>
          </cell>
        </row>
        <row r="114">
          <cell r="N114">
            <v>40</v>
          </cell>
        </row>
        <row r="115">
          <cell r="N115">
            <v>10</v>
          </cell>
        </row>
        <row r="116">
          <cell r="N116">
            <v>14</v>
          </cell>
        </row>
        <row r="117">
          <cell r="N117">
            <v>1</v>
          </cell>
        </row>
        <row r="118">
          <cell r="N118">
            <v>1</v>
          </cell>
        </row>
        <row r="120">
          <cell r="N120">
            <v>26</v>
          </cell>
        </row>
        <row r="121">
          <cell r="N121">
            <v>6</v>
          </cell>
        </row>
        <row r="122">
          <cell r="N122">
            <v>32</v>
          </cell>
        </row>
        <row r="123">
          <cell r="N123">
            <v>13</v>
          </cell>
        </row>
        <row r="125">
          <cell r="N125">
            <v>0</v>
          </cell>
        </row>
        <row r="128">
          <cell r="N128">
            <v>240</v>
          </cell>
        </row>
        <row r="129">
          <cell r="N129">
            <v>240</v>
          </cell>
        </row>
        <row r="130">
          <cell r="N130">
            <v>0.16</v>
          </cell>
        </row>
        <row r="131">
          <cell r="N131">
            <v>2880</v>
          </cell>
        </row>
        <row r="132">
          <cell r="N132">
            <v>400</v>
          </cell>
        </row>
        <row r="133">
          <cell r="N133">
            <v>1200</v>
          </cell>
        </row>
        <row r="135">
          <cell r="N135">
            <v>1</v>
          </cell>
        </row>
        <row r="136">
          <cell r="N136">
            <v>1</v>
          </cell>
        </row>
        <row r="137">
          <cell r="N137">
            <v>1</v>
          </cell>
        </row>
        <row r="139">
          <cell r="N139">
            <v>1</v>
          </cell>
        </row>
        <row r="140">
          <cell r="N140">
            <v>1</v>
          </cell>
        </row>
        <row r="141">
          <cell r="N141">
            <v>1</v>
          </cell>
        </row>
        <row r="142">
          <cell r="N142">
            <v>1</v>
          </cell>
        </row>
        <row r="144">
          <cell r="N144">
            <v>0</v>
          </cell>
        </row>
        <row r="145">
          <cell r="N145">
            <v>0</v>
          </cell>
        </row>
        <row r="146">
          <cell r="N146">
            <v>0</v>
          </cell>
        </row>
        <row r="148">
          <cell r="N148">
            <v>0.5</v>
          </cell>
        </row>
        <row r="149">
          <cell r="O149">
            <v>2880901.1635466004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RON. VALORIZADO"/>
      <sheetName val="GANT"/>
      <sheetName val="CRON. VALORIZADO (2)"/>
      <sheetName val="VALORIZACION"/>
      <sheetName val="gantt"/>
    </sheetNames>
    <sheetDataSet>
      <sheetData sheetId="0">
        <row r="12">
          <cell r="G12">
            <v>92731.57</v>
          </cell>
        </row>
        <row r="14">
          <cell r="G14">
            <v>430413.80000000005</v>
          </cell>
        </row>
        <row r="16">
          <cell r="G16">
            <v>85391.61</v>
          </cell>
        </row>
        <row r="18">
          <cell r="G18">
            <v>311288.70999999996</v>
          </cell>
        </row>
        <row r="20">
          <cell r="G20">
            <v>224193.1</v>
          </cell>
        </row>
        <row r="22">
          <cell r="G22">
            <v>118992.08</v>
          </cell>
        </row>
        <row r="24">
          <cell r="G24">
            <v>297472</v>
          </cell>
        </row>
        <row r="26">
          <cell r="G26">
            <v>9213.36</v>
          </cell>
        </row>
        <row r="28">
          <cell r="G28">
            <v>13500.68</v>
          </cell>
        </row>
        <row r="30">
          <cell r="G30">
            <v>80094.94</v>
          </cell>
        </row>
        <row r="32">
          <cell r="G32">
            <v>171613.41</v>
          </cell>
        </row>
        <row r="34">
          <cell r="G34">
            <v>225423.43</v>
          </cell>
        </row>
        <row r="36">
          <cell r="G36">
            <v>847271.32</v>
          </cell>
        </row>
        <row r="38">
          <cell r="G38">
            <v>16738.03</v>
          </cell>
        </row>
        <row r="40">
          <cell r="G40">
            <v>139366.72</v>
          </cell>
        </row>
        <row r="43">
          <cell r="G43">
            <v>3202637.94</v>
          </cell>
        </row>
        <row r="44">
          <cell r="G44">
            <v>160131.9</v>
          </cell>
        </row>
        <row r="45">
          <cell r="G45">
            <v>64052.76</v>
          </cell>
        </row>
        <row r="46">
          <cell r="G46">
            <v>3426822.5999999996</v>
          </cell>
        </row>
        <row r="47">
          <cell r="G47">
            <v>616828.06999999995</v>
          </cell>
        </row>
        <row r="48">
          <cell r="G48">
            <v>4043650.6699999995</v>
          </cell>
        </row>
      </sheetData>
      <sheetData sheetId="1" refreshError="1"/>
      <sheetData sheetId="2">
        <row r="7">
          <cell r="D7" t="str">
            <v>JUNIO</v>
          </cell>
        </row>
      </sheetData>
      <sheetData sheetId="3" refreshError="1"/>
      <sheetData sheetId="4">
        <row r="4">
          <cell r="D4" t="str">
            <v>CONSTRUCCION TROCHA CARROZABLE PACHACONAS - RAMAL HUANCARAY, ANTABAMBA REGION - APURIMAC</v>
          </cell>
        </row>
        <row r="5">
          <cell r="P5" t="str">
            <v>PACHACONAS</v>
          </cell>
        </row>
        <row r="7">
          <cell r="D7" t="str">
            <v>ADMINISTRACION DIRECTA</v>
          </cell>
        </row>
        <row r="14">
          <cell r="B14" t="str">
            <v xml:space="preserve">            OBRAS PROVISIONALES.</v>
          </cell>
        </row>
        <row r="15">
          <cell r="B15" t="str">
            <v xml:space="preserve">  MOVILIZACIÓN Y DESMOVILIZACIÓN DE MAQUINARIA, EQUIPO Y H.</v>
          </cell>
          <cell r="J15">
            <v>39696.404999999999</v>
          </cell>
        </row>
        <row r="16">
          <cell r="B16" t="str">
            <v xml:space="preserve"> ACCESO A CANTERAS, DME Y FUENTES DE AGUA</v>
          </cell>
          <cell r="J16">
            <v>11928</v>
          </cell>
        </row>
        <row r="17">
          <cell r="B17" t="str">
            <v xml:space="preserve">            CONSTRUCCIÓN PLATAFORMA DE VIA.</v>
          </cell>
        </row>
        <row r="18">
          <cell r="B18" t="str">
            <v xml:space="preserve">                TRABAJOS PRELIMINARES.</v>
          </cell>
        </row>
        <row r="19">
          <cell r="B19" t="str">
            <v>TOPOGRAFÍA Y GEOREFERENCIACIÓN</v>
          </cell>
          <cell r="L19">
            <v>27890.316600000002</v>
          </cell>
        </row>
        <row r="20">
          <cell r="B20" t="str">
            <v xml:space="preserve">                MOVIMIENTO DE TIERRAS</v>
          </cell>
        </row>
        <row r="21">
          <cell r="B21" t="str">
            <v xml:space="preserve"> CORTE DE MATERIAL SUELTO</v>
          </cell>
          <cell r="L21">
            <v>703325.0368746703</v>
          </cell>
        </row>
        <row r="22">
          <cell r="B22" t="str">
            <v xml:space="preserve"> EXCAVACIÓN EN EXPLANACIONES EN ROCA FIJA</v>
          </cell>
          <cell r="L22">
            <v>845124.14230526343</v>
          </cell>
        </row>
        <row r="23">
          <cell r="B23" t="str">
            <v>EXCAVACIÓN EN EXPLANACIONES EN ROCA SUELTA</v>
          </cell>
          <cell r="D23">
            <v>27759.46</v>
          </cell>
        </row>
        <row r="24">
          <cell r="B24" t="str">
            <v>CONFORMACION DE TERRAPLENES</v>
          </cell>
          <cell r="F24">
            <v>3112.5636</v>
          </cell>
        </row>
        <row r="25">
          <cell r="B25" t="str">
            <v>PERFILADO Y COMPACTADO EN ZONA DE CORTE</v>
          </cell>
          <cell r="F25">
            <v>79753.399999999994</v>
          </cell>
        </row>
        <row r="26">
          <cell r="B26" t="str">
            <v xml:space="preserve">                TRANSPORTE</v>
          </cell>
        </row>
        <row r="27">
          <cell r="B27" t="str">
            <v>TRANSPORTE DE ELIMINACIÓN DE MATERIAL A DME D&lt;=1 km</v>
          </cell>
        </row>
        <row r="28">
          <cell r="B28" t="str">
            <v xml:space="preserve"> TRANSPORTE DE ELIMINACIÓN DE MATERIAL A DME &gt;1 km</v>
          </cell>
        </row>
        <row r="29">
          <cell r="B29" t="str">
            <v xml:space="preserve">            OBRAS DE ARTE Y DRENAJE.</v>
          </cell>
        </row>
        <row r="30">
          <cell r="B30" t="str">
            <v xml:space="preserve">                ALCANTARILLA TIPO I (0.80x0.80 m.)</v>
          </cell>
        </row>
        <row r="31">
          <cell r="B31" t="str">
            <v>TRAZO, REPLANTEO Y CONTROL TOPOGRAFICO</v>
          </cell>
        </row>
        <row r="32">
          <cell r="B32" t="str">
            <v>EXCAVACIÓN NO CLASIFICADA PARA ESTRUCTURAS</v>
          </cell>
        </row>
        <row r="33">
          <cell r="B33" t="str">
            <v>CONCRETO CICLOPEO f'c=175 kg/cm2 + 30% PM</v>
          </cell>
        </row>
        <row r="34">
          <cell r="B34" t="str">
            <v>ACERO DE REFUERZO GRADO 60</v>
          </cell>
        </row>
        <row r="35">
          <cell r="B35" t="str">
            <v xml:space="preserve"> ENCOFRADO Y DESENCOFRADO PARA OBRAS DE ARTE</v>
          </cell>
        </row>
        <row r="36">
          <cell r="B36" t="str">
            <v xml:space="preserve"> CONCRETO f'c=210 kg/cm2</v>
          </cell>
        </row>
        <row r="37">
          <cell r="B37" t="str">
            <v>CONCRETO f'c=175 kg/cm2</v>
          </cell>
        </row>
        <row r="38">
          <cell r="B38" t="str">
            <v xml:space="preserve"> RELLENO PARA ESTRUCTURAS CON MATERIAL PROPIO</v>
          </cell>
        </row>
        <row r="39">
          <cell r="B39" t="str">
            <v>MURO DE CONTENCION (L=100 m).</v>
          </cell>
        </row>
        <row r="40">
          <cell r="B40" t="str">
            <v>TRAZO, REPLANTEO Y CONTROL TOPOGRAFICO</v>
          </cell>
        </row>
        <row r="41">
          <cell r="B41" t="str">
            <v xml:space="preserve"> EXCAVACIÓN NO CLASIFICADA PARA ESTRUCTURAS</v>
          </cell>
        </row>
        <row r="42">
          <cell r="B42" t="str">
            <v>ENCOFRADO Y DESENCOFRADO PARA OBRAS DE ARTE</v>
          </cell>
        </row>
        <row r="43">
          <cell r="B43" t="str">
            <v xml:space="preserve"> CONCRETO CICLOPEO f'c=175 kg/cm2 + 30% PM</v>
          </cell>
        </row>
        <row r="44">
          <cell r="B44" t="str">
            <v xml:space="preserve"> TUBERIA DE PVC 2" PARA DRENAJE</v>
          </cell>
        </row>
        <row r="45">
          <cell r="B45" t="str">
            <v>TUBERIA DE PVC 4" PARA DRENAJE</v>
          </cell>
        </row>
        <row r="46">
          <cell r="B46" t="str">
            <v xml:space="preserve"> JUNTAS DE DILATACIÓN CON TECKNOPORT EN MUROS DE C.</v>
          </cell>
        </row>
        <row r="47">
          <cell r="B47" t="str">
            <v xml:space="preserve"> RELLENO PARA ESTRUCTURAS CON MATERIAL PROPIO</v>
          </cell>
        </row>
        <row r="48">
          <cell r="B48" t="str">
            <v xml:space="preserve">                CUNETAS SIN REVESTIR</v>
          </cell>
        </row>
        <row r="49">
          <cell r="B49" t="str">
            <v xml:space="preserve"> CONFORMACIÓN Y PERFILADO DE CUNETAS (MATERIAL SUELTO)</v>
          </cell>
        </row>
        <row r="50">
          <cell r="B50" t="str">
            <v xml:space="preserve"> CONFORMACIÓN Y PERFILADO DE CUNETAS (ROCA SUELTA)</v>
          </cell>
        </row>
        <row r="51">
          <cell r="B51" t="str">
            <v>CONFORMACIÓN Y PERFILADO DE CUNETAS (ROCA FIJA)</v>
          </cell>
        </row>
        <row r="52">
          <cell r="B52" t="str">
            <v xml:space="preserve">            PUENTE TABLERO SECCIÓN COMPUESTA.</v>
          </cell>
        </row>
        <row r="53">
          <cell r="B53" t="str">
            <v xml:space="preserve">                TRABAJOS PRELIMINARES.</v>
          </cell>
        </row>
        <row r="54">
          <cell r="B54" t="str">
            <v xml:space="preserve"> LIMPIEZA MANUAL DE TERRENO</v>
          </cell>
        </row>
        <row r="55">
          <cell r="B55" t="str">
            <v>TRAZO, REPLANTEO Y CONTROL TOPOGRAFICO</v>
          </cell>
        </row>
        <row r="56">
          <cell r="B56" t="str">
            <v>FLETE TERRESTRE DE MATERIALES A OBRA (PUENTE)</v>
          </cell>
        </row>
        <row r="57">
          <cell r="B57" t="str">
            <v xml:space="preserve">                MOVIMIENTO DE TIERRAS</v>
          </cell>
        </row>
        <row r="58">
          <cell r="B58" t="str">
            <v xml:space="preserve"> EXCAVACIONES.</v>
          </cell>
        </row>
        <row r="59">
          <cell r="B59" t="str">
            <v xml:space="preserve"> EXCAVACIÓN EN SECO CON MAQUINARIA</v>
          </cell>
        </row>
        <row r="60">
          <cell r="B60" t="str">
            <v>EXCAVACIÓN BAJO AGUA CON MAQUINARIA</v>
          </cell>
        </row>
        <row r="61">
          <cell r="B61" t="str">
            <v xml:space="preserve"> EXCAVACIÓN BAJO AGUA MANUAL</v>
          </cell>
        </row>
        <row r="62">
          <cell r="B62" t="str">
            <v xml:space="preserve">                    RELLENOS.</v>
          </cell>
        </row>
        <row r="63">
          <cell r="B63" t="str">
            <v xml:space="preserve"> RELLENO PARA ESTRUCTURAS CON MATERIAL PROPIO</v>
          </cell>
        </row>
        <row r="64">
          <cell r="B64" t="str">
            <v xml:space="preserve">      ELIMINACION DE MATERIAL EXCEDENTE.</v>
          </cell>
        </row>
        <row r="65">
          <cell r="B65" t="str">
            <v>TRANSPORTE DE ELIMINACIÓN DE MATERIAL A DME D&lt;=1 km</v>
          </cell>
        </row>
        <row r="66">
          <cell r="B66" t="str">
            <v xml:space="preserve">                ENCOFRADO Y DESENCOFRADO.</v>
          </cell>
        </row>
        <row r="67">
          <cell r="B67" t="str">
            <v xml:space="preserve"> ENCOFRADO Y DESENCOFRADO DE SUB ESTRUCTURA.</v>
          </cell>
        </row>
        <row r="68">
          <cell r="B68" t="str">
            <v xml:space="preserve"> ENCOFRADO Y DESENCOFRADO NORMAL BAJO AGUA</v>
          </cell>
        </row>
        <row r="69">
          <cell r="B69" t="str">
            <v xml:space="preserve"> ENCOFRADO Y DESENCOFRADO NORMAL DE ESTRIBOS</v>
          </cell>
        </row>
        <row r="70">
          <cell r="B70" t="str">
            <v xml:space="preserve">  ENCOFRADO Y DESENCOFRADO CARAVISTA EN ESTRIBOS</v>
          </cell>
        </row>
        <row r="71">
          <cell r="B71" t="str">
            <v>ENCOFRADO Y DESENCOFRADO DE SUPER ESTRUCTURA.</v>
          </cell>
        </row>
        <row r="72">
          <cell r="B72" t="str">
            <v xml:space="preserve"> ENCOFRADO Y DESENCOFRADO CARAVISTA DE TABLERO</v>
          </cell>
        </row>
        <row r="73">
          <cell r="B73" t="str">
            <v xml:space="preserve">                OBRAS DE CONCRETO SIMPLE.</v>
          </cell>
        </row>
        <row r="74">
          <cell r="B74" t="str">
            <v>CONCRETO CICLOPEO f'c=140 kg/cm2 + 30% PM</v>
          </cell>
        </row>
        <row r="75">
          <cell r="B75" t="str">
            <v xml:space="preserve"> CONCRETO CICLOPEO f'c=175 kg/cm2 + 30% PG</v>
          </cell>
        </row>
        <row r="76">
          <cell r="B76" t="str">
            <v xml:space="preserve">                    CONCRETO f'c=210 kg/cm2</v>
          </cell>
        </row>
        <row r="77">
          <cell r="B77" t="str">
            <v xml:space="preserve">                    CONCRETO f'c=280 kg/cm2</v>
          </cell>
        </row>
        <row r="78">
          <cell r="B78" t="str">
            <v xml:space="preserve">                OBRAS DE CONCRETO ARMADO.</v>
          </cell>
        </row>
        <row r="79">
          <cell r="B79" t="str">
            <v xml:space="preserve">                    CONCRETO.</v>
          </cell>
        </row>
        <row r="80">
          <cell r="B80" t="str">
            <v xml:space="preserve">                        CONCRETO f'c=210 kg/cm2</v>
          </cell>
        </row>
        <row r="81">
          <cell r="B81" t="str">
            <v xml:space="preserve">                        CONCRETO f'c=280 kg/cm2</v>
          </cell>
        </row>
        <row r="82">
          <cell r="B82" t="str">
            <v xml:space="preserve">                        CURADO DE CONCRETO</v>
          </cell>
        </row>
        <row r="83">
          <cell r="B83" t="str">
            <v xml:space="preserve">                    ACERO.</v>
          </cell>
        </row>
        <row r="84">
          <cell r="B84" t="str">
            <v xml:space="preserve"> ACERO DE REFUERZO GRADO 60 EN CIMENTACIÓN</v>
          </cell>
        </row>
        <row r="85">
          <cell r="B85" t="str">
            <v xml:space="preserve"> ACERO DE REFUERZO GRADO 60 EN ESTRIBOS</v>
          </cell>
        </row>
        <row r="86">
          <cell r="B86" t="str">
            <v>ACERO DE REFUERZO GRADO 60 EN LOSA DE TABLERO</v>
          </cell>
        </row>
        <row r="87">
          <cell r="B87" t="str">
            <v xml:space="preserve">                 ESTRUCTURA METÁLICA.</v>
          </cell>
        </row>
        <row r="88">
          <cell r="B88" t="str">
            <v xml:space="preserve"> FABRICACIÓN DE ESTRUCTURA METÁLICA (ACERO A-709)</v>
          </cell>
        </row>
        <row r="89">
          <cell r="B89" t="str">
            <v>PINTURA DE ESTRUCTURAS METÁLICAS</v>
          </cell>
        </row>
        <row r="90">
          <cell r="B90" t="str">
            <v xml:space="preserve"> TRANSPORTE DE ESTRUCTURA METÁLICA A OBRA</v>
          </cell>
        </row>
        <row r="91">
          <cell r="B91" t="str">
            <v xml:space="preserve"> MONTAJE Y LANZAMIENTO DE ESTRUCTURA METÁLICA</v>
          </cell>
        </row>
        <row r="92">
          <cell r="B92" t="str">
            <v xml:space="preserve">                VARIOS.</v>
          </cell>
        </row>
        <row r="93">
          <cell r="B93" t="str">
            <v xml:space="preserve">                    TUBERÍA PARA DRENAJE.</v>
          </cell>
        </row>
        <row r="94">
          <cell r="B94" t="str">
            <v xml:space="preserve"> TUBERIA DE PVC 3" PARA DRENAJE</v>
          </cell>
        </row>
        <row r="95">
          <cell r="B95" t="str">
            <v xml:space="preserve">                    BARANDA METÁLICA.</v>
          </cell>
        </row>
        <row r="96">
          <cell r="B96" t="str">
            <v>BARANDA METÁLICA, INC. PINTURA (SEGUN DISEÑO)</v>
          </cell>
        </row>
        <row r="97">
          <cell r="B97" t="str">
            <v xml:space="preserve">                    PINTURA .</v>
          </cell>
        </row>
        <row r="98">
          <cell r="B98" t="str">
            <v xml:space="preserve"> PINTURA EN SARDINELES</v>
          </cell>
        </row>
        <row r="99">
          <cell r="B99" t="str">
            <v xml:space="preserve">                    ELEMENTOS DE APOYO.</v>
          </cell>
        </row>
        <row r="100">
          <cell r="B100" t="str">
            <v xml:space="preserve"> APOYO DE NEOPRENO FIJO</v>
          </cell>
        </row>
        <row r="101">
          <cell r="B101" t="str">
            <v xml:space="preserve"> APOYO DE NEOPRENO MOVIL</v>
          </cell>
        </row>
        <row r="102">
          <cell r="B102" t="str">
            <v xml:space="preserve">                    UÑA DE HINCADO.</v>
          </cell>
        </row>
        <row r="103">
          <cell r="B103" t="str">
            <v>FABRICACIÓN DE ESTRUCTURA METÁLICA (UÑA)</v>
          </cell>
        </row>
        <row r="104">
          <cell r="B104" t="str">
            <v xml:space="preserve">                    DOWELLS DE ANCLAJE.</v>
          </cell>
        </row>
        <row r="105">
          <cell r="B105" t="str">
            <v xml:space="preserve"> DOWELLS DE ANCLAJE D=1"</v>
          </cell>
        </row>
        <row r="106">
          <cell r="B106" t="str">
            <v xml:space="preserve">                    LOSA DE APROXIMACIÓN.</v>
          </cell>
        </row>
        <row r="107">
          <cell r="B107" t="str">
            <v xml:space="preserve"> ACERO DE REFUERZO GRADO 60</v>
          </cell>
        </row>
        <row r="108">
          <cell r="B108" t="str">
            <v>ENCOFRADO Y DESENCOFRADO PARA OBRAS DE ARTE</v>
          </cell>
        </row>
        <row r="109">
          <cell r="B109" t="str">
            <v xml:space="preserve"> CONCRETO f'c=210 kg/cm2</v>
          </cell>
        </row>
        <row r="110">
          <cell r="B110" t="str">
            <v>CURADO DE CONCRETO</v>
          </cell>
        </row>
        <row r="111">
          <cell r="B111" t="str">
            <v xml:space="preserve">            PARTIDAS COMPLEMENTARIAS Y PRUEBAS DE LABORATORIO</v>
          </cell>
        </row>
        <row r="112">
          <cell r="B112" t="str">
            <v>DISEÑO DE MEZCLA (CONCRETO)</v>
          </cell>
        </row>
        <row r="113">
          <cell r="B113" t="str">
            <v xml:space="preserve"> TESTIGOS DE CONCRETO (BRIQUETAS) Y SLUMP TEST</v>
          </cell>
        </row>
        <row r="114">
          <cell r="B114" t="str">
            <v>PRUEBA DE CALIDAD DEL CONCRETO (PRUEBA A LA COMPRESION)</v>
          </cell>
        </row>
        <row r="115">
          <cell r="B115" t="str">
            <v xml:space="preserve"> PROCTOR DE CAMPO (COMPACTACIÓN)</v>
          </cell>
        </row>
        <row r="116">
          <cell r="B116" t="str">
            <v>DENSIDAD DE CAMPO</v>
          </cell>
        </row>
        <row r="117">
          <cell r="B117" t="str">
            <v xml:space="preserve"> PRUEBA DE CARGA DE SUPERESTRUCTURA (PUENTE)</v>
          </cell>
        </row>
        <row r="118">
          <cell r="B118" t="str">
            <v>PLACA RECORDATORIA DE BRONCE</v>
          </cell>
        </row>
        <row r="119">
          <cell r="B119" t="str">
            <v xml:space="preserve">            SEÑALIZACION Y SEGURIDAD VIAL</v>
          </cell>
        </row>
        <row r="120">
          <cell r="B120" t="str">
            <v xml:space="preserve">                SEÑAL PREVENTIVA (0.60x0.60 m)</v>
          </cell>
        </row>
        <row r="121">
          <cell r="B121" t="str">
            <v xml:space="preserve">                SEÑALES INFORMATIVAS</v>
          </cell>
        </row>
        <row r="122">
          <cell r="B122" t="str">
            <v xml:space="preserve">                POSTES DE SOPORTE DE SEÑALES</v>
          </cell>
        </row>
        <row r="123">
          <cell r="B123" t="str">
            <v xml:space="preserve">                POSTES DE KILOMETRAJE</v>
          </cell>
        </row>
        <row r="124">
          <cell r="B124" t="str">
            <v xml:space="preserve">            FLETE TERRESTRE</v>
          </cell>
        </row>
        <row r="125">
          <cell r="B125" t="str">
            <v xml:space="preserve">                FLETE TERRESTRE</v>
          </cell>
        </row>
        <row r="126">
          <cell r="B126" t="str">
            <v xml:space="preserve">            MITIGACIÓN DE IMPACTO AMBIENTAL</v>
          </cell>
        </row>
        <row r="127">
          <cell r="B127" t="str">
            <v xml:space="preserve">        PROGRAMA DE CIERRE DE OBRA, PROTECCION AMBIENTAL.</v>
          </cell>
        </row>
        <row r="128">
          <cell r="B128" t="str">
            <v xml:space="preserve"> RETIRO Y ALMACENAMIENTO DE TOP SOIL</v>
          </cell>
        </row>
        <row r="129">
          <cell r="B129" t="str">
            <v xml:space="preserve"> REPOSICIÓN DE TOP SOIL</v>
          </cell>
        </row>
        <row r="130">
          <cell r="B130" t="str">
            <v>REVEGETACIÓN</v>
          </cell>
        </row>
        <row r="131">
          <cell r="B131" t="str">
            <v>READECUACIÓN DE DÉPOSITO DE MATERIALES EXCEDENTES</v>
          </cell>
        </row>
        <row r="132">
          <cell r="B132" t="str">
            <v>READECUACIÓN AMBIENTAL DE CAMPAMENTOS</v>
          </cell>
        </row>
        <row r="133">
          <cell r="B133" t="str">
            <v>READECUACIÓN AMBIENTAL DE ALMACENES Y PATIO DE MÁQUINAS</v>
          </cell>
        </row>
        <row r="134">
          <cell r="B134" t="str">
            <v xml:space="preserve">                PROGRAMA DE MONITOREO AMBIENTAL.</v>
          </cell>
        </row>
        <row r="139">
          <cell r="B139" t="str">
            <v xml:space="preserve"> PROGRAMA DE MEDIDAS PREVENTIVAS, MITIGADORAS Y COR.</v>
          </cell>
        </row>
        <row r="140">
          <cell r="B140" t="str">
            <v xml:space="preserve"> PROGRAMA DE CAPACITACIÓN AMBIENTAL Y SEGURIDAD</v>
          </cell>
        </row>
        <row r="141">
          <cell r="B141" t="str">
            <v>PROGRAMA DE EDUCACIÓN AMBIENTAL Y SEGURIDAD VIAL</v>
          </cell>
        </row>
        <row r="142">
          <cell r="B142" t="str">
            <v>PROGRAMA DE PREVENCIÓN Y CONTINGENCIAS</v>
          </cell>
        </row>
        <row r="143">
          <cell r="B143" t="str">
            <v xml:space="preserve">            SEGURIDAD Y SALUD.</v>
          </cell>
        </row>
        <row r="144">
          <cell r="B144" t="str">
            <v xml:space="preserve">                EQUIPOS DE PROTECCIÓN INDIVIDUAL</v>
          </cell>
        </row>
        <row r="145">
          <cell r="B145" t="str">
            <v xml:space="preserve">                EQUIPOS DE PROTECCIÓN COLECTIVA</v>
          </cell>
        </row>
        <row r="146">
          <cell r="B146" t="str">
            <v xml:space="preserve">                SEÑALIZACIÓN TEMPORAL DE SEGURIDAD Y AMBIENTAL</v>
          </cell>
        </row>
        <row r="147">
          <cell r="B147" t="str">
            <v xml:space="preserve">            PLAN DE MONITOREO ARQUEOLÓGICO.</v>
          </cell>
        </row>
        <row r="148">
          <cell r="B148" t="str">
            <v xml:space="preserve">                PLAN DE MONITOREO ARQUEÓLOGICO</v>
          </cell>
        </row>
      </sheetData>
      <sheetData sheetId="5">
        <row r="3">
          <cell r="B3" t="str">
            <v>Proyecto: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3"/>
  <sheetViews>
    <sheetView workbookViewId="0"/>
  </sheetViews>
  <sheetFormatPr baseColWidth="10" defaultRowHeight="10.199999999999999"/>
  <cols>
    <col min="1" max="1" width="12.6640625" style="18" customWidth="1"/>
    <col min="2" max="2" width="95.5546875" style="18" customWidth="1"/>
    <col min="3" max="3" width="6.33203125" style="97" bestFit="1" customWidth="1"/>
    <col min="4" max="4" width="8.88671875" style="26" customWidth="1"/>
    <col min="5" max="5" width="8.5546875" style="26" customWidth="1"/>
    <col min="6" max="6" width="14.6640625" style="26" customWidth="1"/>
    <col min="7" max="7" width="7.88671875" style="97" bestFit="1" customWidth="1"/>
    <col min="8" max="8" width="13" style="97" bestFit="1" customWidth="1"/>
    <col min="9" max="9" width="8.6640625" style="510" bestFit="1" customWidth="1"/>
    <col min="10" max="10" width="13" style="97" bestFit="1" customWidth="1"/>
    <col min="11" max="11" width="8.109375" style="97" bestFit="1" customWidth="1"/>
    <col min="12" max="12" width="13" style="97" bestFit="1" customWidth="1"/>
    <col min="13" max="13" width="10.5546875" style="97" customWidth="1"/>
    <col min="14" max="14" width="8.33203125" style="18" customWidth="1"/>
    <col min="15" max="15" width="13.5546875" style="18" bestFit="1" customWidth="1"/>
    <col min="16" max="16" width="8.109375" style="18" customWidth="1"/>
    <col min="17" max="17" width="13" style="18" bestFit="1" customWidth="1"/>
    <col min="18" max="256" width="11.5546875" style="18"/>
    <col min="257" max="257" width="8.88671875" style="18" customWidth="1"/>
    <col min="258" max="258" width="50" style="18" customWidth="1"/>
    <col min="259" max="259" width="6.33203125" style="18" bestFit="1" customWidth="1"/>
    <col min="260" max="260" width="8.88671875" style="18" customWidth="1"/>
    <col min="261" max="261" width="8.5546875" style="18" customWidth="1"/>
    <col min="262" max="262" width="11.33203125" style="18" bestFit="1" customWidth="1"/>
    <col min="263" max="263" width="7.88671875" style="18" bestFit="1" customWidth="1"/>
    <col min="264" max="264" width="11.5546875" style="18" bestFit="1"/>
    <col min="265" max="265" width="8" style="18" bestFit="1" customWidth="1"/>
    <col min="266" max="266" width="11.5546875" style="18" bestFit="1"/>
    <col min="267" max="267" width="8.109375" style="18" bestFit="1" customWidth="1"/>
    <col min="268" max="268" width="11.5546875" style="18" bestFit="1"/>
    <col min="269" max="269" width="8.44140625" style="18" customWidth="1"/>
    <col min="270" max="270" width="7.33203125" style="18" bestFit="1" customWidth="1"/>
    <col min="271" max="271" width="11.5546875" style="18" bestFit="1"/>
    <col min="272" max="272" width="8.109375" style="18" customWidth="1"/>
    <col min="273" max="273" width="13" style="18" bestFit="1" customWidth="1"/>
    <col min="274" max="512" width="11.5546875" style="18"/>
    <col min="513" max="513" width="8.88671875" style="18" customWidth="1"/>
    <col min="514" max="514" width="50" style="18" customWidth="1"/>
    <col min="515" max="515" width="6.33203125" style="18" bestFit="1" customWidth="1"/>
    <col min="516" max="516" width="8.88671875" style="18" customWidth="1"/>
    <col min="517" max="517" width="8.5546875" style="18" customWidth="1"/>
    <col min="518" max="518" width="11.33203125" style="18" bestFit="1" customWidth="1"/>
    <col min="519" max="519" width="7.88671875" style="18" bestFit="1" customWidth="1"/>
    <col min="520" max="520" width="11.5546875" style="18" bestFit="1"/>
    <col min="521" max="521" width="8" style="18" bestFit="1" customWidth="1"/>
    <col min="522" max="522" width="11.5546875" style="18" bestFit="1"/>
    <col min="523" max="523" width="8.109375" style="18" bestFit="1" customWidth="1"/>
    <col min="524" max="524" width="11.5546875" style="18" bestFit="1"/>
    <col min="525" max="525" width="8.44140625" style="18" customWidth="1"/>
    <col min="526" max="526" width="7.33203125" style="18" bestFit="1" customWidth="1"/>
    <col min="527" max="527" width="11.5546875" style="18" bestFit="1"/>
    <col min="528" max="528" width="8.109375" style="18" customWidth="1"/>
    <col min="529" max="529" width="13" style="18" bestFit="1" customWidth="1"/>
    <col min="530" max="768" width="11.5546875" style="18"/>
    <col min="769" max="769" width="8.88671875" style="18" customWidth="1"/>
    <col min="770" max="770" width="50" style="18" customWidth="1"/>
    <col min="771" max="771" width="6.33203125" style="18" bestFit="1" customWidth="1"/>
    <col min="772" max="772" width="8.88671875" style="18" customWidth="1"/>
    <col min="773" max="773" width="8.5546875" style="18" customWidth="1"/>
    <col min="774" max="774" width="11.33203125" style="18" bestFit="1" customWidth="1"/>
    <col min="775" max="775" width="7.88671875" style="18" bestFit="1" customWidth="1"/>
    <col min="776" max="776" width="11.5546875" style="18" bestFit="1"/>
    <col min="777" max="777" width="8" style="18" bestFit="1" customWidth="1"/>
    <col min="778" max="778" width="11.5546875" style="18" bestFit="1"/>
    <col min="779" max="779" width="8.109375" style="18" bestFit="1" customWidth="1"/>
    <col min="780" max="780" width="11.5546875" style="18" bestFit="1"/>
    <col min="781" max="781" width="8.44140625" style="18" customWidth="1"/>
    <col min="782" max="782" width="7.33203125" style="18" bestFit="1" customWidth="1"/>
    <col min="783" max="783" width="11.5546875" style="18" bestFit="1"/>
    <col min="784" max="784" width="8.109375" style="18" customWidth="1"/>
    <col min="785" max="785" width="13" style="18" bestFit="1" customWidth="1"/>
    <col min="786" max="1024" width="11.5546875" style="18"/>
    <col min="1025" max="1025" width="8.88671875" style="18" customWidth="1"/>
    <col min="1026" max="1026" width="50" style="18" customWidth="1"/>
    <col min="1027" max="1027" width="6.33203125" style="18" bestFit="1" customWidth="1"/>
    <col min="1028" max="1028" width="8.88671875" style="18" customWidth="1"/>
    <col min="1029" max="1029" width="8.5546875" style="18" customWidth="1"/>
    <col min="1030" max="1030" width="11.33203125" style="18" bestFit="1" customWidth="1"/>
    <col min="1031" max="1031" width="7.88671875" style="18" bestFit="1" customWidth="1"/>
    <col min="1032" max="1032" width="11.5546875" style="18" bestFit="1"/>
    <col min="1033" max="1033" width="8" style="18" bestFit="1" customWidth="1"/>
    <col min="1034" max="1034" width="11.5546875" style="18" bestFit="1"/>
    <col min="1035" max="1035" width="8.109375" style="18" bestFit="1" customWidth="1"/>
    <col min="1036" max="1036" width="11.5546875" style="18" bestFit="1"/>
    <col min="1037" max="1037" width="8.44140625" style="18" customWidth="1"/>
    <col min="1038" max="1038" width="7.33203125" style="18" bestFit="1" customWidth="1"/>
    <col min="1039" max="1039" width="11.5546875" style="18" bestFit="1"/>
    <col min="1040" max="1040" width="8.109375" style="18" customWidth="1"/>
    <col min="1041" max="1041" width="13" style="18" bestFit="1" customWidth="1"/>
    <col min="1042" max="1280" width="11.5546875" style="18"/>
    <col min="1281" max="1281" width="8.88671875" style="18" customWidth="1"/>
    <col min="1282" max="1282" width="50" style="18" customWidth="1"/>
    <col min="1283" max="1283" width="6.33203125" style="18" bestFit="1" customWidth="1"/>
    <col min="1284" max="1284" width="8.88671875" style="18" customWidth="1"/>
    <col min="1285" max="1285" width="8.5546875" style="18" customWidth="1"/>
    <col min="1286" max="1286" width="11.33203125" style="18" bestFit="1" customWidth="1"/>
    <col min="1287" max="1287" width="7.88671875" style="18" bestFit="1" customWidth="1"/>
    <col min="1288" max="1288" width="11.5546875" style="18" bestFit="1"/>
    <col min="1289" max="1289" width="8" style="18" bestFit="1" customWidth="1"/>
    <col min="1290" max="1290" width="11.5546875" style="18" bestFit="1"/>
    <col min="1291" max="1291" width="8.109375" style="18" bestFit="1" customWidth="1"/>
    <col min="1292" max="1292" width="11.5546875" style="18" bestFit="1"/>
    <col min="1293" max="1293" width="8.44140625" style="18" customWidth="1"/>
    <col min="1294" max="1294" width="7.33203125" style="18" bestFit="1" customWidth="1"/>
    <col min="1295" max="1295" width="11.5546875" style="18" bestFit="1"/>
    <col min="1296" max="1296" width="8.109375" style="18" customWidth="1"/>
    <col min="1297" max="1297" width="13" style="18" bestFit="1" customWidth="1"/>
    <col min="1298" max="1536" width="11.5546875" style="18"/>
    <col min="1537" max="1537" width="8.88671875" style="18" customWidth="1"/>
    <col min="1538" max="1538" width="50" style="18" customWidth="1"/>
    <col min="1539" max="1539" width="6.33203125" style="18" bestFit="1" customWidth="1"/>
    <col min="1540" max="1540" width="8.88671875" style="18" customWidth="1"/>
    <col min="1541" max="1541" width="8.5546875" style="18" customWidth="1"/>
    <col min="1542" max="1542" width="11.33203125" style="18" bestFit="1" customWidth="1"/>
    <col min="1543" max="1543" width="7.88671875" style="18" bestFit="1" customWidth="1"/>
    <col min="1544" max="1544" width="11.5546875" style="18" bestFit="1"/>
    <col min="1545" max="1545" width="8" style="18" bestFit="1" customWidth="1"/>
    <col min="1546" max="1546" width="11.5546875" style="18" bestFit="1"/>
    <col min="1547" max="1547" width="8.109375" style="18" bestFit="1" customWidth="1"/>
    <col min="1548" max="1548" width="11.5546875" style="18" bestFit="1"/>
    <col min="1549" max="1549" width="8.44140625" style="18" customWidth="1"/>
    <col min="1550" max="1550" width="7.33203125" style="18" bestFit="1" customWidth="1"/>
    <col min="1551" max="1551" width="11.5546875" style="18" bestFit="1"/>
    <col min="1552" max="1552" width="8.109375" style="18" customWidth="1"/>
    <col min="1553" max="1553" width="13" style="18" bestFit="1" customWidth="1"/>
    <col min="1554" max="1792" width="11.5546875" style="18"/>
    <col min="1793" max="1793" width="8.88671875" style="18" customWidth="1"/>
    <col min="1794" max="1794" width="50" style="18" customWidth="1"/>
    <col min="1795" max="1795" width="6.33203125" style="18" bestFit="1" customWidth="1"/>
    <col min="1796" max="1796" width="8.88671875" style="18" customWidth="1"/>
    <col min="1797" max="1797" width="8.5546875" style="18" customWidth="1"/>
    <col min="1798" max="1798" width="11.33203125" style="18" bestFit="1" customWidth="1"/>
    <col min="1799" max="1799" width="7.88671875" style="18" bestFit="1" customWidth="1"/>
    <col min="1800" max="1800" width="11.5546875" style="18" bestFit="1"/>
    <col min="1801" max="1801" width="8" style="18" bestFit="1" customWidth="1"/>
    <col min="1802" max="1802" width="11.5546875" style="18" bestFit="1"/>
    <col min="1803" max="1803" width="8.109375" style="18" bestFit="1" customWidth="1"/>
    <col min="1804" max="1804" width="11.5546875" style="18" bestFit="1"/>
    <col min="1805" max="1805" width="8.44140625" style="18" customWidth="1"/>
    <col min="1806" max="1806" width="7.33203125" style="18" bestFit="1" customWidth="1"/>
    <col min="1807" max="1807" width="11.5546875" style="18" bestFit="1"/>
    <col min="1808" max="1808" width="8.109375" style="18" customWidth="1"/>
    <col min="1809" max="1809" width="13" style="18" bestFit="1" customWidth="1"/>
    <col min="1810" max="2048" width="11.5546875" style="18"/>
    <col min="2049" max="2049" width="8.88671875" style="18" customWidth="1"/>
    <col min="2050" max="2050" width="50" style="18" customWidth="1"/>
    <col min="2051" max="2051" width="6.33203125" style="18" bestFit="1" customWidth="1"/>
    <col min="2052" max="2052" width="8.88671875" style="18" customWidth="1"/>
    <col min="2053" max="2053" width="8.5546875" style="18" customWidth="1"/>
    <col min="2054" max="2054" width="11.33203125" style="18" bestFit="1" customWidth="1"/>
    <col min="2055" max="2055" width="7.88671875" style="18" bestFit="1" customWidth="1"/>
    <col min="2056" max="2056" width="11.5546875" style="18" bestFit="1"/>
    <col min="2057" max="2057" width="8" style="18" bestFit="1" customWidth="1"/>
    <col min="2058" max="2058" width="11.5546875" style="18" bestFit="1"/>
    <col min="2059" max="2059" width="8.109375" style="18" bestFit="1" customWidth="1"/>
    <col min="2060" max="2060" width="11.5546875" style="18" bestFit="1"/>
    <col min="2061" max="2061" width="8.44140625" style="18" customWidth="1"/>
    <col min="2062" max="2062" width="7.33203125" style="18" bestFit="1" customWidth="1"/>
    <col min="2063" max="2063" width="11.5546875" style="18" bestFit="1"/>
    <col min="2064" max="2064" width="8.109375" style="18" customWidth="1"/>
    <col min="2065" max="2065" width="13" style="18" bestFit="1" customWidth="1"/>
    <col min="2066" max="2304" width="11.5546875" style="18"/>
    <col min="2305" max="2305" width="8.88671875" style="18" customWidth="1"/>
    <col min="2306" max="2306" width="50" style="18" customWidth="1"/>
    <col min="2307" max="2307" width="6.33203125" style="18" bestFit="1" customWidth="1"/>
    <col min="2308" max="2308" width="8.88671875" style="18" customWidth="1"/>
    <col min="2309" max="2309" width="8.5546875" style="18" customWidth="1"/>
    <col min="2310" max="2310" width="11.33203125" style="18" bestFit="1" customWidth="1"/>
    <col min="2311" max="2311" width="7.88671875" style="18" bestFit="1" customWidth="1"/>
    <col min="2312" max="2312" width="11.5546875" style="18" bestFit="1"/>
    <col min="2313" max="2313" width="8" style="18" bestFit="1" customWidth="1"/>
    <col min="2314" max="2314" width="11.5546875" style="18" bestFit="1"/>
    <col min="2315" max="2315" width="8.109375" style="18" bestFit="1" customWidth="1"/>
    <col min="2316" max="2316" width="11.5546875" style="18" bestFit="1"/>
    <col min="2317" max="2317" width="8.44140625" style="18" customWidth="1"/>
    <col min="2318" max="2318" width="7.33203125" style="18" bestFit="1" customWidth="1"/>
    <col min="2319" max="2319" width="11.5546875" style="18" bestFit="1"/>
    <col min="2320" max="2320" width="8.109375" style="18" customWidth="1"/>
    <col min="2321" max="2321" width="13" style="18" bestFit="1" customWidth="1"/>
    <col min="2322" max="2560" width="11.5546875" style="18"/>
    <col min="2561" max="2561" width="8.88671875" style="18" customWidth="1"/>
    <col min="2562" max="2562" width="50" style="18" customWidth="1"/>
    <col min="2563" max="2563" width="6.33203125" style="18" bestFit="1" customWidth="1"/>
    <col min="2564" max="2564" width="8.88671875" style="18" customWidth="1"/>
    <col min="2565" max="2565" width="8.5546875" style="18" customWidth="1"/>
    <col min="2566" max="2566" width="11.33203125" style="18" bestFit="1" customWidth="1"/>
    <col min="2567" max="2567" width="7.88671875" style="18" bestFit="1" customWidth="1"/>
    <col min="2568" max="2568" width="11.5546875" style="18" bestFit="1"/>
    <col min="2569" max="2569" width="8" style="18" bestFit="1" customWidth="1"/>
    <col min="2570" max="2570" width="11.5546875" style="18" bestFit="1"/>
    <col min="2571" max="2571" width="8.109375" style="18" bestFit="1" customWidth="1"/>
    <col min="2572" max="2572" width="11.5546875" style="18" bestFit="1"/>
    <col min="2573" max="2573" width="8.44140625" style="18" customWidth="1"/>
    <col min="2574" max="2574" width="7.33203125" style="18" bestFit="1" customWidth="1"/>
    <col min="2575" max="2575" width="11.5546875" style="18" bestFit="1"/>
    <col min="2576" max="2576" width="8.109375" style="18" customWidth="1"/>
    <col min="2577" max="2577" width="13" style="18" bestFit="1" customWidth="1"/>
    <col min="2578" max="2816" width="11.5546875" style="18"/>
    <col min="2817" max="2817" width="8.88671875" style="18" customWidth="1"/>
    <col min="2818" max="2818" width="50" style="18" customWidth="1"/>
    <col min="2819" max="2819" width="6.33203125" style="18" bestFit="1" customWidth="1"/>
    <col min="2820" max="2820" width="8.88671875" style="18" customWidth="1"/>
    <col min="2821" max="2821" width="8.5546875" style="18" customWidth="1"/>
    <col min="2822" max="2822" width="11.33203125" style="18" bestFit="1" customWidth="1"/>
    <col min="2823" max="2823" width="7.88671875" style="18" bestFit="1" customWidth="1"/>
    <col min="2824" max="2824" width="11.5546875" style="18" bestFit="1"/>
    <col min="2825" max="2825" width="8" style="18" bestFit="1" customWidth="1"/>
    <col min="2826" max="2826" width="11.5546875" style="18" bestFit="1"/>
    <col min="2827" max="2827" width="8.109375" style="18" bestFit="1" customWidth="1"/>
    <col min="2828" max="2828" width="11.5546875" style="18" bestFit="1"/>
    <col min="2829" max="2829" width="8.44140625" style="18" customWidth="1"/>
    <col min="2830" max="2830" width="7.33203125" style="18" bestFit="1" customWidth="1"/>
    <col min="2831" max="2831" width="11.5546875" style="18" bestFit="1"/>
    <col min="2832" max="2832" width="8.109375" style="18" customWidth="1"/>
    <col min="2833" max="2833" width="13" style="18" bestFit="1" customWidth="1"/>
    <col min="2834" max="3072" width="11.5546875" style="18"/>
    <col min="3073" max="3073" width="8.88671875" style="18" customWidth="1"/>
    <col min="3074" max="3074" width="50" style="18" customWidth="1"/>
    <col min="3075" max="3075" width="6.33203125" style="18" bestFit="1" customWidth="1"/>
    <col min="3076" max="3076" width="8.88671875" style="18" customWidth="1"/>
    <col min="3077" max="3077" width="8.5546875" style="18" customWidth="1"/>
    <col min="3078" max="3078" width="11.33203125" style="18" bestFit="1" customWidth="1"/>
    <col min="3079" max="3079" width="7.88671875" style="18" bestFit="1" customWidth="1"/>
    <col min="3080" max="3080" width="11.5546875" style="18" bestFit="1"/>
    <col min="3081" max="3081" width="8" style="18" bestFit="1" customWidth="1"/>
    <col min="3082" max="3082" width="11.5546875" style="18" bestFit="1"/>
    <col min="3083" max="3083" width="8.109375" style="18" bestFit="1" customWidth="1"/>
    <col min="3084" max="3084" width="11.5546875" style="18" bestFit="1"/>
    <col min="3085" max="3085" width="8.44140625" style="18" customWidth="1"/>
    <col min="3086" max="3086" width="7.33203125" style="18" bestFit="1" customWidth="1"/>
    <col min="3087" max="3087" width="11.5546875" style="18" bestFit="1"/>
    <col min="3088" max="3088" width="8.109375" style="18" customWidth="1"/>
    <col min="3089" max="3089" width="13" style="18" bestFit="1" customWidth="1"/>
    <col min="3090" max="3328" width="11.5546875" style="18"/>
    <col min="3329" max="3329" width="8.88671875" style="18" customWidth="1"/>
    <col min="3330" max="3330" width="50" style="18" customWidth="1"/>
    <col min="3331" max="3331" width="6.33203125" style="18" bestFit="1" customWidth="1"/>
    <col min="3332" max="3332" width="8.88671875" style="18" customWidth="1"/>
    <col min="3333" max="3333" width="8.5546875" style="18" customWidth="1"/>
    <col min="3334" max="3334" width="11.33203125" style="18" bestFit="1" customWidth="1"/>
    <col min="3335" max="3335" width="7.88671875" style="18" bestFit="1" customWidth="1"/>
    <col min="3336" max="3336" width="11.5546875" style="18" bestFit="1"/>
    <col min="3337" max="3337" width="8" style="18" bestFit="1" customWidth="1"/>
    <col min="3338" max="3338" width="11.5546875" style="18" bestFit="1"/>
    <col min="3339" max="3339" width="8.109375" style="18" bestFit="1" customWidth="1"/>
    <col min="3340" max="3340" width="11.5546875" style="18" bestFit="1"/>
    <col min="3341" max="3341" width="8.44140625" style="18" customWidth="1"/>
    <col min="3342" max="3342" width="7.33203125" style="18" bestFit="1" customWidth="1"/>
    <col min="3343" max="3343" width="11.5546875" style="18" bestFit="1"/>
    <col min="3344" max="3344" width="8.109375" style="18" customWidth="1"/>
    <col min="3345" max="3345" width="13" style="18" bestFit="1" customWidth="1"/>
    <col min="3346" max="3584" width="11.5546875" style="18"/>
    <col min="3585" max="3585" width="8.88671875" style="18" customWidth="1"/>
    <col min="3586" max="3586" width="50" style="18" customWidth="1"/>
    <col min="3587" max="3587" width="6.33203125" style="18" bestFit="1" customWidth="1"/>
    <col min="3588" max="3588" width="8.88671875" style="18" customWidth="1"/>
    <col min="3589" max="3589" width="8.5546875" style="18" customWidth="1"/>
    <col min="3590" max="3590" width="11.33203125" style="18" bestFit="1" customWidth="1"/>
    <col min="3591" max="3591" width="7.88671875" style="18" bestFit="1" customWidth="1"/>
    <col min="3592" max="3592" width="11.5546875" style="18" bestFit="1"/>
    <col min="3593" max="3593" width="8" style="18" bestFit="1" customWidth="1"/>
    <col min="3594" max="3594" width="11.5546875" style="18" bestFit="1"/>
    <col min="3595" max="3595" width="8.109375" style="18" bestFit="1" customWidth="1"/>
    <col min="3596" max="3596" width="11.5546875" style="18" bestFit="1"/>
    <col min="3597" max="3597" width="8.44140625" style="18" customWidth="1"/>
    <col min="3598" max="3598" width="7.33203125" style="18" bestFit="1" customWidth="1"/>
    <col min="3599" max="3599" width="11.5546875" style="18" bestFit="1"/>
    <col min="3600" max="3600" width="8.109375" style="18" customWidth="1"/>
    <col min="3601" max="3601" width="13" style="18" bestFit="1" customWidth="1"/>
    <col min="3602" max="3840" width="11.5546875" style="18"/>
    <col min="3841" max="3841" width="8.88671875" style="18" customWidth="1"/>
    <col min="3842" max="3842" width="50" style="18" customWidth="1"/>
    <col min="3843" max="3843" width="6.33203125" style="18" bestFit="1" customWidth="1"/>
    <col min="3844" max="3844" width="8.88671875" style="18" customWidth="1"/>
    <col min="3845" max="3845" width="8.5546875" style="18" customWidth="1"/>
    <col min="3846" max="3846" width="11.33203125" style="18" bestFit="1" customWidth="1"/>
    <col min="3847" max="3847" width="7.88671875" style="18" bestFit="1" customWidth="1"/>
    <col min="3848" max="3848" width="11.5546875" style="18" bestFit="1"/>
    <col min="3849" max="3849" width="8" style="18" bestFit="1" customWidth="1"/>
    <col min="3850" max="3850" width="11.5546875" style="18" bestFit="1"/>
    <col min="3851" max="3851" width="8.109375" style="18" bestFit="1" customWidth="1"/>
    <col min="3852" max="3852" width="11.5546875" style="18" bestFit="1"/>
    <col min="3853" max="3853" width="8.44140625" style="18" customWidth="1"/>
    <col min="3854" max="3854" width="7.33203125" style="18" bestFit="1" customWidth="1"/>
    <col min="3855" max="3855" width="11.5546875" style="18" bestFit="1"/>
    <col min="3856" max="3856" width="8.109375" style="18" customWidth="1"/>
    <col min="3857" max="3857" width="13" style="18" bestFit="1" customWidth="1"/>
    <col min="3858" max="4096" width="11.5546875" style="18"/>
    <col min="4097" max="4097" width="8.88671875" style="18" customWidth="1"/>
    <col min="4098" max="4098" width="50" style="18" customWidth="1"/>
    <col min="4099" max="4099" width="6.33203125" style="18" bestFit="1" customWidth="1"/>
    <col min="4100" max="4100" width="8.88671875" style="18" customWidth="1"/>
    <col min="4101" max="4101" width="8.5546875" style="18" customWidth="1"/>
    <col min="4102" max="4102" width="11.33203125" style="18" bestFit="1" customWidth="1"/>
    <col min="4103" max="4103" width="7.88671875" style="18" bestFit="1" customWidth="1"/>
    <col min="4104" max="4104" width="11.5546875" style="18" bestFit="1"/>
    <col min="4105" max="4105" width="8" style="18" bestFit="1" customWidth="1"/>
    <col min="4106" max="4106" width="11.5546875" style="18" bestFit="1"/>
    <col min="4107" max="4107" width="8.109375" style="18" bestFit="1" customWidth="1"/>
    <col min="4108" max="4108" width="11.5546875" style="18" bestFit="1"/>
    <col min="4109" max="4109" width="8.44140625" style="18" customWidth="1"/>
    <col min="4110" max="4110" width="7.33203125" style="18" bestFit="1" customWidth="1"/>
    <col min="4111" max="4111" width="11.5546875" style="18" bestFit="1"/>
    <col min="4112" max="4112" width="8.109375" style="18" customWidth="1"/>
    <col min="4113" max="4113" width="13" style="18" bestFit="1" customWidth="1"/>
    <col min="4114" max="4352" width="11.5546875" style="18"/>
    <col min="4353" max="4353" width="8.88671875" style="18" customWidth="1"/>
    <col min="4354" max="4354" width="50" style="18" customWidth="1"/>
    <col min="4355" max="4355" width="6.33203125" style="18" bestFit="1" customWidth="1"/>
    <col min="4356" max="4356" width="8.88671875" style="18" customWidth="1"/>
    <col min="4357" max="4357" width="8.5546875" style="18" customWidth="1"/>
    <col min="4358" max="4358" width="11.33203125" style="18" bestFit="1" customWidth="1"/>
    <col min="4359" max="4359" width="7.88671875" style="18" bestFit="1" customWidth="1"/>
    <col min="4360" max="4360" width="11.5546875" style="18" bestFit="1"/>
    <col min="4361" max="4361" width="8" style="18" bestFit="1" customWidth="1"/>
    <col min="4362" max="4362" width="11.5546875" style="18" bestFit="1"/>
    <col min="4363" max="4363" width="8.109375" style="18" bestFit="1" customWidth="1"/>
    <col min="4364" max="4364" width="11.5546875" style="18" bestFit="1"/>
    <col min="4365" max="4365" width="8.44140625" style="18" customWidth="1"/>
    <col min="4366" max="4366" width="7.33203125" style="18" bestFit="1" customWidth="1"/>
    <col min="4367" max="4367" width="11.5546875" style="18" bestFit="1"/>
    <col min="4368" max="4368" width="8.109375" style="18" customWidth="1"/>
    <col min="4369" max="4369" width="13" style="18" bestFit="1" customWidth="1"/>
    <col min="4370" max="4608" width="11.5546875" style="18"/>
    <col min="4609" max="4609" width="8.88671875" style="18" customWidth="1"/>
    <col min="4610" max="4610" width="50" style="18" customWidth="1"/>
    <col min="4611" max="4611" width="6.33203125" style="18" bestFit="1" customWidth="1"/>
    <col min="4612" max="4612" width="8.88671875" style="18" customWidth="1"/>
    <col min="4613" max="4613" width="8.5546875" style="18" customWidth="1"/>
    <col min="4614" max="4614" width="11.33203125" style="18" bestFit="1" customWidth="1"/>
    <col min="4615" max="4615" width="7.88671875" style="18" bestFit="1" customWidth="1"/>
    <col min="4616" max="4616" width="11.5546875" style="18" bestFit="1"/>
    <col min="4617" max="4617" width="8" style="18" bestFit="1" customWidth="1"/>
    <col min="4618" max="4618" width="11.5546875" style="18" bestFit="1"/>
    <col min="4619" max="4619" width="8.109375" style="18" bestFit="1" customWidth="1"/>
    <col min="4620" max="4620" width="11.5546875" style="18" bestFit="1"/>
    <col min="4621" max="4621" width="8.44140625" style="18" customWidth="1"/>
    <col min="4622" max="4622" width="7.33203125" style="18" bestFit="1" customWidth="1"/>
    <col min="4623" max="4623" width="11.5546875" style="18" bestFit="1"/>
    <col min="4624" max="4624" width="8.109375" style="18" customWidth="1"/>
    <col min="4625" max="4625" width="13" style="18" bestFit="1" customWidth="1"/>
    <col min="4626" max="4864" width="11.5546875" style="18"/>
    <col min="4865" max="4865" width="8.88671875" style="18" customWidth="1"/>
    <col min="4866" max="4866" width="50" style="18" customWidth="1"/>
    <col min="4867" max="4867" width="6.33203125" style="18" bestFit="1" customWidth="1"/>
    <col min="4868" max="4868" width="8.88671875" style="18" customWidth="1"/>
    <col min="4869" max="4869" width="8.5546875" style="18" customWidth="1"/>
    <col min="4870" max="4870" width="11.33203125" style="18" bestFit="1" customWidth="1"/>
    <col min="4871" max="4871" width="7.88671875" style="18" bestFit="1" customWidth="1"/>
    <col min="4872" max="4872" width="11.5546875" style="18" bestFit="1"/>
    <col min="4873" max="4873" width="8" style="18" bestFit="1" customWidth="1"/>
    <col min="4874" max="4874" width="11.5546875" style="18" bestFit="1"/>
    <col min="4875" max="4875" width="8.109375" style="18" bestFit="1" customWidth="1"/>
    <col min="4876" max="4876" width="11.5546875" style="18" bestFit="1"/>
    <col min="4877" max="4877" width="8.44140625" style="18" customWidth="1"/>
    <col min="4878" max="4878" width="7.33203125" style="18" bestFit="1" customWidth="1"/>
    <col min="4879" max="4879" width="11.5546875" style="18" bestFit="1"/>
    <col min="4880" max="4880" width="8.109375" style="18" customWidth="1"/>
    <col min="4881" max="4881" width="13" style="18" bestFit="1" customWidth="1"/>
    <col min="4882" max="5120" width="11.5546875" style="18"/>
    <col min="5121" max="5121" width="8.88671875" style="18" customWidth="1"/>
    <col min="5122" max="5122" width="50" style="18" customWidth="1"/>
    <col min="5123" max="5123" width="6.33203125" style="18" bestFit="1" customWidth="1"/>
    <col min="5124" max="5124" width="8.88671875" style="18" customWidth="1"/>
    <col min="5125" max="5125" width="8.5546875" style="18" customWidth="1"/>
    <col min="5126" max="5126" width="11.33203125" style="18" bestFit="1" customWidth="1"/>
    <col min="5127" max="5127" width="7.88671875" style="18" bestFit="1" customWidth="1"/>
    <col min="5128" max="5128" width="11.5546875" style="18" bestFit="1"/>
    <col min="5129" max="5129" width="8" style="18" bestFit="1" customWidth="1"/>
    <col min="5130" max="5130" width="11.5546875" style="18" bestFit="1"/>
    <col min="5131" max="5131" width="8.109375" style="18" bestFit="1" customWidth="1"/>
    <col min="5132" max="5132" width="11.5546875" style="18" bestFit="1"/>
    <col min="5133" max="5133" width="8.44140625" style="18" customWidth="1"/>
    <col min="5134" max="5134" width="7.33203125" style="18" bestFit="1" customWidth="1"/>
    <col min="5135" max="5135" width="11.5546875" style="18" bestFit="1"/>
    <col min="5136" max="5136" width="8.109375" style="18" customWidth="1"/>
    <col min="5137" max="5137" width="13" style="18" bestFit="1" customWidth="1"/>
    <col min="5138" max="5376" width="11.5546875" style="18"/>
    <col min="5377" max="5377" width="8.88671875" style="18" customWidth="1"/>
    <col min="5378" max="5378" width="50" style="18" customWidth="1"/>
    <col min="5379" max="5379" width="6.33203125" style="18" bestFit="1" customWidth="1"/>
    <col min="5380" max="5380" width="8.88671875" style="18" customWidth="1"/>
    <col min="5381" max="5381" width="8.5546875" style="18" customWidth="1"/>
    <col min="5382" max="5382" width="11.33203125" style="18" bestFit="1" customWidth="1"/>
    <col min="5383" max="5383" width="7.88671875" style="18" bestFit="1" customWidth="1"/>
    <col min="5384" max="5384" width="11.5546875" style="18" bestFit="1"/>
    <col min="5385" max="5385" width="8" style="18" bestFit="1" customWidth="1"/>
    <col min="5386" max="5386" width="11.5546875" style="18" bestFit="1"/>
    <col min="5387" max="5387" width="8.109375" style="18" bestFit="1" customWidth="1"/>
    <col min="5388" max="5388" width="11.5546875" style="18" bestFit="1"/>
    <col min="5389" max="5389" width="8.44140625" style="18" customWidth="1"/>
    <col min="5390" max="5390" width="7.33203125" style="18" bestFit="1" customWidth="1"/>
    <col min="5391" max="5391" width="11.5546875" style="18" bestFit="1"/>
    <col min="5392" max="5392" width="8.109375" style="18" customWidth="1"/>
    <col min="5393" max="5393" width="13" style="18" bestFit="1" customWidth="1"/>
    <col min="5394" max="5632" width="11.5546875" style="18"/>
    <col min="5633" max="5633" width="8.88671875" style="18" customWidth="1"/>
    <col min="5634" max="5634" width="50" style="18" customWidth="1"/>
    <col min="5635" max="5635" width="6.33203125" style="18" bestFit="1" customWidth="1"/>
    <col min="5636" max="5636" width="8.88671875" style="18" customWidth="1"/>
    <col min="5637" max="5637" width="8.5546875" style="18" customWidth="1"/>
    <col min="5638" max="5638" width="11.33203125" style="18" bestFit="1" customWidth="1"/>
    <col min="5639" max="5639" width="7.88671875" style="18" bestFit="1" customWidth="1"/>
    <col min="5640" max="5640" width="11.5546875" style="18" bestFit="1"/>
    <col min="5641" max="5641" width="8" style="18" bestFit="1" customWidth="1"/>
    <col min="5642" max="5642" width="11.5546875" style="18" bestFit="1"/>
    <col min="5643" max="5643" width="8.109375" style="18" bestFit="1" customWidth="1"/>
    <col min="5644" max="5644" width="11.5546875" style="18" bestFit="1"/>
    <col min="5645" max="5645" width="8.44140625" style="18" customWidth="1"/>
    <col min="5646" max="5646" width="7.33203125" style="18" bestFit="1" customWidth="1"/>
    <col min="5647" max="5647" width="11.5546875" style="18" bestFit="1"/>
    <col min="5648" max="5648" width="8.109375" style="18" customWidth="1"/>
    <col min="5649" max="5649" width="13" style="18" bestFit="1" customWidth="1"/>
    <col min="5650" max="5888" width="11.5546875" style="18"/>
    <col min="5889" max="5889" width="8.88671875" style="18" customWidth="1"/>
    <col min="5890" max="5890" width="50" style="18" customWidth="1"/>
    <col min="5891" max="5891" width="6.33203125" style="18" bestFit="1" customWidth="1"/>
    <col min="5892" max="5892" width="8.88671875" style="18" customWidth="1"/>
    <col min="5893" max="5893" width="8.5546875" style="18" customWidth="1"/>
    <col min="5894" max="5894" width="11.33203125" style="18" bestFit="1" customWidth="1"/>
    <col min="5895" max="5895" width="7.88671875" style="18" bestFit="1" customWidth="1"/>
    <col min="5896" max="5896" width="11.5546875" style="18" bestFit="1"/>
    <col min="5897" max="5897" width="8" style="18" bestFit="1" customWidth="1"/>
    <col min="5898" max="5898" width="11.5546875" style="18" bestFit="1"/>
    <col min="5899" max="5899" width="8.109375" style="18" bestFit="1" customWidth="1"/>
    <col min="5900" max="5900" width="11.5546875" style="18" bestFit="1"/>
    <col min="5901" max="5901" width="8.44140625" style="18" customWidth="1"/>
    <col min="5902" max="5902" width="7.33203125" style="18" bestFit="1" customWidth="1"/>
    <col min="5903" max="5903" width="11.5546875" style="18" bestFit="1"/>
    <col min="5904" max="5904" width="8.109375" style="18" customWidth="1"/>
    <col min="5905" max="5905" width="13" style="18" bestFit="1" customWidth="1"/>
    <col min="5906" max="6144" width="11.5546875" style="18"/>
    <col min="6145" max="6145" width="8.88671875" style="18" customWidth="1"/>
    <col min="6146" max="6146" width="50" style="18" customWidth="1"/>
    <col min="6147" max="6147" width="6.33203125" style="18" bestFit="1" customWidth="1"/>
    <col min="6148" max="6148" width="8.88671875" style="18" customWidth="1"/>
    <col min="6149" max="6149" width="8.5546875" style="18" customWidth="1"/>
    <col min="6150" max="6150" width="11.33203125" style="18" bestFit="1" customWidth="1"/>
    <col min="6151" max="6151" width="7.88671875" style="18" bestFit="1" customWidth="1"/>
    <col min="6152" max="6152" width="11.5546875" style="18" bestFit="1"/>
    <col min="6153" max="6153" width="8" style="18" bestFit="1" customWidth="1"/>
    <col min="6154" max="6154" width="11.5546875" style="18" bestFit="1"/>
    <col min="6155" max="6155" width="8.109375" style="18" bestFit="1" customWidth="1"/>
    <col min="6156" max="6156" width="11.5546875" style="18" bestFit="1"/>
    <col min="6157" max="6157" width="8.44140625" style="18" customWidth="1"/>
    <col min="6158" max="6158" width="7.33203125" style="18" bestFit="1" customWidth="1"/>
    <col min="6159" max="6159" width="11.5546875" style="18" bestFit="1"/>
    <col min="6160" max="6160" width="8.109375" style="18" customWidth="1"/>
    <col min="6161" max="6161" width="13" style="18" bestFit="1" customWidth="1"/>
    <col min="6162" max="6400" width="11.5546875" style="18"/>
    <col min="6401" max="6401" width="8.88671875" style="18" customWidth="1"/>
    <col min="6402" max="6402" width="50" style="18" customWidth="1"/>
    <col min="6403" max="6403" width="6.33203125" style="18" bestFit="1" customWidth="1"/>
    <col min="6404" max="6404" width="8.88671875" style="18" customWidth="1"/>
    <col min="6405" max="6405" width="8.5546875" style="18" customWidth="1"/>
    <col min="6406" max="6406" width="11.33203125" style="18" bestFit="1" customWidth="1"/>
    <col min="6407" max="6407" width="7.88671875" style="18" bestFit="1" customWidth="1"/>
    <col min="6408" max="6408" width="11.5546875" style="18" bestFit="1"/>
    <col min="6409" max="6409" width="8" style="18" bestFit="1" customWidth="1"/>
    <col min="6410" max="6410" width="11.5546875" style="18" bestFit="1"/>
    <col min="6411" max="6411" width="8.109375" style="18" bestFit="1" customWidth="1"/>
    <col min="6412" max="6412" width="11.5546875" style="18" bestFit="1"/>
    <col min="6413" max="6413" width="8.44140625" style="18" customWidth="1"/>
    <col min="6414" max="6414" width="7.33203125" style="18" bestFit="1" customWidth="1"/>
    <col min="6415" max="6415" width="11.5546875" style="18" bestFit="1"/>
    <col min="6416" max="6416" width="8.109375" style="18" customWidth="1"/>
    <col min="6417" max="6417" width="13" style="18" bestFit="1" customWidth="1"/>
    <col min="6418" max="6656" width="11.5546875" style="18"/>
    <col min="6657" max="6657" width="8.88671875" style="18" customWidth="1"/>
    <col min="6658" max="6658" width="50" style="18" customWidth="1"/>
    <col min="6659" max="6659" width="6.33203125" style="18" bestFit="1" customWidth="1"/>
    <col min="6660" max="6660" width="8.88671875" style="18" customWidth="1"/>
    <col min="6661" max="6661" width="8.5546875" style="18" customWidth="1"/>
    <col min="6662" max="6662" width="11.33203125" style="18" bestFit="1" customWidth="1"/>
    <col min="6663" max="6663" width="7.88671875" style="18" bestFit="1" customWidth="1"/>
    <col min="6664" max="6664" width="11.5546875" style="18" bestFit="1"/>
    <col min="6665" max="6665" width="8" style="18" bestFit="1" customWidth="1"/>
    <col min="6666" max="6666" width="11.5546875" style="18" bestFit="1"/>
    <col min="6667" max="6667" width="8.109375" style="18" bestFit="1" customWidth="1"/>
    <col min="6668" max="6668" width="11.5546875" style="18" bestFit="1"/>
    <col min="6669" max="6669" width="8.44140625" style="18" customWidth="1"/>
    <col min="6670" max="6670" width="7.33203125" style="18" bestFit="1" customWidth="1"/>
    <col min="6671" max="6671" width="11.5546875" style="18" bestFit="1"/>
    <col min="6672" max="6672" width="8.109375" style="18" customWidth="1"/>
    <col min="6673" max="6673" width="13" style="18" bestFit="1" customWidth="1"/>
    <col min="6674" max="6912" width="11.5546875" style="18"/>
    <col min="6913" max="6913" width="8.88671875" style="18" customWidth="1"/>
    <col min="6914" max="6914" width="50" style="18" customWidth="1"/>
    <col min="6915" max="6915" width="6.33203125" style="18" bestFit="1" customWidth="1"/>
    <col min="6916" max="6916" width="8.88671875" style="18" customWidth="1"/>
    <col min="6917" max="6917" width="8.5546875" style="18" customWidth="1"/>
    <col min="6918" max="6918" width="11.33203125" style="18" bestFit="1" customWidth="1"/>
    <col min="6919" max="6919" width="7.88671875" style="18" bestFit="1" customWidth="1"/>
    <col min="6920" max="6920" width="11.5546875" style="18" bestFit="1"/>
    <col min="6921" max="6921" width="8" style="18" bestFit="1" customWidth="1"/>
    <col min="6922" max="6922" width="11.5546875" style="18" bestFit="1"/>
    <col min="6923" max="6923" width="8.109375" style="18" bestFit="1" customWidth="1"/>
    <col min="6924" max="6924" width="11.5546875" style="18" bestFit="1"/>
    <col min="6925" max="6925" width="8.44140625" style="18" customWidth="1"/>
    <col min="6926" max="6926" width="7.33203125" style="18" bestFit="1" customWidth="1"/>
    <col min="6927" max="6927" width="11.5546875" style="18" bestFit="1"/>
    <col min="6928" max="6928" width="8.109375" style="18" customWidth="1"/>
    <col min="6929" max="6929" width="13" style="18" bestFit="1" customWidth="1"/>
    <col min="6930" max="7168" width="11.5546875" style="18"/>
    <col min="7169" max="7169" width="8.88671875" style="18" customWidth="1"/>
    <col min="7170" max="7170" width="50" style="18" customWidth="1"/>
    <col min="7171" max="7171" width="6.33203125" style="18" bestFit="1" customWidth="1"/>
    <col min="7172" max="7172" width="8.88671875" style="18" customWidth="1"/>
    <col min="7173" max="7173" width="8.5546875" style="18" customWidth="1"/>
    <col min="7174" max="7174" width="11.33203125" style="18" bestFit="1" customWidth="1"/>
    <col min="7175" max="7175" width="7.88671875" style="18" bestFit="1" customWidth="1"/>
    <col min="7176" max="7176" width="11.5546875" style="18" bestFit="1"/>
    <col min="7177" max="7177" width="8" style="18" bestFit="1" customWidth="1"/>
    <col min="7178" max="7178" width="11.5546875" style="18" bestFit="1"/>
    <col min="7179" max="7179" width="8.109375" style="18" bestFit="1" customWidth="1"/>
    <col min="7180" max="7180" width="11.5546875" style="18" bestFit="1"/>
    <col min="7181" max="7181" width="8.44140625" style="18" customWidth="1"/>
    <col min="7182" max="7182" width="7.33203125" style="18" bestFit="1" customWidth="1"/>
    <col min="7183" max="7183" width="11.5546875" style="18" bestFit="1"/>
    <col min="7184" max="7184" width="8.109375" style="18" customWidth="1"/>
    <col min="7185" max="7185" width="13" style="18" bestFit="1" customWidth="1"/>
    <col min="7186" max="7424" width="11.5546875" style="18"/>
    <col min="7425" max="7425" width="8.88671875" style="18" customWidth="1"/>
    <col min="7426" max="7426" width="50" style="18" customWidth="1"/>
    <col min="7427" max="7427" width="6.33203125" style="18" bestFit="1" customWidth="1"/>
    <col min="7428" max="7428" width="8.88671875" style="18" customWidth="1"/>
    <col min="7429" max="7429" width="8.5546875" style="18" customWidth="1"/>
    <col min="7430" max="7430" width="11.33203125" style="18" bestFit="1" customWidth="1"/>
    <col min="7431" max="7431" width="7.88671875" style="18" bestFit="1" customWidth="1"/>
    <col min="7432" max="7432" width="11.5546875" style="18" bestFit="1"/>
    <col min="7433" max="7433" width="8" style="18" bestFit="1" customWidth="1"/>
    <col min="7434" max="7434" width="11.5546875" style="18" bestFit="1"/>
    <col min="7435" max="7435" width="8.109375" style="18" bestFit="1" customWidth="1"/>
    <col min="7436" max="7436" width="11.5546875" style="18" bestFit="1"/>
    <col min="7437" max="7437" width="8.44140625" style="18" customWidth="1"/>
    <col min="7438" max="7438" width="7.33203125" style="18" bestFit="1" customWidth="1"/>
    <col min="7439" max="7439" width="11.5546875" style="18" bestFit="1"/>
    <col min="7440" max="7440" width="8.109375" style="18" customWidth="1"/>
    <col min="7441" max="7441" width="13" style="18" bestFit="1" customWidth="1"/>
    <col min="7442" max="7680" width="11.5546875" style="18"/>
    <col min="7681" max="7681" width="8.88671875" style="18" customWidth="1"/>
    <col min="7682" max="7682" width="50" style="18" customWidth="1"/>
    <col min="7683" max="7683" width="6.33203125" style="18" bestFit="1" customWidth="1"/>
    <col min="7684" max="7684" width="8.88671875" style="18" customWidth="1"/>
    <col min="7685" max="7685" width="8.5546875" style="18" customWidth="1"/>
    <col min="7686" max="7686" width="11.33203125" style="18" bestFit="1" customWidth="1"/>
    <col min="7687" max="7687" width="7.88671875" style="18" bestFit="1" customWidth="1"/>
    <col min="7688" max="7688" width="11.5546875" style="18" bestFit="1"/>
    <col min="7689" max="7689" width="8" style="18" bestFit="1" customWidth="1"/>
    <col min="7690" max="7690" width="11.5546875" style="18" bestFit="1"/>
    <col min="7691" max="7691" width="8.109375" style="18" bestFit="1" customWidth="1"/>
    <col min="7692" max="7692" width="11.5546875" style="18" bestFit="1"/>
    <col min="7693" max="7693" width="8.44140625" style="18" customWidth="1"/>
    <col min="7694" max="7694" width="7.33203125" style="18" bestFit="1" customWidth="1"/>
    <col min="7695" max="7695" width="11.5546875" style="18" bestFit="1"/>
    <col min="7696" max="7696" width="8.109375" style="18" customWidth="1"/>
    <col min="7697" max="7697" width="13" style="18" bestFit="1" customWidth="1"/>
    <col min="7698" max="7936" width="11.5546875" style="18"/>
    <col min="7937" max="7937" width="8.88671875" style="18" customWidth="1"/>
    <col min="7938" max="7938" width="50" style="18" customWidth="1"/>
    <col min="7939" max="7939" width="6.33203125" style="18" bestFit="1" customWidth="1"/>
    <col min="7940" max="7940" width="8.88671875" style="18" customWidth="1"/>
    <col min="7941" max="7941" width="8.5546875" style="18" customWidth="1"/>
    <col min="7942" max="7942" width="11.33203125" style="18" bestFit="1" customWidth="1"/>
    <col min="7943" max="7943" width="7.88671875" style="18" bestFit="1" customWidth="1"/>
    <col min="7944" max="7944" width="11.5546875" style="18" bestFit="1"/>
    <col min="7945" max="7945" width="8" style="18" bestFit="1" customWidth="1"/>
    <col min="7946" max="7946" width="11.5546875" style="18" bestFit="1"/>
    <col min="7947" max="7947" width="8.109375" style="18" bestFit="1" customWidth="1"/>
    <col min="7948" max="7948" width="11.5546875" style="18" bestFit="1"/>
    <col min="7949" max="7949" width="8.44140625" style="18" customWidth="1"/>
    <col min="7950" max="7950" width="7.33203125" style="18" bestFit="1" customWidth="1"/>
    <col min="7951" max="7951" width="11.5546875" style="18" bestFit="1"/>
    <col min="7952" max="7952" width="8.109375" style="18" customWidth="1"/>
    <col min="7953" max="7953" width="13" style="18" bestFit="1" customWidth="1"/>
    <col min="7954" max="8192" width="11.5546875" style="18"/>
    <col min="8193" max="8193" width="8.88671875" style="18" customWidth="1"/>
    <col min="8194" max="8194" width="50" style="18" customWidth="1"/>
    <col min="8195" max="8195" width="6.33203125" style="18" bestFit="1" customWidth="1"/>
    <col min="8196" max="8196" width="8.88671875" style="18" customWidth="1"/>
    <col min="8197" max="8197" width="8.5546875" style="18" customWidth="1"/>
    <col min="8198" max="8198" width="11.33203125" style="18" bestFit="1" customWidth="1"/>
    <col min="8199" max="8199" width="7.88671875" style="18" bestFit="1" customWidth="1"/>
    <col min="8200" max="8200" width="11.5546875" style="18" bestFit="1"/>
    <col min="8201" max="8201" width="8" style="18" bestFit="1" customWidth="1"/>
    <col min="8202" max="8202" width="11.5546875" style="18" bestFit="1"/>
    <col min="8203" max="8203" width="8.109375" style="18" bestFit="1" customWidth="1"/>
    <col min="8204" max="8204" width="11.5546875" style="18" bestFit="1"/>
    <col min="8205" max="8205" width="8.44140625" style="18" customWidth="1"/>
    <col min="8206" max="8206" width="7.33203125" style="18" bestFit="1" customWidth="1"/>
    <col min="8207" max="8207" width="11.5546875" style="18" bestFit="1"/>
    <col min="8208" max="8208" width="8.109375" style="18" customWidth="1"/>
    <col min="8209" max="8209" width="13" style="18" bestFit="1" customWidth="1"/>
    <col min="8210" max="8448" width="11.5546875" style="18"/>
    <col min="8449" max="8449" width="8.88671875" style="18" customWidth="1"/>
    <col min="8450" max="8450" width="50" style="18" customWidth="1"/>
    <col min="8451" max="8451" width="6.33203125" style="18" bestFit="1" customWidth="1"/>
    <col min="8452" max="8452" width="8.88671875" style="18" customWidth="1"/>
    <col min="8453" max="8453" width="8.5546875" style="18" customWidth="1"/>
    <col min="8454" max="8454" width="11.33203125" style="18" bestFit="1" customWidth="1"/>
    <col min="8455" max="8455" width="7.88671875" style="18" bestFit="1" customWidth="1"/>
    <col min="8456" max="8456" width="11.5546875" style="18" bestFit="1"/>
    <col min="8457" max="8457" width="8" style="18" bestFit="1" customWidth="1"/>
    <col min="8458" max="8458" width="11.5546875" style="18" bestFit="1"/>
    <col min="8459" max="8459" width="8.109375" style="18" bestFit="1" customWidth="1"/>
    <col min="8460" max="8460" width="11.5546875" style="18" bestFit="1"/>
    <col min="8461" max="8461" width="8.44140625" style="18" customWidth="1"/>
    <col min="8462" max="8462" width="7.33203125" style="18" bestFit="1" customWidth="1"/>
    <col min="8463" max="8463" width="11.5546875" style="18" bestFit="1"/>
    <col min="8464" max="8464" width="8.109375" style="18" customWidth="1"/>
    <col min="8465" max="8465" width="13" style="18" bestFit="1" customWidth="1"/>
    <col min="8466" max="8704" width="11.5546875" style="18"/>
    <col min="8705" max="8705" width="8.88671875" style="18" customWidth="1"/>
    <col min="8706" max="8706" width="50" style="18" customWidth="1"/>
    <col min="8707" max="8707" width="6.33203125" style="18" bestFit="1" customWidth="1"/>
    <col min="8708" max="8708" width="8.88671875" style="18" customWidth="1"/>
    <col min="8709" max="8709" width="8.5546875" style="18" customWidth="1"/>
    <col min="8710" max="8710" width="11.33203125" style="18" bestFit="1" customWidth="1"/>
    <col min="8711" max="8711" width="7.88671875" style="18" bestFit="1" customWidth="1"/>
    <col min="8712" max="8712" width="11.5546875" style="18" bestFit="1"/>
    <col min="8713" max="8713" width="8" style="18" bestFit="1" customWidth="1"/>
    <col min="8714" max="8714" width="11.5546875" style="18" bestFit="1"/>
    <col min="8715" max="8715" width="8.109375" style="18" bestFit="1" customWidth="1"/>
    <col min="8716" max="8716" width="11.5546875" style="18" bestFit="1"/>
    <col min="8717" max="8717" width="8.44140625" style="18" customWidth="1"/>
    <col min="8718" max="8718" width="7.33203125" style="18" bestFit="1" customWidth="1"/>
    <col min="8719" max="8719" width="11.5546875" style="18" bestFit="1"/>
    <col min="8720" max="8720" width="8.109375" style="18" customWidth="1"/>
    <col min="8721" max="8721" width="13" style="18" bestFit="1" customWidth="1"/>
    <col min="8722" max="8960" width="11.5546875" style="18"/>
    <col min="8961" max="8961" width="8.88671875" style="18" customWidth="1"/>
    <col min="8962" max="8962" width="50" style="18" customWidth="1"/>
    <col min="8963" max="8963" width="6.33203125" style="18" bestFit="1" customWidth="1"/>
    <col min="8964" max="8964" width="8.88671875" style="18" customWidth="1"/>
    <col min="8965" max="8965" width="8.5546875" style="18" customWidth="1"/>
    <col min="8966" max="8966" width="11.33203125" style="18" bestFit="1" customWidth="1"/>
    <col min="8967" max="8967" width="7.88671875" style="18" bestFit="1" customWidth="1"/>
    <col min="8968" max="8968" width="11.5546875" style="18" bestFit="1"/>
    <col min="8969" max="8969" width="8" style="18" bestFit="1" customWidth="1"/>
    <col min="8970" max="8970" width="11.5546875" style="18" bestFit="1"/>
    <col min="8971" max="8971" width="8.109375" style="18" bestFit="1" customWidth="1"/>
    <col min="8972" max="8972" width="11.5546875" style="18" bestFit="1"/>
    <col min="8973" max="8973" width="8.44140625" style="18" customWidth="1"/>
    <col min="8974" max="8974" width="7.33203125" style="18" bestFit="1" customWidth="1"/>
    <col min="8975" max="8975" width="11.5546875" style="18" bestFit="1"/>
    <col min="8976" max="8976" width="8.109375" style="18" customWidth="1"/>
    <col min="8977" max="8977" width="13" style="18" bestFit="1" customWidth="1"/>
    <col min="8978" max="9216" width="11.5546875" style="18"/>
    <col min="9217" max="9217" width="8.88671875" style="18" customWidth="1"/>
    <col min="9218" max="9218" width="50" style="18" customWidth="1"/>
    <col min="9219" max="9219" width="6.33203125" style="18" bestFit="1" customWidth="1"/>
    <col min="9220" max="9220" width="8.88671875" style="18" customWidth="1"/>
    <col min="9221" max="9221" width="8.5546875" style="18" customWidth="1"/>
    <col min="9222" max="9222" width="11.33203125" style="18" bestFit="1" customWidth="1"/>
    <col min="9223" max="9223" width="7.88671875" style="18" bestFit="1" customWidth="1"/>
    <col min="9224" max="9224" width="11.5546875" style="18" bestFit="1"/>
    <col min="9225" max="9225" width="8" style="18" bestFit="1" customWidth="1"/>
    <col min="9226" max="9226" width="11.5546875" style="18" bestFit="1"/>
    <col min="9227" max="9227" width="8.109375" style="18" bestFit="1" customWidth="1"/>
    <col min="9228" max="9228" width="11.5546875" style="18" bestFit="1"/>
    <col min="9229" max="9229" width="8.44140625" style="18" customWidth="1"/>
    <col min="9230" max="9230" width="7.33203125" style="18" bestFit="1" customWidth="1"/>
    <col min="9231" max="9231" width="11.5546875" style="18" bestFit="1"/>
    <col min="9232" max="9232" width="8.109375" style="18" customWidth="1"/>
    <col min="9233" max="9233" width="13" style="18" bestFit="1" customWidth="1"/>
    <col min="9234" max="9472" width="11.5546875" style="18"/>
    <col min="9473" max="9473" width="8.88671875" style="18" customWidth="1"/>
    <col min="9474" max="9474" width="50" style="18" customWidth="1"/>
    <col min="9475" max="9475" width="6.33203125" style="18" bestFit="1" customWidth="1"/>
    <col min="9476" max="9476" width="8.88671875" style="18" customWidth="1"/>
    <col min="9477" max="9477" width="8.5546875" style="18" customWidth="1"/>
    <col min="9478" max="9478" width="11.33203125" style="18" bestFit="1" customWidth="1"/>
    <col min="9479" max="9479" width="7.88671875" style="18" bestFit="1" customWidth="1"/>
    <col min="9480" max="9480" width="11.5546875" style="18" bestFit="1"/>
    <col min="9481" max="9481" width="8" style="18" bestFit="1" customWidth="1"/>
    <col min="9482" max="9482" width="11.5546875" style="18" bestFit="1"/>
    <col min="9483" max="9483" width="8.109375" style="18" bestFit="1" customWidth="1"/>
    <col min="9484" max="9484" width="11.5546875" style="18" bestFit="1"/>
    <col min="9485" max="9485" width="8.44140625" style="18" customWidth="1"/>
    <col min="9486" max="9486" width="7.33203125" style="18" bestFit="1" customWidth="1"/>
    <col min="9487" max="9487" width="11.5546875" style="18" bestFit="1"/>
    <col min="9488" max="9488" width="8.109375" style="18" customWidth="1"/>
    <col min="9489" max="9489" width="13" style="18" bestFit="1" customWidth="1"/>
    <col min="9490" max="9728" width="11.5546875" style="18"/>
    <col min="9729" max="9729" width="8.88671875" style="18" customWidth="1"/>
    <col min="9730" max="9730" width="50" style="18" customWidth="1"/>
    <col min="9731" max="9731" width="6.33203125" style="18" bestFit="1" customWidth="1"/>
    <col min="9732" max="9732" width="8.88671875" style="18" customWidth="1"/>
    <col min="9733" max="9733" width="8.5546875" style="18" customWidth="1"/>
    <col min="9734" max="9734" width="11.33203125" style="18" bestFit="1" customWidth="1"/>
    <col min="9735" max="9735" width="7.88671875" style="18" bestFit="1" customWidth="1"/>
    <col min="9736" max="9736" width="11.5546875" style="18" bestFit="1"/>
    <col min="9737" max="9737" width="8" style="18" bestFit="1" customWidth="1"/>
    <col min="9738" max="9738" width="11.5546875" style="18" bestFit="1"/>
    <col min="9739" max="9739" width="8.109375" style="18" bestFit="1" customWidth="1"/>
    <col min="9740" max="9740" width="11.5546875" style="18" bestFit="1"/>
    <col min="9741" max="9741" width="8.44140625" style="18" customWidth="1"/>
    <col min="9742" max="9742" width="7.33203125" style="18" bestFit="1" customWidth="1"/>
    <col min="9743" max="9743" width="11.5546875" style="18" bestFit="1"/>
    <col min="9744" max="9744" width="8.109375" style="18" customWidth="1"/>
    <col min="9745" max="9745" width="13" style="18" bestFit="1" customWidth="1"/>
    <col min="9746" max="9984" width="11.5546875" style="18"/>
    <col min="9985" max="9985" width="8.88671875" style="18" customWidth="1"/>
    <col min="9986" max="9986" width="50" style="18" customWidth="1"/>
    <col min="9987" max="9987" width="6.33203125" style="18" bestFit="1" customWidth="1"/>
    <col min="9988" max="9988" width="8.88671875" style="18" customWidth="1"/>
    <col min="9989" max="9989" width="8.5546875" style="18" customWidth="1"/>
    <col min="9990" max="9990" width="11.33203125" style="18" bestFit="1" customWidth="1"/>
    <col min="9991" max="9991" width="7.88671875" style="18" bestFit="1" customWidth="1"/>
    <col min="9992" max="9992" width="11.5546875" style="18" bestFit="1"/>
    <col min="9993" max="9993" width="8" style="18" bestFit="1" customWidth="1"/>
    <col min="9994" max="9994" width="11.5546875" style="18" bestFit="1"/>
    <col min="9995" max="9995" width="8.109375" style="18" bestFit="1" customWidth="1"/>
    <col min="9996" max="9996" width="11.5546875" style="18" bestFit="1"/>
    <col min="9997" max="9997" width="8.44140625" style="18" customWidth="1"/>
    <col min="9998" max="9998" width="7.33203125" style="18" bestFit="1" customWidth="1"/>
    <col min="9999" max="9999" width="11.5546875" style="18" bestFit="1"/>
    <col min="10000" max="10000" width="8.109375" style="18" customWidth="1"/>
    <col min="10001" max="10001" width="13" style="18" bestFit="1" customWidth="1"/>
    <col min="10002" max="10240" width="11.5546875" style="18"/>
    <col min="10241" max="10241" width="8.88671875" style="18" customWidth="1"/>
    <col min="10242" max="10242" width="50" style="18" customWidth="1"/>
    <col min="10243" max="10243" width="6.33203125" style="18" bestFit="1" customWidth="1"/>
    <col min="10244" max="10244" width="8.88671875" style="18" customWidth="1"/>
    <col min="10245" max="10245" width="8.5546875" style="18" customWidth="1"/>
    <col min="10246" max="10246" width="11.33203125" style="18" bestFit="1" customWidth="1"/>
    <col min="10247" max="10247" width="7.88671875" style="18" bestFit="1" customWidth="1"/>
    <col min="10248" max="10248" width="11.5546875" style="18" bestFit="1"/>
    <col min="10249" max="10249" width="8" style="18" bestFit="1" customWidth="1"/>
    <col min="10250" max="10250" width="11.5546875" style="18" bestFit="1"/>
    <col min="10251" max="10251" width="8.109375" style="18" bestFit="1" customWidth="1"/>
    <col min="10252" max="10252" width="11.5546875" style="18" bestFit="1"/>
    <col min="10253" max="10253" width="8.44140625" style="18" customWidth="1"/>
    <col min="10254" max="10254" width="7.33203125" style="18" bestFit="1" customWidth="1"/>
    <col min="10255" max="10255" width="11.5546875" style="18" bestFit="1"/>
    <col min="10256" max="10256" width="8.109375" style="18" customWidth="1"/>
    <col min="10257" max="10257" width="13" style="18" bestFit="1" customWidth="1"/>
    <col min="10258" max="10496" width="11.5546875" style="18"/>
    <col min="10497" max="10497" width="8.88671875" style="18" customWidth="1"/>
    <col min="10498" max="10498" width="50" style="18" customWidth="1"/>
    <col min="10499" max="10499" width="6.33203125" style="18" bestFit="1" customWidth="1"/>
    <col min="10500" max="10500" width="8.88671875" style="18" customWidth="1"/>
    <col min="10501" max="10501" width="8.5546875" style="18" customWidth="1"/>
    <col min="10502" max="10502" width="11.33203125" style="18" bestFit="1" customWidth="1"/>
    <col min="10503" max="10503" width="7.88671875" style="18" bestFit="1" customWidth="1"/>
    <col min="10504" max="10504" width="11.5546875" style="18" bestFit="1"/>
    <col min="10505" max="10505" width="8" style="18" bestFit="1" customWidth="1"/>
    <col min="10506" max="10506" width="11.5546875" style="18" bestFit="1"/>
    <col min="10507" max="10507" width="8.109375" style="18" bestFit="1" customWidth="1"/>
    <col min="10508" max="10508" width="11.5546875" style="18" bestFit="1"/>
    <col min="10509" max="10509" width="8.44140625" style="18" customWidth="1"/>
    <col min="10510" max="10510" width="7.33203125" style="18" bestFit="1" customWidth="1"/>
    <col min="10511" max="10511" width="11.5546875" style="18" bestFit="1"/>
    <col min="10512" max="10512" width="8.109375" style="18" customWidth="1"/>
    <col min="10513" max="10513" width="13" style="18" bestFit="1" customWidth="1"/>
    <col min="10514" max="10752" width="11.5546875" style="18"/>
    <col min="10753" max="10753" width="8.88671875" style="18" customWidth="1"/>
    <col min="10754" max="10754" width="50" style="18" customWidth="1"/>
    <col min="10755" max="10755" width="6.33203125" style="18" bestFit="1" customWidth="1"/>
    <col min="10756" max="10756" width="8.88671875" style="18" customWidth="1"/>
    <col min="10757" max="10757" width="8.5546875" style="18" customWidth="1"/>
    <col min="10758" max="10758" width="11.33203125" style="18" bestFit="1" customWidth="1"/>
    <col min="10759" max="10759" width="7.88671875" style="18" bestFit="1" customWidth="1"/>
    <col min="10760" max="10760" width="11.5546875" style="18" bestFit="1"/>
    <col min="10761" max="10761" width="8" style="18" bestFit="1" customWidth="1"/>
    <col min="10762" max="10762" width="11.5546875" style="18" bestFit="1"/>
    <col min="10763" max="10763" width="8.109375" style="18" bestFit="1" customWidth="1"/>
    <col min="10764" max="10764" width="11.5546875" style="18" bestFit="1"/>
    <col min="10765" max="10765" width="8.44140625" style="18" customWidth="1"/>
    <col min="10766" max="10766" width="7.33203125" style="18" bestFit="1" customWidth="1"/>
    <col min="10767" max="10767" width="11.5546875" style="18" bestFit="1"/>
    <col min="10768" max="10768" width="8.109375" style="18" customWidth="1"/>
    <col min="10769" max="10769" width="13" style="18" bestFit="1" customWidth="1"/>
    <col min="10770" max="11008" width="11.5546875" style="18"/>
    <col min="11009" max="11009" width="8.88671875" style="18" customWidth="1"/>
    <col min="11010" max="11010" width="50" style="18" customWidth="1"/>
    <col min="11011" max="11011" width="6.33203125" style="18" bestFit="1" customWidth="1"/>
    <col min="11012" max="11012" width="8.88671875" style="18" customWidth="1"/>
    <col min="11013" max="11013" width="8.5546875" style="18" customWidth="1"/>
    <col min="11014" max="11014" width="11.33203125" style="18" bestFit="1" customWidth="1"/>
    <col min="11015" max="11015" width="7.88671875" style="18" bestFit="1" customWidth="1"/>
    <col min="11016" max="11016" width="11.5546875" style="18" bestFit="1"/>
    <col min="11017" max="11017" width="8" style="18" bestFit="1" customWidth="1"/>
    <col min="11018" max="11018" width="11.5546875" style="18" bestFit="1"/>
    <col min="11019" max="11019" width="8.109375" style="18" bestFit="1" customWidth="1"/>
    <col min="11020" max="11020" width="11.5546875" style="18" bestFit="1"/>
    <col min="11021" max="11021" width="8.44140625" style="18" customWidth="1"/>
    <col min="11022" max="11022" width="7.33203125" style="18" bestFit="1" customWidth="1"/>
    <col min="11023" max="11023" width="11.5546875" style="18" bestFit="1"/>
    <col min="11024" max="11024" width="8.109375" style="18" customWidth="1"/>
    <col min="11025" max="11025" width="13" style="18" bestFit="1" customWidth="1"/>
    <col min="11026" max="11264" width="11.5546875" style="18"/>
    <col min="11265" max="11265" width="8.88671875" style="18" customWidth="1"/>
    <col min="11266" max="11266" width="50" style="18" customWidth="1"/>
    <col min="11267" max="11267" width="6.33203125" style="18" bestFit="1" customWidth="1"/>
    <col min="11268" max="11268" width="8.88671875" style="18" customWidth="1"/>
    <col min="11269" max="11269" width="8.5546875" style="18" customWidth="1"/>
    <col min="11270" max="11270" width="11.33203125" style="18" bestFit="1" customWidth="1"/>
    <col min="11271" max="11271" width="7.88671875" style="18" bestFit="1" customWidth="1"/>
    <col min="11272" max="11272" width="11.5546875" style="18" bestFit="1"/>
    <col min="11273" max="11273" width="8" style="18" bestFit="1" customWidth="1"/>
    <col min="11274" max="11274" width="11.5546875" style="18" bestFit="1"/>
    <col min="11275" max="11275" width="8.109375" style="18" bestFit="1" customWidth="1"/>
    <col min="11276" max="11276" width="11.5546875" style="18" bestFit="1"/>
    <col min="11277" max="11277" width="8.44140625" style="18" customWidth="1"/>
    <col min="11278" max="11278" width="7.33203125" style="18" bestFit="1" customWidth="1"/>
    <col min="11279" max="11279" width="11.5546875" style="18" bestFit="1"/>
    <col min="11280" max="11280" width="8.109375" style="18" customWidth="1"/>
    <col min="11281" max="11281" width="13" style="18" bestFit="1" customWidth="1"/>
    <col min="11282" max="11520" width="11.5546875" style="18"/>
    <col min="11521" max="11521" width="8.88671875" style="18" customWidth="1"/>
    <col min="11522" max="11522" width="50" style="18" customWidth="1"/>
    <col min="11523" max="11523" width="6.33203125" style="18" bestFit="1" customWidth="1"/>
    <col min="11524" max="11524" width="8.88671875" style="18" customWidth="1"/>
    <col min="11525" max="11525" width="8.5546875" style="18" customWidth="1"/>
    <col min="11526" max="11526" width="11.33203125" style="18" bestFit="1" customWidth="1"/>
    <col min="11527" max="11527" width="7.88671875" style="18" bestFit="1" customWidth="1"/>
    <col min="11528" max="11528" width="11.5546875" style="18" bestFit="1"/>
    <col min="11529" max="11529" width="8" style="18" bestFit="1" customWidth="1"/>
    <col min="11530" max="11530" width="11.5546875" style="18" bestFit="1"/>
    <col min="11531" max="11531" width="8.109375" style="18" bestFit="1" customWidth="1"/>
    <col min="11532" max="11532" width="11.5546875" style="18" bestFit="1"/>
    <col min="11533" max="11533" width="8.44140625" style="18" customWidth="1"/>
    <col min="11534" max="11534" width="7.33203125" style="18" bestFit="1" customWidth="1"/>
    <col min="11535" max="11535" width="11.5546875" style="18" bestFit="1"/>
    <col min="11536" max="11536" width="8.109375" style="18" customWidth="1"/>
    <col min="11537" max="11537" width="13" style="18" bestFit="1" customWidth="1"/>
    <col min="11538" max="11776" width="11.5546875" style="18"/>
    <col min="11777" max="11777" width="8.88671875" style="18" customWidth="1"/>
    <col min="11778" max="11778" width="50" style="18" customWidth="1"/>
    <col min="11779" max="11779" width="6.33203125" style="18" bestFit="1" customWidth="1"/>
    <col min="11780" max="11780" width="8.88671875" style="18" customWidth="1"/>
    <col min="11781" max="11781" width="8.5546875" style="18" customWidth="1"/>
    <col min="11782" max="11782" width="11.33203125" style="18" bestFit="1" customWidth="1"/>
    <col min="11783" max="11783" width="7.88671875" style="18" bestFit="1" customWidth="1"/>
    <col min="11784" max="11784" width="11.5546875" style="18" bestFit="1"/>
    <col min="11785" max="11785" width="8" style="18" bestFit="1" customWidth="1"/>
    <col min="11786" max="11786" width="11.5546875" style="18" bestFit="1"/>
    <col min="11787" max="11787" width="8.109375" style="18" bestFit="1" customWidth="1"/>
    <col min="11788" max="11788" width="11.5546875" style="18" bestFit="1"/>
    <col min="11789" max="11789" width="8.44140625" style="18" customWidth="1"/>
    <col min="11790" max="11790" width="7.33203125" style="18" bestFit="1" customWidth="1"/>
    <col min="11791" max="11791" width="11.5546875" style="18" bestFit="1"/>
    <col min="11792" max="11792" width="8.109375" style="18" customWidth="1"/>
    <col min="11793" max="11793" width="13" style="18" bestFit="1" customWidth="1"/>
    <col min="11794" max="12032" width="11.5546875" style="18"/>
    <col min="12033" max="12033" width="8.88671875" style="18" customWidth="1"/>
    <col min="12034" max="12034" width="50" style="18" customWidth="1"/>
    <col min="12035" max="12035" width="6.33203125" style="18" bestFit="1" customWidth="1"/>
    <col min="12036" max="12036" width="8.88671875" style="18" customWidth="1"/>
    <col min="12037" max="12037" width="8.5546875" style="18" customWidth="1"/>
    <col min="12038" max="12038" width="11.33203125" style="18" bestFit="1" customWidth="1"/>
    <col min="12039" max="12039" width="7.88671875" style="18" bestFit="1" customWidth="1"/>
    <col min="12040" max="12040" width="11.5546875" style="18" bestFit="1"/>
    <col min="12041" max="12041" width="8" style="18" bestFit="1" customWidth="1"/>
    <col min="12042" max="12042" width="11.5546875" style="18" bestFit="1"/>
    <col min="12043" max="12043" width="8.109375" style="18" bestFit="1" customWidth="1"/>
    <col min="12044" max="12044" width="11.5546875" style="18" bestFit="1"/>
    <col min="12045" max="12045" width="8.44140625" style="18" customWidth="1"/>
    <col min="12046" max="12046" width="7.33203125" style="18" bestFit="1" customWidth="1"/>
    <col min="12047" max="12047" width="11.5546875" style="18" bestFit="1"/>
    <col min="12048" max="12048" width="8.109375" style="18" customWidth="1"/>
    <col min="12049" max="12049" width="13" style="18" bestFit="1" customWidth="1"/>
    <col min="12050" max="12288" width="11.5546875" style="18"/>
    <col min="12289" max="12289" width="8.88671875" style="18" customWidth="1"/>
    <col min="12290" max="12290" width="50" style="18" customWidth="1"/>
    <col min="12291" max="12291" width="6.33203125" style="18" bestFit="1" customWidth="1"/>
    <col min="12292" max="12292" width="8.88671875" style="18" customWidth="1"/>
    <col min="12293" max="12293" width="8.5546875" style="18" customWidth="1"/>
    <col min="12294" max="12294" width="11.33203125" style="18" bestFit="1" customWidth="1"/>
    <col min="12295" max="12295" width="7.88671875" style="18" bestFit="1" customWidth="1"/>
    <col min="12296" max="12296" width="11.5546875" style="18" bestFit="1"/>
    <col min="12297" max="12297" width="8" style="18" bestFit="1" customWidth="1"/>
    <col min="12298" max="12298" width="11.5546875" style="18" bestFit="1"/>
    <col min="12299" max="12299" width="8.109375" style="18" bestFit="1" customWidth="1"/>
    <col min="12300" max="12300" width="11.5546875" style="18" bestFit="1"/>
    <col min="12301" max="12301" width="8.44140625" style="18" customWidth="1"/>
    <col min="12302" max="12302" width="7.33203125" style="18" bestFit="1" customWidth="1"/>
    <col min="12303" max="12303" width="11.5546875" style="18" bestFit="1"/>
    <col min="12304" max="12304" width="8.109375" style="18" customWidth="1"/>
    <col min="12305" max="12305" width="13" style="18" bestFit="1" customWidth="1"/>
    <col min="12306" max="12544" width="11.5546875" style="18"/>
    <col min="12545" max="12545" width="8.88671875" style="18" customWidth="1"/>
    <col min="12546" max="12546" width="50" style="18" customWidth="1"/>
    <col min="12547" max="12547" width="6.33203125" style="18" bestFit="1" customWidth="1"/>
    <col min="12548" max="12548" width="8.88671875" style="18" customWidth="1"/>
    <col min="12549" max="12549" width="8.5546875" style="18" customWidth="1"/>
    <col min="12550" max="12550" width="11.33203125" style="18" bestFit="1" customWidth="1"/>
    <col min="12551" max="12551" width="7.88671875" style="18" bestFit="1" customWidth="1"/>
    <col min="12552" max="12552" width="11.5546875" style="18" bestFit="1"/>
    <col min="12553" max="12553" width="8" style="18" bestFit="1" customWidth="1"/>
    <col min="12554" max="12554" width="11.5546875" style="18" bestFit="1"/>
    <col min="12555" max="12555" width="8.109375" style="18" bestFit="1" customWidth="1"/>
    <col min="12556" max="12556" width="11.5546875" style="18" bestFit="1"/>
    <col min="12557" max="12557" width="8.44140625" style="18" customWidth="1"/>
    <col min="12558" max="12558" width="7.33203125" style="18" bestFit="1" customWidth="1"/>
    <col min="12559" max="12559" width="11.5546875" style="18" bestFit="1"/>
    <col min="12560" max="12560" width="8.109375" style="18" customWidth="1"/>
    <col min="12561" max="12561" width="13" style="18" bestFit="1" customWidth="1"/>
    <col min="12562" max="12800" width="11.5546875" style="18"/>
    <col min="12801" max="12801" width="8.88671875" style="18" customWidth="1"/>
    <col min="12802" max="12802" width="50" style="18" customWidth="1"/>
    <col min="12803" max="12803" width="6.33203125" style="18" bestFit="1" customWidth="1"/>
    <col min="12804" max="12804" width="8.88671875" style="18" customWidth="1"/>
    <col min="12805" max="12805" width="8.5546875" style="18" customWidth="1"/>
    <col min="12806" max="12806" width="11.33203125" style="18" bestFit="1" customWidth="1"/>
    <col min="12807" max="12807" width="7.88671875" style="18" bestFit="1" customWidth="1"/>
    <col min="12808" max="12808" width="11.5546875" style="18" bestFit="1"/>
    <col min="12809" max="12809" width="8" style="18" bestFit="1" customWidth="1"/>
    <col min="12810" max="12810" width="11.5546875" style="18" bestFit="1"/>
    <col min="12811" max="12811" width="8.109375" style="18" bestFit="1" customWidth="1"/>
    <col min="12812" max="12812" width="11.5546875" style="18" bestFit="1"/>
    <col min="12813" max="12813" width="8.44140625" style="18" customWidth="1"/>
    <col min="12814" max="12814" width="7.33203125" style="18" bestFit="1" customWidth="1"/>
    <col min="12815" max="12815" width="11.5546875" style="18" bestFit="1"/>
    <col min="12816" max="12816" width="8.109375" style="18" customWidth="1"/>
    <col min="12817" max="12817" width="13" style="18" bestFit="1" customWidth="1"/>
    <col min="12818" max="13056" width="11.5546875" style="18"/>
    <col min="13057" max="13057" width="8.88671875" style="18" customWidth="1"/>
    <col min="13058" max="13058" width="50" style="18" customWidth="1"/>
    <col min="13059" max="13059" width="6.33203125" style="18" bestFit="1" customWidth="1"/>
    <col min="13060" max="13060" width="8.88671875" style="18" customWidth="1"/>
    <col min="13061" max="13061" width="8.5546875" style="18" customWidth="1"/>
    <col min="13062" max="13062" width="11.33203125" style="18" bestFit="1" customWidth="1"/>
    <col min="13063" max="13063" width="7.88671875" style="18" bestFit="1" customWidth="1"/>
    <col min="13064" max="13064" width="11.5546875" style="18" bestFit="1"/>
    <col min="13065" max="13065" width="8" style="18" bestFit="1" customWidth="1"/>
    <col min="13066" max="13066" width="11.5546875" style="18" bestFit="1"/>
    <col min="13067" max="13067" width="8.109375" style="18" bestFit="1" customWidth="1"/>
    <col min="13068" max="13068" width="11.5546875" style="18" bestFit="1"/>
    <col min="13069" max="13069" width="8.44140625" style="18" customWidth="1"/>
    <col min="13070" max="13070" width="7.33203125" style="18" bestFit="1" customWidth="1"/>
    <col min="13071" max="13071" width="11.5546875" style="18" bestFit="1"/>
    <col min="13072" max="13072" width="8.109375" style="18" customWidth="1"/>
    <col min="13073" max="13073" width="13" style="18" bestFit="1" customWidth="1"/>
    <col min="13074" max="13312" width="11.5546875" style="18"/>
    <col min="13313" max="13313" width="8.88671875" style="18" customWidth="1"/>
    <col min="13314" max="13314" width="50" style="18" customWidth="1"/>
    <col min="13315" max="13315" width="6.33203125" style="18" bestFit="1" customWidth="1"/>
    <col min="13316" max="13316" width="8.88671875" style="18" customWidth="1"/>
    <col min="13317" max="13317" width="8.5546875" style="18" customWidth="1"/>
    <col min="13318" max="13318" width="11.33203125" style="18" bestFit="1" customWidth="1"/>
    <col min="13319" max="13319" width="7.88671875" style="18" bestFit="1" customWidth="1"/>
    <col min="13320" max="13320" width="11.5546875" style="18" bestFit="1"/>
    <col min="13321" max="13321" width="8" style="18" bestFit="1" customWidth="1"/>
    <col min="13322" max="13322" width="11.5546875" style="18" bestFit="1"/>
    <col min="13323" max="13323" width="8.109375" style="18" bestFit="1" customWidth="1"/>
    <col min="13324" max="13324" width="11.5546875" style="18" bestFit="1"/>
    <col min="13325" max="13325" width="8.44140625" style="18" customWidth="1"/>
    <col min="13326" max="13326" width="7.33203125" style="18" bestFit="1" customWidth="1"/>
    <col min="13327" max="13327" width="11.5546875" style="18" bestFit="1"/>
    <col min="13328" max="13328" width="8.109375" style="18" customWidth="1"/>
    <col min="13329" max="13329" width="13" style="18" bestFit="1" customWidth="1"/>
    <col min="13330" max="13568" width="11.5546875" style="18"/>
    <col min="13569" max="13569" width="8.88671875" style="18" customWidth="1"/>
    <col min="13570" max="13570" width="50" style="18" customWidth="1"/>
    <col min="13571" max="13571" width="6.33203125" style="18" bestFit="1" customWidth="1"/>
    <col min="13572" max="13572" width="8.88671875" style="18" customWidth="1"/>
    <col min="13573" max="13573" width="8.5546875" style="18" customWidth="1"/>
    <col min="13574" max="13574" width="11.33203125" style="18" bestFit="1" customWidth="1"/>
    <col min="13575" max="13575" width="7.88671875" style="18" bestFit="1" customWidth="1"/>
    <col min="13576" max="13576" width="11.5546875" style="18" bestFit="1"/>
    <col min="13577" max="13577" width="8" style="18" bestFit="1" customWidth="1"/>
    <col min="13578" max="13578" width="11.5546875" style="18" bestFit="1"/>
    <col min="13579" max="13579" width="8.109375" style="18" bestFit="1" customWidth="1"/>
    <col min="13580" max="13580" width="11.5546875" style="18" bestFit="1"/>
    <col min="13581" max="13581" width="8.44140625" style="18" customWidth="1"/>
    <col min="13582" max="13582" width="7.33203125" style="18" bestFit="1" customWidth="1"/>
    <col min="13583" max="13583" width="11.5546875" style="18" bestFit="1"/>
    <col min="13584" max="13584" width="8.109375" style="18" customWidth="1"/>
    <col min="13585" max="13585" width="13" style="18" bestFit="1" customWidth="1"/>
    <col min="13586" max="13824" width="11.5546875" style="18"/>
    <col min="13825" max="13825" width="8.88671875" style="18" customWidth="1"/>
    <col min="13826" max="13826" width="50" style="18" customWidth="1"/>
    <col min="13827" max="13827" width="6.33203125" style="18" bestFit="1" customWidth="1"/>
    <col min="13828" max="13828" width="8.88671875" style="18" customWidth="1"/>
    <col min="13829" max="13829" width="8.5546875" style="18" customWidth="1"/>
    <col min="13830" max="13830" width="11.33203125" style="18" bestFit="1" customWidth="1"/>
    <col min="13831" max="13831" width="7.88671875" style="18" bestFit="1" customWidth="1"/>
    <col min="13832" max="13832" width="11.5546875" style="18" bestFit="1"/>
    <col min="13833" max="13833" width="8" style="18" bestFit="1" customWidth="1"/>
    <col min="13834" max="13834" width="11.5546875" style="18" bestFit="1"/>
    <col min="13835" max="13835" width="8.109375" style="18" bestFit="1" customWidth="1"/>
    <col min="13836" max="13836" width="11.5546875" style="18" bestFit="1"/>
    <col min="13837" max="13837" width="8.44140625" style="18" customWidth="1"/>
    <col min="13838" max="13838" width="7.33203125" style="18" bestFit="1" customWidth="1"/>
    <col min="13839" max="13839" width="11.5546875" style="18" bestFit="1"/>
    <col min="13840" max="13840" width="8.109375" style="18" customWidth="1"/>
    <col min="13841" max="13841" width="13" style="18" bestFit="1" customWidth="1"/>
    <col min="13842" max="14080" width="11.5546875" style="18"/>
    <col min="14081" max="14081" width="8.88671875" style="18" customWidth="1"/>
    <col min="14082" max="14082" width="50" style="18" customWidth="1"/>
    <col min="14083" max="14083" width="6.33203125" style="18" bestFit="1" customWidth="1"/>
    <col min="14084" max="14084" width="8.88671875" style="18" customWidth="1"/>
    <col min="14085" max="14085" width="8.5546875" style="18" customWidth="1"/>
    <col min="14086" max="14086" width="11.33203125" style="18" bestFit="1" customWidth="1"/>
    <col min="14087" max="14087" width="7.88671875" style="18" bestFit="1" customWidth="1"/>
    <col min="14088" max="14088" width="11.5546875" style="18" bestFit="1"/>
    <col min="14089" max="14089" width="8" style="18" bestFit="1" customWidth="1"/>
    <col min="14090" max="14090" width="11.5546875" style="18" bestFit="1"/>
    <col min="14091" max="14091" width="8.109375" style="18" bestFit="1" customWidth="1"/>
    <col min="14092" max="14092" width="11.5546875" style="18" bestFit="1"/>
    <col min="14093" max="14093" width="8.44140625" style="18" customWidth="1"/>
    <col min="14094" max="14094" width="7.33203125" style="18" bestFit="1" customWidth="1"/>
    <col min="14095" max="14095" width="11.5546875" style="18" bestFit="1"/>
    <col min="14096" max="14096" width="8.109375" style="18" customWidth="1"/>
    <col min="14097" max="14097" width="13" style="18" bestFit="1" customWidth="1"/>
    <col min="14098" max="14336" width="11.5546875" style="18"/>
    <col min="14337" max="14337" width="8.88671875" style="18" customWidth="1"/>
    <col min="14338" max="14338" width="50" style="18" customWidth="1"/>
    <col min="14339" max="14339" width="6.33203125" style="18" bestFit="1" customWidth="1"/>
    <col min="14340" max="14340" width="8.88671875" style="18" customWidth="1"/>
    <col min="14341" max="14341" width="8.5546875" style="18" customWidth="1"/>
    <col min="14342" max="14342" width="11.33203125" style="18" bestFit="1" customWidth="1"/>
    <col min="14343" max="14343" width="7.88671875" style="18" bestFit="1" customWidth="1"/>
    <col min="14344" max="14344" width="11.5546875" style="18" bestFit="1"/>
    <col min="14345" max="14345" width="8" style="18" bestFit="1" customWidth="1"/>
    <col min="14346" max="14346" width="11.5546875" style="18" bestFit="1"/>
    <col min="14347" max="14347" width="8.109375" style="18" bestFit="1" customWidth="1"/>
    <col min="14348" max="14348" width="11.5546875" style="18" bestFit="1"/>
    <col min="14349" max="14349" width="8.44140625" style="18" customWidth="1"/>
    <col min="14350" max="14350" width="7.33203125" style="18" bestFit="1" customWidth="1"/>
    <col min="14351" max="14351" width="11.5546875" style="18" bestFit="1"/>
    <col min="14352" max="14352" width="8.109375" style="18" customWidth="1"/>
    <col min="14353" max="14353" width="13" style="18" bestFit="1" customWidth="1"/>
    <col min="14354" max="14592" width="11.5546875" style="18"/>
    <col min="14593" max="14593" width="8.88671875" style="18" customWidth="1"/>
    <col min="14594" max="14594" width="50" style="18" customWidth="1"/>
    <col min="14595" max="14595" width="6.33203125" style="18" bestFit="1" customWidth="1"/>
    <col min="14596" max="14596" width="8.88671875" style="18" customWidth="1"/>
    <col min="14597" max="14597" width="8.5546875" style="18" customWidth="1"/>
    <col min="14598" max="14598" width="11.33203125" style="18" bestFit="1" customWidth="1"/>
    <col min="14599" max="14599" width="7.88671875" style="18" bestFit="1" customWidth="1"/>
    <col min="14600" max="14600" width="11.5546875" style="18" bestFit="1"/>
    <col min="14601" max="14601" width="8" style="18" bestFit="1" customWidth="1"/>
    <col min="14602" max="14602" width="11.5546875" style="18" bestFit="1"/>
    <col min="14603" max="14603" width="8.109375" style="18" bestFit="1" customWidth="1"/>
    <col min="14604" max="14604" width="11.5546875" style="18" bestFit="1"/>
    <col min="14605" max="14605" width="8.44140625" style="18" customWidth="1"/>
    <col min="14606" max="14606" width="7.33203125" style="18" bestFit="1" customWidth="1"/>
    <col min="14607" max="14607" width="11.5546875" style="18" bestFit="1"/>
    <col min="14608" max="14608" width="8.109375" style="18" customWidth="1"/>
    <col min="14609" max="14609" width="13" style="18" bestFit="1" customWidth="1"/>
    <col min="14610" max="14848" width="11.5546875" style="18"/>
    <col min="14849" max="14849" width="8.88671875" style="18" customWidth="1"/>
    <col min="14850" max="14850" width="50" style="18" customWidth="1"/>
    <col min="14851" max="14851" width="6.33203125" style="18" bestFit="1" customWidth="1"/>
    <col min="14852" max="14852" width="8.88671875" style="18" customWidth="1"/>
    <col min="14853" max="14853" width="8.5546875" style="18" customWidth="1"/>
    <col min="14854" max="14854" width="11.33203125" style="18" bestFit="1" customWidth="1"/>
    <col min="14855" max="14855" width="7.88671875" style="18" bestFit="1" customWidth="1"/>
    <col min="14856" max="14856" width="11.5546875" style="18" bestFit="1"/>
    <col min="14857" max="14857" width="8" style="18" bestFit="1" customWidth="1"/>
    <col min="14858" max="14858" width="11.5546875" style="18" bestFit="1"/>
    <col min="14859" max="14859" width="8.109375" style="18" bestFit="1" customWidth="1"/>
    <col min="14860" max="14860" width="11.5546875" style="18" bestFit="1"/>
    <col min="14861" max="14861" width="8.44140625" style="18" customWidth="1"/>
    <col min="14862" max="14862" width="7.33203125" style="18" bestFit="1" customWidth="1"/>
    <col min="14863" max="14863" width="11.5546875" style="18" bestFit="1"/>
    <col min="14864" max="14864" width="8.109375" style="18" customWidth="1"/>
    <col min="14865" max="14865" width="13" style="18" bestFit="1" customWidth="1"/>
    <col min="14866" max="15104" width="11.5546875" style="18"/>
    <col min="15105" max="15105" width="8.88671875" style="18" customWidth="1"/>
    <col min="15106" max="15106" width="50" style="18" customWidth="1"/>
    <col min="15107" max="15107" width="6.33203125" style="18" bestFit="1" customWidth="1"/>
    <col min="15108" max="15108" width="8.88671875" style="18" customWidth="1"/>
    <col min="15109" max="15109" width="8.5546875" style="18" customWidth="1"/>
    <col min="15110" max="15110" width="11.33203125" style="18" bestFit="1" customWidth="1"/>
    <col min="15111" max="15111" width="7.88671875" style="18" bestFit="1" customWidth="1"/>
    <col min="15112" max="15112" width="11.5546875" style="18" bestFit="1"/>
    <col min="15113" max="15113" width="8" style="18" bestFit="1" customWidth="1"/>
    <col min="15114" max="15114" width="11.5546875" style="18" bestFit="1"/>
    <col min="15115" max="15115" width="8.109375" style="18" bestFit="1" customWidth="1"/>
    <col min="15116" max="15116" width="11.5546875" style="18" bestFit="1"/>
    <col min="15117" max="15117" width="8.44140625" style="18" customWidth="1"/>
    <col min="15118" max="15118" width="7.33203125" style="18" bestFit="1" customWidth="1"/>
    <col min="15119" max="15119" width="11.5546875" style="18" bestFit="1"/>
    <col min="15120" max="15120" width="8.109375" style="18" customWidth="1"/>
    <col min="15121" max="15121" width="13" style="18" bestFit="1" customWidth="1"/>
    <col min="15122" max="15360" width="11.5546875" style="18"/>
    <col min="15361" max="15361" width="8.88671875" style="18" customWidth="1"/>
    <col min="15362" max="15362" width="50" style="18" customWidth="1"/>
    <col min="15363" max="15363" width="6.33203125" style="18" bestFit="1" customWidth="1"/>
    <col min="15364" max="15364" width="8.88671875" style="18" customWidth="1"/>
    <col min="15365" max="15365" width="8.5546875" style="18" customWidth="1"/>
    <col min="15366" max="15366" width="11.33203125" style="18" bestFit="1" customWidth="1"/>
    <col min="15367" max="15367" width="7.88671875" style="18" bestFit="1" customWidth="1"/>
    <col min="15368" max="15368" width="11.5546875" style="18" bestFit="1"/>
    <col min="15369" max="15369" width="8" style="18" bestFit="1" customWidth="1"/>
    <col min="15370" max="15370" width="11.5546875" style="18" bestFit="1"/>
    <col min="15371" max="15371" width="8.109375" style="18" bestFit="1" customWidth="1"/>
    <col min="15372" max="15372" width="11.5546875" style="18" bestFit="1"/>
    <col min="15373" max="15373" width="8.44140625" style="18" customWidth="1"/>
    <col min="15374" max="15374" width="7.33203125" style="18" bestFit="1" customWidth="1"/>
    <col min="15375" max="15375" width="11.5546875" style="18" bestFit="1"/>
    <col min="15376" max="15376" width="8.109375" style="18" customWidth="1"/>
    <col min="15377" max="15377" width="13" style="18" bestFit="1" customWidth="1"/>
    <col min="15378" max="15616" width="11.5546875" style="18"/>
    <col min="15617" max="15617" width="8.88671875" style="18" customWidth="1"/>
    <col min="15618" max="15618" width="50" style="18" customWidth="1"/>
    <col min="15619" max="15619" width="6.33203125" style="18" bestFit="1" customWidth="1"/>
    <col min="15620" max="15620" width="8.88671875" style="18" customWidth="1"/>
    <col min="15621" max="15621" width="8.5546875" style="18" customWidth="1"/>
    <col min="15622" max="15622" width="11.33203125" style="18" bestFit="1" customWidth="1"/>
    <col min="15623" max="15623" width="7.88671875" style="18" bestFit="1" customWidth="1"/>
    <col min="15624" max="15624" width="11.5546875" style="18" bestFit="1"/>
    <col min="15625" max="15625" width="8" style="18" bestFit="1" customWidth="1"/>
    <col min="15626" max="15626" width="11.5546875" style="18" bestFit="1"/>
    <col min="15627" max="15627" width="8.109375" style="18" bestFit="1" customWidth="1"/>
    <col min="15628" max="15628" width="11.5546875" style="18" bestFit="1"/>
    <col min="15629" max="15629" width="8.44140625" style="18" customWidth="1"/>
    <col min="15630" max="15630" width="7.33203125" style="18" bestFit="1" customWidth="1"/>
    <col min="15631" max="15631" width="11.5546875" style="18" bestFit="1"/>
    <col min="15632" max="15632" width="8.109375" style="18" customWidth="1"/>
    <col min="15633" max="15633" width="13" style="18" bestFit="1" customWidth="1"/>
    <col min="15634" max="15872" width="11.5546875" style="18"/>
    <col min="15873" max="15873" width="8.88671875" style="18" customWidth="1"/>
    <col min="15874" max="15874" width="50" style="18" customWidth="1"/>
    <col min="15875" max="15875" width="6.33203125" style="18" bestFit="1" customWidth="1"/>
    <col min="15876" max="15876" width="8.88671875" style="18" customWidth="1"/>
    <col min="15877" max="15877" width="8.5546875" style="18" customWidth="1"/>
    <col min="15878" max="15878" width="11.33203125" style="18" bestFit="1" customWidth="1"/>
    <col min="15879" max="15879" width="7.88671875" style="18" bestFit="1" customWidth="1"/>
    <col min="15880" max="15880" width="11.5546875" style="18" bestFit="1"/>
    <col min="15881" max="15881" width="8" style="18" bestFit="1" customWidth="1"/>
    <col min="15882" max="15882" width="11.5546875" style="18" bestFit="1"/>
    <col min="15883" max="15883" width="8.109375" style="18" bestFit="1" customWidth="1"/>
    <col min="15884" max="15884" width="11.5546875" style="18" bestFit="1"/>
    <col min="15885" max="15885" width="8.44140625" style="18" customWidth="1"/>
    <col min="15886" max="15886" width="7.33203125" style="18" bestFit="1" customWidth="1"/>
    <col min="15887" max="15887" width="11.5546875" style="18" bestFit="1"/>
    <col min="15888" max="15888" width="8.109375" style="18" customWidth="1"/>
    <col min="15889" max="15889" width="13" style="18" bestFit="1" customWidth="1"/>
    <col min="15890" max="16128" width="11.5546875" style="18"/>
    <col min="16129" max="16129" width="8.88671875" style="18" customWidth="1"/>
    <col min="16130" max="16130" width="50" style="18" customWidth="1"/>
    <col min="16131" max="16131" width="6.33203125" style="18" bestFit="1" customWidth="1"/>
    <col min="16132" max="16132" width="8.88671875" style="18" customWidth="1"/>
    <col min="16133" max="16133" width="8.5546875" style="18" customWidth="1"/>
    <col min="16134" max="16134" width="11.33203125" style="18" bestFit="1" customWidth="1"/>
    <col min="16135" max="16135" width="7.88671875" style="18" bestFit="1" customWidth="1"/>
    <col min="16136" max="16136" width="11.5546875" style="18" bestFit="1"/>
    <col min="16137" max="16137" width="8" style="18" bestFit="1" customWidth="1"/>
    <col min="16138" max="16138" width="11.5546875" style="18" bestFit="1"/>
    <col min="16139" max="16139" width="8.109375" style="18" bestFit="1" customWidth="1"/>
    <col min="16140" max="16140" width="11.5546875" style="18" bestFit="1"/>
    <col min="16141" max="16141" width="8.44140625" style="18" customWidth="1"/>
    <col min="16142" max="16142" width="7.33203125" style="18" bestFit="1" customWidth="1"/>
    <col min="16143" max="16143" width="11.5546875" style="18" bestFit="1"/>
    <col min="16144" max="16144" width="8.109375" style="18" customWidth="1"/>
    <col min="16145" max="16145" width="13" style="18" bestFit="1" customWidth="1"/>
    <col min="16146" max="16384" width="11.5546875" style="18"/>
  </cols>
  <sheetData>
    <row r="1" spans="1:18" s="5" customFormat="1" ht="13.2">
      <c r="A1" s="1"/>
      <c r="B1" s="2"/>
      <c r="C1" s="174"/>
      <c r="E1" s="173" t="s">
        <v>11</v>
      </c>
      <c r="G1" s="174"/>
      <c r="H1" s="174"/>
      <c r="I1" s="507"/>
      <c r="J1" s="174"/>
      <c r="K1" s="174"/>
      <c r="L1" s="174"/>
      <c r="M1" s="174"/>
    </row>
    <row r="2" spans="1:18" s="5" customFormat="1" ht="12" customHeight="1">
      <c r="A2" s="1450" t="s">
        <v>1975</v>
      </c>
      <c r="B2" s="1450"/>
      <c r="C2" s="1450"/>
      <c r="D2" s="1450"/>
      <c r="E2" s="1450"/>
      <c r="F2" s="1450"/>
      <c r="G2" s="1450"/>
      <c r="H2" s="1450"/>
      <c r="I2" s="1450"/>
      <c r="J2" s="1450"/>
      <c r="K2" s="1450"/>
      <c r="L2" s="1450"/>
      <c r="M2" s="1450"/>
      <c r="N2" s="1450"/>
      <c r="O2" s="1450"/>
      <c r="P2" s="1450"/>
    </row>
    <row r="3" spans="1:18" s="5" customFormat="1" ht="13.5" customHeight="1" thickBot="1">
      <c r="A3" s="969"/>
      <c r="B3" s="1451" t="s">
        <v>1976</v>
      </c>
      <c r="C3" s="1451"/>
      <c r="D3" s="1451"/>
      <c r="E3" s="1451"/>
      <c r="F3" s="1451"/>
      <c r="G3" s="1451"/>
      <c r="H3" s="1451"/>
      <c r="I3" s="1451"/>
      <c r="J3" s="1451"/>
      <c r="K3" s="969"/>
      <c r="L3" s="969"/>
      <c r="M3" s="969"/>
      <c r="N3" s="969"/>
      <c r="O3" s="969"/>
      <c r="P3" s="969"/>
    </row>
    <row r="4" spans="1:18" s="169" customFormat="1" ht="32.25" customHeight="1" thickBot="1">
      <c r="A4" s="3"/>
      <c r="B4" s="605" t="s">
        <v>5</v>
      </c>
      <c r="C4" s="172" t="s">
        <v>3</v>
      </c>
      <c r="D4" s="1452" t="s">
        <v>518</v>
      </c>
      <c r="E4" s="1453"/>
      <c r="F4" s="1453"/>
      <c r="G4" s="1453"/>
      <c r="H4" s="1453"/>
      <c r="I4" s="1453"/>
      <c r="J4" s="1453"/>
      <c r="K4" s="1453"/>
      <c r="L4" s="1454"/>
      <c r="M4" s="508" t="s">
        <v>12</v>
      </c>
      <c r="N4" s="168"/>
      <c r="O4" s="1455">
        <v>42951</v>
      </c>
      <c r="P4" s="1455"/>
    </row>
    <row r="5" spans="1:18" s="5" customFormat="1" ht="12.75" customHeight="1">
      <c r="A5" s="969"/>
      <c r="B5" s="11" t="s">
        <v>4</v>
      </c>
      <c r="C5" s="629" t="s">
        <v>3</v>
      </c>
      <c r="D5" s="13" t="s">
        <v>519</v>
      </c>
      <c r="E5" s="969"/>
      <c r="F5" s="969"/>
      <c r="G5" s="969"/>
      <c r="H5" s="3"/>
      <c r="I5" s="6"/>
      <c r="J5" s="3"/>
      <c r="K5" s="3"/>
      <c r="L5" s="3"/>
      <c r="M5" s="969" t="s">
        <v>13</v>
      </c>
      <c r="O5" s="969"/>
      <c r="P5" s="303" t="s">
        <v>521</v>
      </c>
    </row>
    <row r="6" spans="1:18" s="5" customFormat="1" ht="13.2">
      <c r="A6" s="1"/>
      <c r="B6" s="11" t="s">
        <v>14</v>
      </c>
      <c r="C6" s="629" t="s">
        <v>3</v>
      </c>
      <c r="D6" s="13" t="s">
        <v>520</v>
      </c>
      <c r="E6" s="1"/>
      <c r="F6" s="1"/>
      <c r="G6" s="3"/>
      <c r="H6" s="3"/>
      <c r="I6" s="509"/>
      <c r="J6" s="3"/>
      <c r="K6" s="3"/>
      <c r="L6" s="3"/>
      <c r="M6" s="969" t="s">
        <v>15</v>
      </c>
      <c r="O6" s="1"/>
      <c r="P6" s="303" t="s">
        <v>522</v>
      </c>
    </row>
    <row r="7" spans="1:18" s="5" customFormat="1" ht="13.2">
      <c r="A7" s="1"/>
      <c r="B7" s="11" t="s">
        <v>16</v>
      </c>
      <c r="C7" s="629" t="s">
        <v>3</v>
      </c>
      <c r="D7" s="13" t="s">
        <v>10</v>
      </c>
      <c r="E7" s="1"/>
      <c r="F7" s="1"/>
      <c r="G7" s="3"/>
      <c r="H7" s="3"/>
      <c r="I7" s="509"/>
      <c r="J7" s="3"/>
      <c r="K7" s="3"/>
      <c r="L7" s="3"/>
      <c r="M7" s="969" t="s">
        <v>17</v>
      </c>
      <c r="O7" s="14"/>
      <c r="P7" s="303" t="s">
        <v>9</v>
      </c>
    </row>
    <row r="8" spans="1:18" s="5" customFormat="1" ht="13.2">
      <c r="A8" s="1"/>
      <c r="B8" s="11" t="s">
        <v>18</v>
      </c>
      <c r="C8" s="629" t="s">
        <v>3</v>
      </c>
      <c r="D8" s="15">
        <v>2017</v>
      </c>
      <c r="E8" s="1"/>
      <c r="F8" s="1"/>
      <c r="G8" s="3"/>
      <c r="H8" s="3"/>
      <c r="I8" s="509"/>
      <c r="J8" s="3"/>
      <c r="K8" s="3"/>
      <c r="L8" s="969"/>
      <c r="M8" s="3"/>
      <c r="N8" s="1"/>
      <c r="O8" s="1"/>
      <c r="P8" s="1"/>
    </row>
    <row r="9" spans="1:18" ht="10.8" thickBot="1"/>
    <row r="10" spans="1:18" s="5" customFormat="1" ht="11.25" customHeight="1" thickBot="1">
      <c r="A10" s="1438" t="s">
        <v>19</v>
      </c>
      <c r="B10" s="1438" t="s">
        <v>20</v>
      </c>
      <c r="C10" s="1442" t="s">
        <v>21</v>
      </c>
      <c r="D10" s="1458" t="s">
        <v>22</v>
      </c>
      <c r="E10" s="1459"/>
      <c r="F10" s="1460"/>
      <c r="G10" s="1444" t="s">
        <v>23</v>
      </c>
      <c r="H10" s="1445"/>
      <c r="I10" s="1445"/>
      <c r="J10" s="1445"/>
      <c r="K10" s="1445"/>
      <c r="L10" s="1445"/>
      <c r="M10" s="1446"/>
      <c r="N10" s="1458" t="s">
        <v>24</v>
      </c>
      <c r="O10" s="1459"/>
      <c r="P10" s="1460"/>
    </row>
    <row r="11" spans="1:18" s="5" customFormat="1" ht="11.25" customHeight="1" thickBot="1">
      <c r="A11" s="1456"/>
      <c r="B11" s="1456"/>
      <c r="C11" s="1457"/>
      <c r="D11" s="1461"/>
      <c r="E11" s="1462"/>
      <c r="F11" s="1463"/>
      <c r="G11" s="1444" t="s">
        <v>25</v>
      </c>
      <c r="H11" s="1446"/>
      <c r="I11" s="1444" t="s">
        <v>26</v>
      </c>
      <c r="J11" s="1446"/>
      <c r="K11" s="1444" t="s">
        <v>27</v>
      </c>
      <c r="L11" s="1445"/>
      <c r="M11" s="1446"/>
      <c r="N11" s="1461"/>
      <c r="O11" s="1462"/>
      <c r="P11" s="1463"/>
    </row>
    <row r="12" spans="1:18" s="5" customFormat="1" ht="11.25" customHeight="1">
      <c r="A12" s="1456"/>
      <c r="B12" s="1456"/>
      <c r="C12" s="1457"/>
      <c r="D12" s="1438" t="s">
        <v>28</v>
      </c>
      <c r="E12" s="1440" t="s">
        <v>29</v>
      </c>
      <c r="F12" s="1438" t="s">
        <v>30</v>
      </c>
      <c r="G12" s="1438" t="s">
        <v>2</v>
      </c>
      <c r="H12" s="1442" t="s">
        <v>31</v>
      </c>
      <c r="I12" s="1438" t="s">
        <v>2</v>
      </c>
      <c r="J12" s="1438" t="s">
        <v>31</v>
      </c>
      <c r="K12" s="1438" t="s">
        <v>2</v>
      </c>
      <c r="L12" s="1438" t="s">
        <v>31</v>
      </c>
      <c r="M12" s="1438" t="s">
        <v>0</v>
      </c>
      <c r="N12" s="1438" t="s">
        <v>2</v>
      </c>
      <c r="O12" s="1464" t="s">
        <v>31</v>
      </c>
      <c r="P12" s="1438" t="s">
        <v>0</v>
      </c>
    </row>
    <row r="13" spans="1:18" s="5" customFormat="1" ht="11.25" customHeight="1" thickBot="1">
      <c r="A13" s="1439"/>
      <c r="B13" s="1439"/>
      <c r="C13" s="1443"/>
      <c r="D13" s="1439"/>
      <c r="E13" s="1441"/>
      <c r="F13" s="1439"/>
      <c r="G13" s="1439"/>
      <c r="H13" s="1443"/>
      <c r="I13" s="1439"/>
      <c r="J13" s="1439"/>
      <c r="K13" s="1439"/>
      <c r="L13" s="1439"/>
      <c r="M13" s="1439"/>
      <c r="N13" s="1439"/>
      <c r="O13" s="1465"/>
      <c r="P13" s="1439"/>
    </row>
    <row r="14" spans="1:18" s="491" customFormat="1" ht="11.25" customHeight="1">
      <c r="A14" s="606" t="s">
        <v>32</v>
      </c>
      <c r="B14" s="606" t="s">
        <v>1118</v>
      </c>
      <c r="C14" s="630"/>
      <c r="D14" s="611"/>
      <c r="E14" s="493"/>
      <c r="F14" s="494"/>
      <c r="G14" s="755"/>
      <c r="H14" s="631"/>
      <c r="I14" s="488"/>
      <c r="J14" s="511"/>
      <c r="K14" s="310"/>
      <c r="L14" s="512"/>
      <c r="M14" s="311"/>
      <c r="N14" s="310"/>
      <c r="O14" s="493"/>
      <c r="P14" s="311"/>
      <c r="Q14" s="489"/>
    </row>
    <row r="15" spans="1:18" s="16" customFormat="1" ht="11.25" customHeight="1">
      <c r="A15" s="492" t="s">
        <v>34</v>
      </c>
      <c r="B15" s="608" t="s">
        <v>1119</v>
      </c>
      <c r="C15" s="968"/>
      <c r="D15" s="612"/>
      <c r="E15" s="492"/>
      <c r="F15" s="492"/>
      <c r="G15" s="756"/>
      <c r="H15" s="320"/>
      <c r="I15" s="492"/>
      <c r="J15" s="492"/>
      <c r="K15" s="492"/>
      <c r="L15" s="492"/>
      <c r="M15" s="492" t="str">
        <f>+IF(C15=0,"",L15/F15)</f>
        <v/>
      </c>
      <c r="N15" s="492"/>
      <c r="O15" s="492"/>
      <c r="P15" s="492"/>
      <c r="Q15" s="199"/>
      <c r="R15" s="16">
        <v>0.5</v>
      </c>
    </row>
    <row r="16" spans="1:18" s="490" customFormat="1" ht="10.95" customHeight="1">
      <c r="A16" s="604" t="s">
        <v>524</v>
      </c>
      <c r="B16" s="604" t="s">
        <v>1121</v>
      </c>
      <c r="C16" s="530" t="s">
        <v>63</v>
      </c>
      <c r="D16" s="613" t="s">
        <v>1441</v>
      </c>
      <c r="E16" s="599" t="s">
        <v>1758</v>
      </c>
      <c r="F16" s="315">
        <f t="shared" ref="F16:F25" si="0">+ROUND(D16*E16,2)</f>
        <v>2518.1799999999998</v>
      </c>
      <c r="G16" s="513">
        <v>0</v>
      </c>
      <c r="H16" s="603">
        <f t="shared" ref="H16:H26" si="1">G16*E16</f>
        <v>0</v>
      </c>
      <c r="I16" s="633" t="e">
        <f>#REF!</f>
        <v>#REF!</v>
      </c>
      <c r="J16" s="514" t="e">
        <f t="shared" ref="J16:J18" si="2">I16*E16</f>
        <v>#REF!</v>
      </c>
      <c r="K16" s="513" t="e">
        <f t="shared" ref="K16:K26" si="3">G16+I16</f>
        <v>#REF!</v>
      </c>
      <c r="L16" s="515" t="e">
        <f t="shared" ref="L16:L26" si="4">K16*E16</f>
        <v>#REF!</v>
      </c>
      <c r="M16" s="516" t="e">
        <f t="shared" ref="M16:M26" si="5">+IF(C16=0,"",L16/F16)</f>
        <v>#REF!</v>
      </c>
      <c r="N16" s="317" t="e">
        <f t="shared" ref="N16:N26" si="6">D16-K16</f>
        <v>#REF!</v>
      </c>
      <c r="O16" s="318" t="e">
        <f t="shared" ref="O16:O26" si="7">ROUND((N16*E16),2)</f>
        <v>#REF!</v>
      </c>
      <c r="P16" s="316" t="e">
        <f t="shared" ref="P16:P26" si="8">+IF(F16=0,"",O16/F16)</f>
        <v>#REF!</v>
      </c>
      <c r="Q16" s="489"/>
    </row>
    <row r="17" spans="1:19" s="491" customFormat="1" ht="11.25" customHeight="1">
      <c r="A17" s="604" t="s">
        <v>525</v>
      </c>
      <c r="B17" s="604" t="s">
        <v>1809</v>
      </c>
      <c r="C17" s="614" t="s">
        <v>63</v>
      </c>
      <c r="D17" s="613" t="s">
        <v>1441</v>
      </c>
      <c r="E17" s="599" t="s">
        <v>1759</v>
      </c>
      <c r="F17" s="315">
        <f t="shared" si="0"/>
        <v>566.4</v>
      </c>
      <c r="G17" s="757">
        <v>0</v>
      </c>
      <c r="H17" s="603">
        <f t="shared" si="1"/>
        <v>0</v>
      </c>
      <c r="I17" s="633" t="e">
        <f>#REF!</f>
        <v>#REF!</v>
      </c>
      <c r="J17" s="514" t="e">
        <f t="shared" si="2"/>
        <v>#REF!</v>
      </c>
      <c r="K17" s="513" t="e">
        <f t="shared" si="3"/>
        <v>#REF!</v>
      </c>
      <c r="L17" s="515" t="e">
        <f t="shared" si="4"/>
        <v>#REF!</v>
      </c>
      <c r="M17" s="516" t="e">
        <f t="shared" si="5"/>
        <v>#REF!</v>
      </c>
      <c r="N17" s="317" t="e">
        <f t="shared" si="6"/>
        <v>#REF!</v>
      </c>
      <c r="O17" s="318" t="e">
        <f t="shared" si="7"/>
        <v>#REF!</v>
      </c>
      <c r="P17" s="316" t="e">
        <f t="shared" si="8"/>
        <v>#REF!</v>
      </c>
      <c r="Q17" s="489"/>
    </row>
    <row r="18" spans="1:19" ht="11.25" customHeight="1">
      <c r="A18" s="604" t="s">
        <v>526</v>
      </c>
      <c r="B18" s="610" t="s">
        <v>1123</v>
      </c>
      <c r="C18" s="530" t="s">
        <v>63</v>
      </c>
      <c r="D18" s="613" t="s">
        <v>1441</v>
      </c>
      <c r="E18" s="599" t="s">
        <v>1760</v>
      </c>
      <c r="F18" s="315">
        <f t="shared" si="0"/>
        <v>1180</v>
      </c>
      <c r="G18" s="513">
        <v>0</v>
      </c>
      <c r="H18" s="603">
        <f t="shared" si="1"/>
        <v>0</v>
      </c>
      <c r="I18" s="633" t="e">
        <f>#REF!</f>
        <v>#REF!</v>
      </c>
      <c r="J18" s="514" t="e">
        <f t="shared" si="2"/>
        <v>#REF!</v>
      </c>
      <c r="K18" s="513" t="e">
        <f t="shared" si="3"/>
        <v>#REF!</v>
      </c>
      <c r="L18" s="515" t="e">
        <f t="shared" si="4"/>
        <v>#REF!</v>
      </c>
      <c r="M18" s="516" t="e">
        <f t="shared" si="5"/>
        <v>#REF!</v>
      </c>
      <c r="N18" s="317" t="e">
        <f t="shared" si="6"/>
        <v>#REF!</v>
      </c>
      <c r="O18" s="318" t="e">
        <f t="shared" si="7"/>
        <v>#REF!</v>
      </c>
      <c r="P18" s="316" t="e">
        <f t="shared" si="8"/>
        <v>#REF!</v>
      </c>
      <c r="Q18" s="199"/>
      <c r="R18" s="18">
        <v>26.52</v>
      </c>
    </row>
    <row r="19" spans="1:19" s="555" customFormat="1" ht="11.25" customHeight="1">
      <c r="A19" s="492" t="s">
        <v>537</v>
      </c>
      <c r="B19" s="608" t="s">
        <v>1133</v>
      </c>
      <c r="C19" s="679"/>
      <c r="D19" s="680"/>
      <c r="E19" s="681"/>
      <c r="F19" s="682">
        <f t="shared" si="0"/>
        <v>0</v>
      </c>
      <c r="G19" s="683">
        <v>0</v>
      </c>
      <c r="H19" s="684">
        <f t="shared" si="1"/>
        <v>0</v>
      </c>
      <c r="I19" s="633"/>
      <c r="J19" s="684"/>
      <c r="K19" s="683">
        <f t="shared" si="3"/>
        <v>0</v>
      </c>
      <c r="L19" s="685">
        <f t="shared" si="4"/>
        <v>0</v>
      </c>
      <c r="M19" s="686" t="str">
        <f t="shared" si="5"/>
        <v/>
      </c>
      <c r="N19" s="687">
        <f t="shared" si="6"/>
        <v>0</v>
      </c>
      <c r="O19" s="688">
        <f t="shared" si="7"/>
        <v>0</v>
      </c>
      <c r="P19" s="689" t="str">
        <f t="shared" si="8"/>
        <v/>
      </c>
      <c r="Q19" s="199"/>
      <c r="R19" s="555">
        <v>216.27539999999999</v>
      </c>
    </row>
    <row r="20" spans="1:19" s="555" customFormat="1" ht="11.25" customHeight="1">
      <c r="A20" s="604" t="s">
        <v>538</v>
      </c>
      <c r="B20" s="610" t="s">
        <v>1134</v>
      </c>
      <c r="C20" s="530" t="s">
        <v>63</v>
      </c>
      <c r="D20" s="613" t="s">
        <v>1441</v>
      </c>
      <c r="E20" s="599" t="s">
        <v>1761</v>
      </c>
      <c r="F20" s="315">
        <f t="shared" si="0"/>
        <v>3245</v>
      </c>
      <c r="G20" s="513">
        <v>0</v>
      </c>
      <c r="H20" s="603">
        <f t="shared" si="1"/>
        <v>0</v>
      </c>
      <c r="I20" s="633" t="e">
        <f>#REF!</f>
        <v>#REF!</v>
      </c>
      <c r="J20" s="514" t="e">
        <f>I20*E20</f>
        <v>#REF!</v>
      </c>
      <c r="K20" s="513" t="e">
        <f t="shared" si="3"/>
        <v>#REF!</v>
      </c>
      <c r="L20" s="515" t="e">
        <f t="shared" si="4"/>
        <v>#REF!</v>
      </c>
      <c r="M20" s="516" t="e">
        <f t="shared" si="5"/>
        <v>#REF!</v>
      </c>
      <c r="N20" s="317" t="e">
        <f t="shared" si="6"/>
        <v>#REF!</v>
      </c>
      <c r="O20" s="318" t="e">
        <f t="shared" si="7"/>
        <v>#REF!</v>
      </c>
      <c r="P20" s="316" t="e">
        <f t="shared" si="8"/>
        <v>#REF!</v>
      </c>
      <c r="Q20" s="199"/>
      <c r="R20" s="555">
        <v>117.32400000000001</v>
      </c>
      <c r="S20" s="555">
        <v>-75.556999999999988</v>
      </c>
    </row>
    <row r="21" spans="1:19" s="555" customFormat="1" ht="11.25" customHeight="1">
      <c r="A21" s="604" t="s">
        <v>539</v>
      </c>
      <c r="B21" s="610" t="s">
        <v>1135</v>
      </c>
      <c r="C21" s="530" t="s">
        <v>35</v>
      </c>
      <c r="D21" s="613" t="s">
        <v>1445</v>
      </c>
      <c r="E21" s="599" t="s">
        <v>1762</v>
      </c>
      <c r="F21" s="315">
        <f t="shared" si="0"/>
        <v>11221.8</v>
      </c>
      <c r="G21" s="513">
        <v>15</v>
      </c>
      <c r="H21" s="603">
        <f t="shared" si="1"/>
        <v>5610.9</v>
      </c>
      <c r="I21" s="633" t="e">
        <f>#REF!</f>
        <v>#REF!</v>
      </c>
      <c r="J21" s="514" t="e">
        <f t="shared" ref="J21:J25" si="9">I21*E21</f>
        <v>#REF!</v>
      </c>
      <c r="K21" s="513" t="e">
        <f t="shared" si="3"/>
        <v>#REF!</v>
      </c>
      <c r="L21" s="515" t="e">
        <f t="shared" si="4"/>
        <v>#REF!</v>
      </c>
      <c r="M21" s="516" t="e">
        <f t="shared" si="5"/>
        <v>#REF!</v>
      </c>
      <c r="N21" s="317" t="e">
        <f t="shared" si="6"/>
        <v>#REF!</v>
      </c>
      <c r="O21" s="318" t="e">
        <f t="shared" si="7"/>
        <v>#REF!</v>
      </c>
      <c r="P21" s="316" t="e">
        <f t="shared" si="8"/>
        <v>#REF!</v>
      </c>
      <c r="Q21" s="199"/>
      <c r="R21" s="555">
        <v>107.35898399999999</v>
      </c>
      <c r="S21" s="555">
        <v>-25.590000000000018</v>
      </c>
    </row>
    <row r="22" spans="1:19" ht="11.25" customHeight="1">
      <c r="A22" s="604" t="s">
        <v>540</v>
      </c>
      <c r="B22" s="610" t="s">
        <v>1136</v>
      </c>
      <c r="C22" s="530" t="s">
        <v>63</v>
      </c>
      <c r="D22" s="613" t="s">
        <v>1441</v>
      </c>
      <c r="E22" s="599" t="s">
        <v>1763</v>
      </c>
      <c r="F22" s="315">
        <f t="shared" si="0"/>
        <v>2380</v>
      </c>
      <c r="G22" s="513">
        <v>0.5</v>
      </c>
      <c r="H22" s="603">
        <f t="shared" si="1"/>
        <v>1190</v>
      </c>
      <c r="I22" s="633" t="e">
        <f>#REF!</f>
        <v>#REF!</v>
      </c>
      <c r="J22" s="514" t="e">
        <f t="shared" si="9"/>
        <v>#REF!</v>
      </c>
      <c r="K22" s="513" t="e">
        <f t="shared" si="3"/>
        <v>#REF!</v>
      </c>
      <c r="L22" s="515" t="e">
        <f t="shared" si="4"/>
        <v>#REF!</v>
      </c>
      <c r="M22" s="516" t="e">
        <f t="shared" si="5"/>
        <v>#REF!</v>
      </c>
      <c r="N22" s="317" t="e">
        <f t="shared" si="6"/>
        <v>#REF!</v>
      </c>
      <c r="O22" s="318" t="e">
        <f t="shared" si="7"/>
        <v>#REF!</v>
      </c>
      <c r="P22" s="316" t="e">
        <f t="shared" si="8"/>
        <v>#REF!</v>
      </c>
      <c r="Q22" s="199"/>
      <c r="R22" s="18">
        <v>3468.0816000000004</v>
      </c>
      <c r="S22" s="18">
        <v>-665.18000000000029</v>
      </c>
    </row>
    <row r="23" spans="1:19" s="555" customFormat="1" ht="11.25" customHeight="1">
      <c r="A23" s="604" t="s">
        <v>541</v>
      </c>
      <c r="B23" s="610" t="s">
        <v>1137</v>
      </c>
      <c r="C23" s="530" t="s">
        <v>63</v>
      </c>
      <c r="D23" s="613" t="s">
        <v>1441</v>
      </c>
      <c r="E23" s="599" t="s">
        <v>1764</v>
      </c>
      <c r="F23" s="315">
        <f t="shared" si="0"/>
        <v>1104</v>
      </c>
      <c r="G23" s="513">
        <v>0.5</v>
      </c>
      <c r="H23" s="603">
        <f t="shared" si="1"/>
        <v>552</v>
      </c>
      <c r="I23" s="633" t="e">
        <f>#REF!</f>
        <v>#REF!</v>
      </c>
      <c r="J23" s="514" t="e">
        <f t="shared" si="9"/>
        <v>#REF!</v>
      </c>
      <c r="K23" s="513" t="e">
        <f t="shared" si="3"/>
        <v>#REF!</v>
      </c>
      <c r="L23" s="515" t="e">
        <f t="shared" si="4"/>
        <v>#REF!</v>
      </c>
      <c r="M23" s="516" t="e">
        <f t="shared" si="5"/>
        <v>#REF!</v>
      </c>
      <c r="N23" s="317" t="e">
        <f t="shared" si="6"/>
        <v>#REF!</v>
      </c>
      <c r="O23" s="318" t="e">
        <f t="shared" si="7"/>
        <v>#REF!</v>
      </c>
      <c r="P23" s="316" t="e">
        <f t="shared" si="8"/>
        <v>#REF!</v>
      </c>
      <c r="Q23" s="199"/>
      <c r="R23" s="556">
        <v>72</v>
      </c>
      <c r="S23" s="555">
        <v>-110.48240000000001</v>
      </c>
    </row>
    <row r="24" spans="1:19" s="555" customFormat="1" ht="11.25" customHeight="1">
      <c r="A24" s="604" t="s">
        <v>542</v>
      </c>
      <c r="B24" s="610" t="s">
        <v>1138</v>
      </c>
      <c r="C24" s="530" t="s">
        <v>63</v>
      </c>
      <c r="D24" s="613" t="s">
        <v>1441</v>
      </c>
      <c r="E24" s="599" t="s">
        <v>1765</v>
      </c>
      <c r="F24" s="315">
        <f t="shared" si="0"/>
        <v>3950</v>
      </c>
      <c r="G24" s="513">
        <v>0</v>
      </c>
      <c r="H24" s="603">
        <f t="shared" si="1"/>
        <v>0</v>
      </c>
      <c r="I24" s="633" t="e">
        <f>#REF!</f>
        <v>#REF!</v>
      </c>
      <c r="J24" s="514" t="e">
        <f t="shared" si="9"/>
        <v>#REF!</v>
      </c>
      <c r="K24" s="513" t="e">
        <f t="shared" si="3"/>
        <v>#REF!</v>
      </c>
      <c r="L24" s="515" t="e">
        <f t="shared" si="4"/>
        <v>#REF!</v>
      </c>
      <c r="M24" s="516" t="e">
        <f t="shared" si="5"/>
        <v>#REF!</v>
      </c>
      <c r="N24" s="317" t="e">
        <f t="shared" si="6"/>
        <v>#REF!</v>
      </c>
      <c r="O24" s="318" t="e">
        <f t="shared" si="7"/>
        <v>#REF!</v>
      </c>
      <c r="P24" s="316" t="e">
        <f t="shared" si="8"/>
        <v>#REF!</v>
      </c>
      <c r="Q24" s="199"/>
      <c r="R24" s="555">
        <v>20.159999999999997</v>
      </c>
      <c r="S24" s="555">
        <v>-5.2679999999999971</v>
      </c>
    </row>
    <row r="25" spans="1:19" ht="11.25" customHeight="1" thickBot="1">
      <c r="A25" s="604" t="s">
        <v>543</v>
      </c>
      <c r="B25" s="610" t="s">
        <v>1139</v>
      </c>
      <c r="C25" s="530" t="s">
        <v>63</v>
      </c>
      <c r="D25" s="613" t="s">
        <v>1441</v>
      </c>
      <c r="E25" s="599" t="s">
        <v>1766</v>
      </c>
      <c r="F25" s="315">
        <f t="shared" si="0"/>
        <v>4966.95</v>
      </c>
      <c r="G25" s="513">
        <v>0</v>
      </c>
      <c r="H25" s="603">
        <f t="shared" si="1"/>
        <v>0</v>
      </c>
      <c r="I25" s="633" t="e">
        <f>#REF!</f>
        <v>#REF!</v>
      </c>
      <c r="J25" s="514" t="e">
        <f t="shared" si="9"/>
        <v>#REF!</v>
      </c>
      <c r="K25" s="513" t="e">
        <f t="shared" si="3"/>
        <v>#REF!</v>
      </c>
      <c r="L25" s="515" t="e">
        <f t="shared" si="4"/>
        <v>#REF!</v>
      </c>
      <c r="M25" s="516" t="e">
        <f t="shared" si="5"/>
        <v>#REF!</v>
      </c>
      <c r="N25" s="317" t="e">
        <f t="shared" si="6"/>
        <v>#REF!</v>
      </c>
      <c r="O25" s="318" t="e">
        <f t="shared" si="7"/>
        <v>#REF!</v>
      </c>
      <c r="P25" s="316" t="e">
        <f t="shared" si="8"/>
        <v>#REF!</v>
      </c>
      <c r="Q25" s="199"/>
      <c r="R25" s="18">
        <v>18.619199999999999</v>
      </c>
      <c r="S25" s="18">
        <v>-1.1647999999999996</v>
      </c>
    </row>
    <row r="26" spans="1:19" s="555" customFormat="1" ht="11.25" customHeight="1">
      <c r="A26" s="606" t="s">
        <v>41</v>
      </c>
      <c r="B26" s="606" t="s">
        <v>1140</v>
      </c>
      <c r="C26" s="679"/>
      <c r="D26" s="680"/>
      <c r="E26" s="681"/>
      <c r="F26" s="682"/>
      <c r="G26" s="683">
        <v>0</v>
      </c>
      <c r="H26" s="684">
        <f t="shared" si="1"/>
        <v>0</v>
      </c>
      <c r="I26" s="633"/>
      <c r="J26" s="603"/>
      <c r="K26" s="683">
        <f t="shared" si="3"/>
        <v>0</v>
      </c>
      <c r="L26" s="685">
        <f t="shared" si="4"/>
        <v>0</v>
      </c>
      <c r="M26" s="686" t="str">
        <f t="shared" si="5"/>
        <v/>
      </c>
      <c r="N26" s="687">
        <f t="shared" si="6"/>
        <v>0</v>
      </c>
      <c r="O26" s="688">
        <f t="shared" si="7"/>
        <v>0</v>
      </c>
      <c r="P26" s="689" t="str">
        <f t="shared" si="8"/>
        <v/>
      </c>
      <c r="Q26" s="199"/>
      <c r="R26" s="555">
        <v>30.169799999999999</v>
      </c>
    </row>
    <row r="27" spans="1:19" ht="11.25" customHeight="1">
      <c r="A27" s="492" t="s">
        <v>43</v>
      </c>
      <c r="B27" s="608" t="s">
        <v>1188</v>
      </c>
      <c r="C27" s="679"/>
      <c r="D27" s="680"/>
      <c r="E27" s="681"/>
      <c r="F27" s="682">
        <f t="shared" ref="F27:F43" si="10">+ROUND(D27*E27,2)</f>
        <v>0</v>
      </c>
      <c r="G27" s="683">
        <v>0</v>
      </c>
      <c r="H27" s="684">
        <f t="shared" ref="H27:H43" si="11">G27*E27</f>
        <v>0</v>
      </c>
      <c r="I27" s="633"/>
      <c r="J27" s="684"/>
      <c r="K27" s="683">
        <f t="shared" ref="K27:K43" si="12">G27+I27</f>
        <v>0</v>
      </c>
      <c r="L27" s="685">
        <f t="shared" ref="L27:L43" si="13">K27*E27</f>
        <v>0</v>
      </c>
      <c r="M27" s="686" t="str">
        <f t="shared" ref="M27:M43" si="14">+IF(C27=0,"",L27/F27)</f>
        <v/>
      </c>
      <c r="N27" s="687">
        <f t="shared" ref="N27:N43" si="15">D27-K27</f>
        <v>0</v>
      </c>
      <c r="O27" s="688">
        <f t="shared" ref="O27:O43" si="16">ROUND((N27*E27),2)</f>
        <v>0</v>
      </c>
      <c r="P27" s="689" t="str">
        <f t="shared" ref="P27:P43" si="17">+IF(F27=0,"",O27/F27)</f>
        <v/>
      </c>
      <c r="Q27" s="199"/>
      <c r="R27" s="18">
        <v>0</v>
      </c>
    </row>
    <row r="28" spans="1:19" ht="11.25" customHeight="1">
      <c r="A28" s="607" t="s">
        <v>53</v>
      </c>
      <c r="B28" s="607" t="s">
        <v>45</v>
      </c>
      <c r="C28" s="679"/>
      <c r="D28" s="680"/>
      <c r="E28" s="681"/>
      <c r="F28" s="682">
        <f t="shared" si="10"/>
        <v>0</v>
      </c>
      <c r="G28" s="683">
        <v>0</v>
      </c>
      <c r="H28" s="684">
        <f t="shared" si="11"/>
        <v>0</v>
      </c>
      <c r="I28" s="633"/>
      <c r="J28" s="684"/>
      <c r="K28" s="683">
        <f t="shared" si="12"/>
        <v>0</v>
      </c>
      <c r="L28" s="685">
        <f t="shared" si="13"/>
        <v>0</v>
      </c>
      <c r="M28" s="686" t="str">
        <f t="shared" si="14"/>
        <v/>
      </c>
      <c r="N28" s="687">
        <f t="shared" si="15"/>
        <v>0</v>
      </c>
      <c r="O28" s="688">
        <f t="shared" si="16"/>
        <v>0</v>
      </c>
      <c r="P28" s="689" t="str">
        <f t="shared" si="17"/>
        <v/>
      </c>
      <c r="Q28" s="199"/>
      <c r="R28" s="18">
        <v>0</v>
      </c>
    </row>
    <row r="29" spans="1:19" s="490" customFormat="1" ht="11.25" customHeight="1">
      <c r="A29" s="607" t="s">
        <v>602</v>
      </c>
      <c r="B29" s="607" t="s">
        <v>1155</v>
      </c>
      <c r="C29" s="679"/>
      <c r="D29" s="680"/>
      <c r="E29" s="681"/>
      <c r="F29" s="682">
        <f t="shared" si="10"/>
        <v>0</v>
      </c>
      <c r="G29" s="683">
        <v>0</v>
      </c>
      <c r="H29" s="684">
        <f t="shared" si="11"/>
        <v>0</v>
      </c>
      <c r="I29" s="633"/>
      <c r="J29" s="684"/>
      <c r="K29" s="683">
        <f t="shared" si="12"/>
        <v>0</v>
      </c>
      <c r="L29" s="685">
        <f t="shared" si="13"/>
        <v>0</v>
      </c>
      <c r="M29" s="686" t="str">
        <f t="shared" si="14"/>
        <v/>
      </c>
      <c r="N29" s="687">
        <f t="shared" si="15"/>
        <v>0</v>
      </c>
      <c r="O29" s="688">
        <f t="shared" si="16"/>
        <v>0</v>
      </c>
      <c r="P29" s="689" t="str">
        <f t="shared" si="17"/>
        <v/>
      </c>
      <c r="Q29" s="489"/>
      <c r="R29" s="490" t="s">
        <v>82</v>
      </c>
    </row>
    <row r="30" spans="1:19" s="490" customFormat="1" ht="11.25" customHeight="1">
      <c r="A30" s="604" t="s">
        <v>606</v>
      </c>
      <c r="B30" s="604" t="s">
        <v>1159</v>
      </c>
      <c r="C30" s="679"/>
      <c r="D30" s="680"/>
      <c r="E30" s="681"/>
      <c r="F30" s="682">
        <f t="shared" si="10"/>
        <v>0</v>
      </c>
      <c r="G30" s="683">
        <v>0</v>
      </c>
      <c r="H30" s="684">
        <f t="shared" si="11"/>
        <v>0</v>
      </c>
      <c r="I30" s="633"/>
      <c r="J30" s="684"/>
      <c r="K30" s="683">
        <f t="shared" si="12"/>
        <v>0</v>
      </c>
      <c r="L30" s="685">
        <f t="shared" si="13"/>
        <v>0</v>
      </c>
      <c r="M30" s="686" t="str">
        <f t="shared" si="14"/>
        <v/>
      </c>
      <c r="N30" s="687">
        <f t="shared" si="15"/>
        <v>0</v>
      </c>
      <c r="O30" s="688">
        <f t="shared" si="16"/>
        <v>0</v>
      </c>
      <c r="P30" s="689" t="str">
        <f t="shared" si="17"/>
        <v/>
      </c>
      <c r="Q30" s="489"/>
      <c r="R30" s="490" t="s">
        <v>82</v>
      </c>
    </row>
    <row r="31" spans="1:19" ht="11.25" customHeight="1">
      <c r="A31" s="604" t="s">
        <v>607</v>
      </c>
      <c r="B31" s="604" t="s">
        <v>1193</v>
      </c>
      <c r="C31" s="530" t="s">
        <v>39</v>
      </c>
      <c r="D31" s="613" t="s">
        <v>1491</v>
      </c>
      <c r="E31" s="599" t="s">
        <v>1771</v>
      </c>
      <c r="F31" s="315">
        <f t="shared" si="10"/>
        <v>1736.9</v>
      </c>
      <c r="G31" s="513">
        <v>0</v>
      </c>
      <c r="H31" s="603">
        <f t="shared" si="11"/>
        <v>0</v>
      </c>
      <c r="I31" s="633" t="e">
        <f>#REF!</f>
        <v>#REF!</v>
      </c>
      <c r="J31" s="514" t="e">
        <f t="shared" ref="J31:J35" si="18">I31*E31</f>
        <v>#REF!</v>
      </c>
      <c r="K31" s="513" t="e">
        <f t="shared" si="12"/>
        <v>#REF!</v>
      </c>
      <c r="L31" s="515" t="e">
        <f t="shared" si="13"/>
        <v>#REF!</v>
      </c>
      <c r="M31" s="516" t="e">
        <f t="shared" si="14"/>
        <v>#REF!</v>
      </c>
      <c r="N31" s="317" t="e">
        <f t="shared" si="15"/>
        <v>#REF!</v>
      </c>
      <c r="O31" s="318" t="e">
        <f t="shared" si="16"/>
        <v>#REF!</v>
      </c>
      <c r="P31" s="316" t="e">
        <f t="shared" si="17"/>
        <v>#REF!</v>
      </c>
      <c r="Q31" s="199"/>
      <c r="R31" s="18">
        <v>0</v>
      </c>
    </row>
    <row r="32" spans="1:19" s="16" customFormat="1" ht="11.25" customHeight="1">
      <c r="A32" s="604" t="s">
        <v>608</v>
      </c>
      <c r="B32" s="604" t="s">
        <v>1161</v>
      </c>
      <c r="C32" s="614" t="s">
        <v>36</v>
      </c>
      <c r="D32" s="613" t="s">
        <v>1492</v>
      </c>
      <c r="E32" s="599" t="s">
        <v>1773</v>
      </c>
      <c r="F32" s="315">
        <f t="shared" si="10"/>
        <v>1674.14</v>
      </c>
      <c r="G32" s="513">
        <v>0</v>
      </c>
      <c r="H32" s="603">
        <f t="shared" si="11"/>
        <v>0</v>
      </c>
      <c r="I32" s="633" t="e">
        <f>#REF!</f>
        <v>#REF!</v>
      </c>
      <c r="J32" s="514" t="e">
        <f t="shared" si="18"/>
        <v>#REF!</v>
      </c>
      <c r="K32" s="513" t="e">
        <f t="shared" si="12"/>
        <v>#REF!</v>
      </c>
      <c r="L32" s="515" t="e">
        <f t="shared" si="13"/>
        <v>#REF!</v>
      </c>
      <c r="M32" s="516" t="e">
        <f t="shared" si="14"/>
        <v>#REF!</v>
      </c>
      <c r="N32" s="317" t="e">
        <f t="shared" si="15"/>
        <v>#REF!</v>
      </c>
      <c r="O32" s="318" t="e">
        <f t="shared" si="16"/>
        <v>#REF!</v>
      </c>
      <c r="P32" s="316" t="e">
        <f t="shared" si="17"/>
        <v>#REF!</v>
      </c>
      <c r="Q32" s="199"/>
      <c r="R32" s="16">
        <v>0</v>
      </c>
    </row>
    <row r="33" spans="1:18" ht="11.25" customHeight="1">
      <c r="A33" s="604" t="s">
        <v>610</v>
      </c>
      <c r="B33" s="604" t="s">
        <v>1163</v>
      </c>
      <c r="C33" s="679"/>
      <c r="D33" s="680"/>
      <c r="E33" s="681"/>
      <c r="F33" s="682">
        <f t="shared" si="10"/>
        <v>0</v>
      </c>
      <c r="G33" s="683">
        <v>0</v>
      </c>
      <c r="H33" s="684">
        <f t="shared" si="11"/>
        <v>0</v>
      </c>
      <c r="I33" s="633"/>
      <c r="J33" s="684"/>
      <c r="K33" s="683">
        <f t="shared" si="12"/>
        <v>0</v>
      </c>
      <c r="L33" s="685">
        <f t="shared" si="13"/>
        <v>0</v>
      </c>
      <c r="M33" s="686" t="str">
        <f t="shared" si="14"/>
        <v/>
      </c>
      <c r="N33" s="687">
        <f t="shared" si="15"/>
        <v>0</v>
      </c>
      <c r="O33" s="688">
        <f t="shared" si="16"/>
        <v>0</v>
      </c>
      <c r="P33" s="689" t="str">
        <f t="shared" si="17"/>
        <v/>
      </c>
      <c r="Q33" s="199"/>
      <c r="R33" s="18">
        <v>0</v>
      </c>
    </row>
    <row r="34" spans="1:18" s="490" customFormat="1" ht="11.25" customHeight="1">
      <c r="A34" s="604" t="s">
        <v>611</v>
      </c>
      <c r="B34" s="604" t="s">
        <v>1194</v>
      </c>
      <c r="C34" s="530" t="s">
        <v>39</v>
      </c>
      <c r="D34" s="613" t="s">
        <v>1494</v>
      </c>
      <c r="E34" s="599" t="s">
        <v>1774</v>
      </c>
      <c r="F34" s="315">
        <f t="shared" si="10"/>
        <v>3376.8</v>
      </c>
      <c r="G34" s="513">
        <v>0</v>
      </c>
      <c r="H34" s="603">
        <f t="shared" si="11"/>
        <v>0</v>
      </c>
      <c r="I34" s="633" t="e">
        <f>#REF!</f>
        <v>#REF!</v>
      </c>
      <c r="J34" s="514" t="e">
        <f t="shared" si="18"/>
        <v>#REF!</v>
      </c>
      <c r="K34" s="513" t="e">
        <f t="shared" si="12"/>
        <v>#REF!</v>
      </c>
      <c r="L34" s="515" t="e">
        <f t="shared" si="13"/>
        <v>#REF!</v>
      </c>
      <c r="M34" s="516" t="e">
        <f t="shared" si="14"/>
        <v>#REF!</v>
      </c>
      <c r="N34" s="317" t="e">
        <f t="shared" si="15"/>
        <v>#REF!</v>
      </c>
      <c r="O34" s="318" t="e">
        <f t="shared" si="16"/>
        <v>#REF!</v>
      </c>
      <c r="P34" s="316" t="e">
        <f t="shared" si="17"/>
        <v>#REF!</v>
      </c>
      <c r="Q34" s="489"/>
      <c r="R34" s="490" t="s">
        <v>82</v>
      </c>
    </row>
    <row r="35" spans="1:18" ht="11.25" customHeight="1">
      <c r="A35" s="604" t="s">
        <v>612</v>
      </c>
      <c r="B35" s="604" t="s">
        <v>1165</v>
      </c>
      <c r="C35" s="530" t="s">
        <v>36</v>
      </c>
      <c r="D35" s="613" t="s">
        <v>1495</v>
      </c>
      <c r="E35" s="599" t="s">
        <v>1775</v>
      </c>
      <c r="F35" s="315">
        <f t="shared" si="10"/>
        <v>4244.54</v>
      </c>
      <c r="G35" s="513">
        <v>0</v>
      </c>
      <c r="H35" s="603">
        <f t="shared" si="11"/>
        <v>0</v>
      </c>
      <c r="I35" s="633" t="e">
        <f>#REF!</f>
        <v>#REF!</v>
      </c>
      <c r="J35" s="514" t="e">
        <f t="shared" si="18"/>
        <v>#REF!</v>
      </c>
      <c r="K35" s="513" t="e">
        <f t="shared" si="12"/>
        <v>#REF!</v>
      </c>
      <c r="L35" s="515" t="e">
        <f t="shared" si="13"/>
        <v>#REF!</v>
      </c>
      <c r="M35" s="516" t="e">
        <f t="shared" si="14"/>
        <v>#REF!</v>
      </c>
      <c r="N35" s="317" t="e">
        <f t="shared" si="15"/>
        <v>#REF!</v>
      </c>
      <c r="O35" s="318" t="e">
        <f t="shared" si="16"/>
        <v>#REF!</v>
      </c>
      <c r="P35" s="316" t="e">
        <f t="shared" si="17"/>
        <v>#REF!</v>
      </c>
      <c r="Q35" s="199"/>
      <c r="R35" s="18">
        <v>2</v>
      </c>
    </row>
    <row r="36" spans="1:18" ht="11.25" customHeight="1">
      <c r="A36" s="604" t="s">
        <v>618</v>
      </c>
      <c r="B36" s="604" t="s">
        <v>1171</v>
      </c>
      <c r="C36" s="679"/>
      <c r="D36" s="680"/>
      <c r="E36" s="681"/>
      <c r="F36" s="682">
        <f t="shared" si="10"/>
        <v>0</v>
      </c>
      <c r="G36" s="683">
        <v>0</v>
      </c>
      <c r="H36" s="684">
        <f t="shared" si="11"/>
        <v>0</v>
      </c>
      <c r="I36" s="633"/>
      <c r="J36" s="684"/>
      <c r="K36" s="683">
        <f t="shared" si="12"/>
        <v>0</v>
      </c>
      <c r="L36" s="685">
        <f t="shared" si="13"/>
        <v>0</v>
      </c>
      <c r="M36" s="686" t="str">
        <f t="shared" si="14"/>
        <v/>
      </c>
      <c r="N36" s="687">
        <f t="shared" si="15"/>
        <v>0</v>
      </c>
      <c r="O36" s="688">
        <f t="shared" si="16"/>
        <v>0</v>
      </c>
      <c r="P36" s="689" t="str">
        <f t="shared" si="17"/>
        <v/>
      </c>
      <c r="Q36" s="199"/>
      <c r="R36" s="18">
        <v>0</v>
      </c>
    </row>
    <row r="37" spans="1:18" ht="11.25" customHeight="1">
      <c r="A37" s="604" t="s">
        <v>620</v>
      </c>
      <c r="B37" s="604" t="s">
        <v>1173</v>
      </c>
      <c r="C37" s="530" t="s">
        <v>36</v>
      </c>
      <c r="D37" s="613" t="s">
        <v>1501</v>
      </c>
      <c r="E37" s="599" t="s">
        <v>1777</v>
      </c>
      <c r="F37" s="315">
        <f t="shared" si="10"/>
        <v>7391.72</v>
      </c>
      <c r="G37" s="513">
        <v>0</v>
      </c>
      <c r="H37" s="603">
        <f t="shared" si="11"/>
        <v>0</v>
      </c>
      <c r="I37" s="633" t="e">
        <f>#REF!</f>
        <v>#REF!</v>
      </c>
      <c r="J37" s="514" t="e">
        <f t="shared" ref="J37:J42" si="19">I37*E37</f>
        <v>#REF!</v>
      </c>
      <c r="K37" s="513" t="e">
        <f t="shared" si="12"/>
        <v>#REF!</v>
      </c>
      <c r="L37" s="515" t="e">
        <f t="shared" si="13"/>
        <v>#REF!</v>
      </c>
      <c r="M37" s="516" t="e">
        <f t="shared" si="14"/>
        <v>#REF!</v>
      </c>
      <c r="N37" s="317" t="e">
        <f t="shared" si="15"/>
        <v>#REF!</v>
      </c>
      <c r="O37" s="318" t="e">
        <f t="shared" si="16"/>
        <v>#REF!</v>
      </c>
      <c r="P37" s="316" t="e">
        <f t="shared" si="17"/>
        <v>#REF!</v>
      </c>
      <c r="Q37" s="199"/>
      <c r="R37" s="18">
        <v>0</v>
      </c>
    </row>
    <row r="38" spans="1:18" ht="11.25" customHeight="1">
      <c r="A38" s="604" t="s">
        <v>621</v>
      </c>
      <c r="B38" s="604" t="s">
        <v>1174</v>
      </c>
      <c r="C38" s="530" t="s">
        <v>47</v>
      </c>
      <c r="D38" s="613" t="s">
        <v>1502</v>
      </c>
      <c r="E38" s="599" t="s">
        <v>1772</v>
      </c>
      <c r="F38" s="315">
        <f t="shared" si="10"/>
        <v>6944.62</v>
      </c>
      <c r="G38" s="513">
        <v>0</v>
      </c>
      <c r="H38" s="603">
        <f t="shared" si="11"/>
        <v>0</v>
      </c>
      <c r="I38" s="633" t="e">
        <f>#REF!</f>
        <v>#REF!</v>
      </c>
      <c r="J38" s="514" t="e">
        <f t="shared" si="19"/>
        <v>#REF!</v>
      </c>
      <c r="K38" s="513" t="e">
        <f t="shared" si="12"/>
        <v>#REF!</v>
      </c>
      <c r="L38" s="515" t="e">
        <f t="shared" si="13"/>
        <v>#REF!</v>
      </c>
      <c r="M38" s="516" t="e">
        <f t="shared" si="14"/>
        <v>#REF!</v>
      </c>
      <c r="N38" s="317" t="e">
        <f t="shared" si="15"/>
        <v>#REF!</v>
      </c>
      <c r="O38" s="318" t="e">
        <f t="shared" si="16"/>
        <v>#REF!</v>
      </c>
      <c r="P38" s="316" t="e">
        <f t="shared" si="17"/>
        <v>#REF!</v>
      </c>
      <c r="Q38" s="199"/>
      <c r="R38" s="18">
        <v>0</v>
      </c>
    </row>
    <row r="39" spans="1:18" ht="11.25" customHeight="1">
      <c r="A39" s="604" t="s">
        <v>622</v>
      </c>
      <c r="B39" s="604" t="s">
        <v>1175</v>
      </c>
      <c r="C39" s="530"/>
      <c r="D39" s="680"/>
      <c r="E39" s="681"/>
      <c r="F39" s="682">
        <f t="shared" si="10"/>
        <v>0</v>
      </c>
      <c r="G39" s="683">
        <v>0</v>
      </c>
      <c r="H39" s="684">
        <f t="shared" si="11"/>
        <v>0</v>
      </c>
      <c r="I39" s="633"/>
      <c r="J39" s="684"/>
      <c r="K39" s="683">
        <f t="shared" si="12"/>
        <v>0</v>
      </c>
      <c r="L39" s="685">
        <f t="shared" si="13"/>
        <v>0</v>
      </c>
      <c r="M39" s="686" t="str">
        <f t="shared" si="14"/>
        <v/>
      </c>
      <c r="N39" s="687">
        <f t="shared" si="15"/>
        <v>0</v>
      </c>
      <c r="O39" s="688">
        <f t="shared" si="16"/>
        <v>0</v>
      </c>
      <c r="P39" s="689" t="str">
        <f t="shared" si="17"/>
        <v/>
      </c>
      <c r="Q39" s="199"/>
      <c r="R39" s="18">
        <v>0</v>
      </c>
    </row>
    <row r="40" spans="1:18" s="490" customFormat="1" ht="11.25" customHeight="1">
      <c r="A40" s="604" t="s">
        <v>624</v>
      </c>
      <c r="B40" s="604" t="s">
        <v>1177</v>
      </c>
      <c r="C40" s="530" t="s">
        <v>36</v>
      </c>
      <c r="D40" s="613" t="s">
        <v>1504</v>
      </c>
      <c r="E40" s="599" t="s">
        <v>1778</v>
      </c>
      <c r="F40" s="315">
        <f t="shared" si="10"/>
        <v>4004.04</v>
      </c>
      <c r="G40" s="513">
        <v>0</v>
      </c>
      <c r="H40" s="603">
        <f t="shared" si="11"/>
        <v>0</v>
      </c>
      <c r="I40" s="633" t="e">
        <f>#REF!</f>
        <v>#REF!</v>
      </c>
      <c r="J40" s="514" t="e">
        <f t="shared" si="19"/>
        <v>#REF!</v>
      </c>
      <c r="K40" s="513" t="e">
        <f t="shared" si="12"/>
        <v>#REF!</v>
      </c>
      <c r="L40" s="515" t="e">
        <f t="shared" si="13"/>
        <v>#REF!</v>
      </c>
      <c r="M40" s="516" t="e">
        <f t="shared" si="14"/>
        <v>#REF!</v>
      </c>
      <c r="N40" s="317" t="e">
        <f t="shared" si="15"/>
        <v>#REF!</v>
      </c>
      <c r="O40" s="318" t="e">
        <f t="shared" si="16"/>
        <v>#REF!</v>
      </c>
      <c r="P40" s="316" t="e">
        <f t="shared" si="17"/>
        <v>#REF!</v>
      </c>
      <c r="Q40" s="489"/>
      <c r="R40" s="490" t="s">
        <v>82</v>
      </c>
    </row>
    <row r="41" spans="1:18" s="16" customFormat="1" ht="11.25" customHeight="1">
      <c r="A41" s="607" t="s">
        <v>633</v>
      </c>
      <c r="B41" s="607" t="s">
        <v>1186</v>
      </c>
      <c r="C41" s="690"/>
      <c r="D41" s="680"/>
      <c r="E41" s="681"/>
      <c r="F41" s="682">
        <f t="shared" si="10"/>
        <v>0</v>
      </c>
      <c r="G41" s="683">
        <v>0</v>
      </c>
      <c r="H41" s="684">
        <f t="shared" si="11"/>
        <v>0</v>
      </c>
      <c r="I41" s="633"/>
      <c r="J41" s="684"/>
      <c r="K41" s="683">
        <f t="shared" si="12"/>
        <v>0</v>
      </c>
      <c r="L41" s="685">
        <f t="shared" si="13"/>
        <v>0</v>
      </c>
      <c r="M41" s="686" t="str">
        <f t="shared" si="14"/>
        <v/>
      </c>
      <c r="N41" s="687">
        <f t="shared" si="15"/>
        <v>0</v>
      </c>
      <c r="O41" s="688">
        <f t="shared" si="16"/>
        <v>0</v>
      </c>
      <c r="P41" s="689" t="str">
        <f t="shared" si="17"/>
        <v/>
      </c>
      <c r="Q41" s="199"/>
      <c r="R41" s="16">
        <v>0</v>
      </c>
    </row>
    <row r="42" spans="1:18" ht="11.25" customHeight="1">
      <c r="A42" s="604" t="s">
        <v>635</v>
      </c>
      <c r="B42" s="604" t="s">
        <v>224</v>
      </c>
      <c r="C42" s="530" t="s">
        <v>1436</v>
      </c>
      <c r="D42" s="613" t="s">
        <v>1479</v>
      </c>
      <c r="E42" s="599" t="s">
        <v>1568</v>
      </c>
      <c r="F42" s="315">
        <f t="shared" si="10"/>
        <v>690</v>
      </c>
      <c r="G42" s="513">
        <v>0</v>
      </c>
      <c r="H42" s="603">
        <f t="shared" si="11"/>
        <v>0</v>
      </c>
      <c r="I42" s="633" t="e">
        <f>#REF!</f>
        <v>#REF!</v>
      </c>
      <c r="J42" s="514" t="e">
        <f t="shared" si="19"/>
        <v>#REF!</v>
      </c>
      <c r="K42" s="513" t="e">
        <f t="shared" si="12"/>
        <v>#REF!</v>
      </c>
      <c r="L42" s="515" t="e">
        <f t="shared" si="13"/>
        <v>#REF!</v>
      </c>
      <c r="M42" s="516" t="e">
        <f t="shared" si="14"/>
        <v>#REF!</v>
      </c>
      <c r="N42" s="317" t="e">
        <f t="shared" si="15"/>
        <v>#REF!</v>
      </c>
      <c r="O42" s="318" t="e">
        <f t="shared" si="16"/>
        <v>#REF!</v>
      </c>
      <c r="P42" s="316" t="e">
        <f t="shared" si="17"/>
        <v>#REF!</v>
      </c>
      <c r="Q42" s="199"/>
      <c r="R42" s="18">
        <v>0</v>
      </c>
    </row>
    <row r="43" spans="1:18" ht="11.25" customHeight="1">
      <c r="A43" s="492" t="s">
        <v>51</v>
      </c>
      <c r="B43" s="608" t="s">
        <v>1195</v>
      </c>
      <c r="C43" s="679"/>
      <c r="D43" s="680"/>
      <c r="E43" s="681"/>
      <c r="F43" s="682">
        <f t="shared" si="10"/>
        <v>0</v>
      </c>
      <c r="G43" s="683">
        <v>0</v>
      </c>
      <c r="H43" s="684">
        <f t="shared" si="11"/>
        <v>0</v>
      </c>
      <c r="I43" s="633"/>
      <c r="J43" s="684"/>
      <c r="K43" s="683">
        <f t="shared" si="12"/>
        <v>0</v>
      </c>
      <c r="L43" s="685">
        <f t="shared" si="13"/>
        <v>0</v>
      </c>
      <c r="M43" s="686" t="str">
        <f t="shared" si="14"/>
        <v/>
      </c>
      <c r="N43" s="687">
        <f t="shared" si="15"/>
        <v>0</v>
      </c>
      <c r="O43" s="688">
        <f t="shared" si="16"/>
        <v>0</v>
      </c>
      <c r="P43" s="689" t="str">
        <f t="shared" si="17"/>
        <v/>
      </c>
      <c r="Q43" s="199"/>
      <c r="R43" s="18">
        <v>0</v>
      </c>
    </row>
    <row r="44" spans="1:18" s="16" customFormat="1" ht="11.25" customHeight="1">
      <c r="A44" s="607" t="s">
        <v>647</v>
      </c>
      <c r="B44" s="607" t="s">
        <v>1155</v>
      </c>
      <c r="C44" s="690"/>
      <c r="D44" s="680"/>
      <c r="E44" s="681"/>
      <c r="F44" s="682">
        <f t="shared" ref="F44:F57" si="20">+ROUND(D44*E44,2)</f>
        <v>0</v>
      </c>
      <c r="G44" s="683">
        <v>0</v>
      </c>
      <c r="H44" s="684">
        <f t="shared" ref="H44:H57" si="21">G44*E44</f>
        <v>0</v>
      </c>
      <c r="I44" s="633"/>
      <c r="J44" s="684"/>
      <c r="K44" s="683">
        <f t="shared" ref="K44:K57" si="22">G44+I44</f>
        <v>0</v>
      </c>
      <c r="L44" s="685">
        <f t="shared" ref="L44:L57" si="23">K44*E44</f>
        <v>0</v>
      </c>
      <c r="M44" s="686" t="str">
        <f t="shared" ref="M44:M57" si="24">+IF(C44=0,"",L44/F44)</f>
        <v/>
      </c>
      <c r="N44" s="687">
        <f t="shared" ref="N44:N57" si="25">D44-K44</f>
        <v>0</v>
      </c>
      <c r="O44" s="688">
        <f t="shared" ref="O44:O57" si="26">ROUND((N44*E44),2)</f>
        <v>0</v>
      </c>
      <c r="P44" s="689" t="str">
        <f t="shared" ref="P44:P57" si="27">+IF(F44=0,"",O44/F44)</f>
        <v/>
      </c>
      <c r="Q44" s="199"/>
    </row>
    <row r="45" spans="1:18" s="16" customFormat="1" ht="11.25" customHeight="1">
      <c r="A45" s="604" t="s">
        <v>651</v>
      </c>
      <c r="B45" s="604" t="s">
        <v>1159</v>
      </c>
      <c r="C45" s="690"/>
      <c r="D45" s="680"/>
      <c r="E45" s="681"/>
      <c r="F45" s="682">
        <f t="shared" si="20"/>
        <v>0</v>
      </c>
      <c r="G45" s="683">
        <v>0</v>
      </c>
      <c r="H45" s="684">
        <f t="shared" si="21"/>
        <v>0</v>
      </c>
      <c r="I45" s="633"/>
      <c r="J45" s="684"/>
      <c r="K45" s="683">
        <f t="shared" si="22"/>
        <v>0</v>
      </c>
      <c r="L45" s="685">
        <f t="shared" si="23"/>
        <v>0</v>
      </c>
      <c r="M45" s="686" t="str">
        <f t="shared" si="24"/>
        <v/>
      </c>
      <c r="N45" s="687">
        <f t="shared" si="25"/>
        <v>0</v>
      </c>
      <c r="O45" s="688">
        <f t="shared" si="26"/>
        <v>0</v>
      </c>
      <c r="P45" s="689" t="str">
        <f t="shared" si="27"/>
        <v/>
      </c>
      <c r="Q45" s="199"/>
    </row>
    <row r="46" spans="1:18" s="16" customFormat="1" ht="11.25" customHeight="1">
      <c r="A46" s="604" t="s">
        <v>652</v>
      </c>
      <c r="B46" s="604" t="s">
        <v>1193</v>
      </c>
      <c r="C46" s="614" t="s">
        <v>39</v>
      </c>
      <c r="D46" s="613" t="s">
        <v>1522</v>
      </c>
      <c r="E46" s="599" t="s">
        <v>1771</v>
      </c>
      <c r="F46" s="315">
        <f t="shared" si="20"/>
        <v>1718.67</v>
      </c>
      <c r="G46" s="513">
        <v>0</v>
      </c>
      <c r="H46" s="603">
        <f t="shared" si="21"/>
        <v>0</v>
      </c>
      <c r="I46" s="633" t="e">
        <f>#REF!</f>
        <v>#REF!</v>
      </c>
      <c r="J46" s="514" t="e">
        <f t="shared" ref="J46:J57" si="28">I46*E46</f>
        <v>#REF!</v>
      </c>
      <c r="K46" s="513" t="e">
        <f t="shared" si="22"/>
        <v>#REF!</v>
      </c>
      <c r="L46" s="515" t="e">
        <f t="shared" si="23"/>
        <v>#REF!</v>
      </c>
      <c r="M46" s="516" t="e">
        <f t="shared" si="24"/>
        <v>#REF!</v>
      </c>
      <c r="N46" s="317" t="e">
        <f t="shared" si="25"/>
        <v>#REF!</v>
      </c>
      <c r="O46" s="318" t="e">
        <f t="shared" si="26"/>
        <v>#REF!</v>
      </c>
      <c r="P46" s="316" t="e">
        <f t="shared" si="27"/>
        <v>#REF!</v>
      </c>
      <c r="Q46" s="199"/>
    </row>
    <row r="47" spans="1:18" s="16" customFormat="1" ht="11.25" customHeight="1">
      <c r="A47" s="604" t="s">
        <v>653</v>
      </c>
      <c r="B47" s="604" t="s">
        <v>1161</v>
      </c>
      <c r="C47" s="614" t="s">
        <v>36</v>
      </c>
      <c r="D47" s="613" t="s">
        <v>1523</v>
      </c>
      <c r="E47" s="599" t="s">
        <v>1773</v>
      </c>
      <c r="F47" s="315">
        <f t="shared" si="20"/>
        <v>1659.3</v>
      </c>
      <c r="G47" s="513">
        <v>0</v>
      </c>
      <c r="H47" s="603">
        <f t="shared" si="21"/>
        <v>0</v>
      </c>
      <c r="I47" s="633" t="e">
        <f>#REF!</f>
        <v>#REF!</v>
      </c>
      <c r="J47" s="514" t="e">
        <f t="shared" si="28"/>
        <v>#REF!</v>
      </c>
      <c r="K47" s="513" t="e">
        <f t="shared" si="22"/>
        <v>#REF!</v>
      </c>
      <c r="L47" s="515" t="e">
        <f t="shared" si="23"/>
        <v>#REF!</v>
      </c>
      <c r="M47" s="516" t="e">
        <f t="shared" si="24"/>
        <v>#REF!</v>
      </c>
      <c r="N47" s="317" t="e">
        <f t="shared" si="25"/>
        <v>#REF!</v>
      </c>
      <c r="O47" s="318" t="e">
        <f t="shared" si="26"/>
        <v>#REF!</v>
      </c>
      <c r="P47" s="316" t="e">
        <f t="shared" si="27"/>
        <v>#REF!</v>
      </c>
      <c r="Q47" s="199"/>
    </row>
    <row r="48" spans="1:18" s="16" customFormat="1" ht="11.25" customHeight="1">
      <c r="A48" s="604" t="s">
        <v>655</v>
      </c>
      <c r="B48" s="604" t="s">
        <v>1163</v>
      </c>
      <c r="C48" s="614"/>
      <c r="D48" s="613"/>
      <c r="E48" s="599"/>
      <c r="F48" s="315"/>
      <c r="G48" s="513"/>
      <c r="H48" s="603"/>
      <c r="I48" s="633"/>
      <c r="J48" s="514"/>
      <c r="K48" s="513"/>
      <c r="L48" s="515"/>
      <c r="M48" s="516"/>
      <c r="N48" s="317"/>
      <c r="O48" s="318"/>
      <c r="P48" s="316"/>
      <c r="Q48" s="199"/>
    </row>
    <row r="49" spans="1:17" s="16" customFormat="1" ht="11.25" customHeight="1">
      <c r="A49" s="604" t="s">
        <v>656</v>
      </c>
      <c r="B49" s="604" t="s">
        <v>1194</v>
      </c>
      <c r="C49" s="614" t="s">
        <v>39</v>
      </c>
      <c r="D49" s="613" t="s">
        <v>1525</v>
      </c>
      <c r="E49" s="599" t="s">
        <v>1774</v>
      </c>
      <c r="F49" s="315">
        <f t="shared" si="20"/>
        <v>3632.19</v>
      </c>
      <c r="G49" s="513">
        <v>0</v>
      </c>
      <c r="H49" s="603">
        <f t="shared" si="21"/>
        <v>0</v>
      </c>
      <c r="I49" s="633" t="e">
        <f>#REF!</f>
        <v>#REF!</v>
      </c>
      <c r="J49" s="514" t="e">
        <f t="shared" si="28"/>
        <v>#REF!</v>
      </c>
      <c r="K49" s="513" t="e">
        <f t="shared" si="22"/>
        <v>#REF!</v>
      </c>
      <c r="L49" s="515" t="e">
        <f t="shared" si="23"/>
        <v>#REF!</v>
      </c>
      <c r="M49" s="516" t="e">
        <f t="shared" si="24"/>
        <v>#REF!</v>
      </c>
      <c r="N49" s="317" t="e">
        <f t="shared" si="25"/>
        <v>#REF!</v>
      </c>
      <c r="O49" s="318" t="e">
        <f t="shared" si="26"/>
        <v>#REF!</v>
      </c>
      <c r="P49" s="316" t="e">
        <f t="shared" si="27"/>
        <v>#REF!</v>
      </c>
      <c r="Q49" s="199"/>
    </row>
    <row r="50" spans="1:17" s="16" customFormat="1" ht="11.25" customHeight="1">
      <c r="A50" s="604" t="s">
        <v>657</v>
      </c>
      <c r="B50" s="604" t="s">
        <v>1165</v>
      </c>
      <c r="C50" s="614" t="s">
        <v>36</v>
      </c>
      <c r="D50" s="613" t="s">
        <v>1526</v>
      </c>
      <c r="E50" s="599" t="s">
        <v>1775</v>
      </c>
      <c r="F50" s="315">
        <f t="shared" si="20"/>
        <v>4178.62</v>
      </c>
      <c r="G50" s="513">
        <v>0</v>
      </c>
      <c r="H50" s="603">
        <f t="shared" si="21"/>
        <v>0</v>
      </c>
      <c r="I50" s="633" t="e">
        <f>#REF!</f>
        <v>#REF!</v>
      </c>
      <c r="J50" s="514" t="e">
        <f t="shared" si="28"/>
        <v>#REF!</v>
      </c>
      <c r="K50" s="513" t="e">
        <f t="shared" si="22"/>
        <v>#REF!</v>
      </c>
      <c r="L50" s="515" t="e">
        <f t="shared" si="23"/>
        <v>#REF!</v>
      </c>
      <c r="M50" s="516" t="e">
        <f t="shared" si="24"/>
        <v>#REF!</v>
      </c>
      <c r="N50" s="317" t="e">
        <f t="shared" si="25"/>
        <v>#REF!</v>
      </c>
      <c r="O50" s="318" t="e">
        <f t="shared" si="26"/>
        <v>#REF!</v>
      </c>
      <c r="P50" s="316" t="e">
        <f t="shared" si="27"/>
        <v>#REF!</v>
      </c>
      <c r="Q50" s="199"/>
    </row>
    <row r="51" spans="1:17" s="16" customFormat="1" ht="11.25" customHeight="1">
      <c r="A51" s="604" t="s">
        <v>663</v>
      </c>
      <c r="B51" s="604" t="s">
        <v>1171</v>
      </c>
      <c r="C51" s="690"/>
      <c r="D51" s="680"/>
      <c r="E51" s="681"/>
      <c r="F51" s="682">
        <f t="shared" si="20"/>
        <v>0</v>
      </c>
      <c r="G51" s="683">
        <v>0</v>
      </c>
      <c r="H51" s="684">
        <f t="shared" si="21"/>
        <v>0</v>
      </c>
      <c r="I51" s="633"/>
      <c r="J51" s="684"/>
      <c r="K51" s="683">
        <f t="shared" si="22"/>
        <v>0</v>
      </c>
      <c r="L51" s="685">
        <f t="shared" si="23"/>
        <v>0</v>
      </c>
      <c r="M51" s="686" t="str">
        <f t="shared" si="24"/>
        <v/>
      </c>
      <c r="N51" s="687">
        <f t="shared" si="25"/>
        <v>0</v>
      </c>
      <c r="O51" s="688">
        <f t="shared" si="26"/>
        <v>0</v>
      </c>
      <c r="P51" s="689" t="str">
        <f t="shared" si="27"/>
        <v/>
      </c>
      <c r="Q51" s="199"/>
    </row>
    <row r="52" spans="1:17" s="16" customFormat="1" ht="11.25" customHeight="1">
      <c r="A52" s="604" t="s">
        <v>664</v>
      </c>
      <c r="B52" s="604" t="s">
        <v>1172</v>
      </c>
      <c r="C52" s="614" t="s">
        <v>39</v>
      </c>
      <c r="D52" s="613" t="s">
        <v>1531</v>
      </c>
      <c r="E52" s="599" t="s">
        <v>1776</v>
      </c>
      <c r="F52" s="315">
        <f t="shared" si="20"/>
        <v>5421.76</v>
      </c>
      <c r="G52" s="513">
        <v>0</v>
      </c>
      <c r="H52" s="603">
        <f t="shared" si="21"/>
        <v>0</v>
      </c>
      <c r="I52" s="633" t="e">
        <f>#REF!</f>
        <v>#REF!</v>
      </c>
      <c r="J52" s="514" t="e">
        <f t="shared" si="28"/>
        <v>#REF!</v>
      </c>
      <c r="K52" s="513" t="e">
        <f t="shared" si="22"/>
        <v>#REF!</v>
      </c>
      <c r="L52" s="515" t="e">
        <f t="shared" si="23"/>
        <v>#REF!</v>
      </c>
      <c r="M52" s="516" t="e">
        <f t="shared" si="24"/>
        <v>#REF!</v>
      </c>
      <c r="N52" s="317" t="e">
        <f t="shared" si="25"/>
        <v>#REF!</v>
      </c>
      <c r="O52" s="318" t="e">
        <f t="shared" si="26"/>
        <v>#REF!</v>
      </c>
      <c r="P52" s="316" t="e">
        <f t="shared" si="27"/>
        <v>#REF!</v>
      </c>
      <c r="Q52" s="199"/>
    </row>
    <row r="53" spans="1:17" s="16" customFormat="1" ht="11.25" customHeight="1">
      <c r="A53" s="604" t="s">
        <v>665</v>
      </c>
      <c r="B53" s="604" t="s">
        <v>1173</v>
      </c>
      <c r="C53" s="614" t="s">
        <v>36</v>
      </c>
      <c r="D53" s="613" t="s">
        <v>1532</v>
      </c>
      <c r="E53" s="599" t="s">
        <v>1777</v>
      </c>
      <c r="F53" s="315">
        <f t="shared" si="20"/>
        <v>6463.78</v>
      </c>
      <c r="G53" s="513">
        <v>0</v>
      </c>
      <c r="H53" s="603">
        <f t="shared" si="21"/>
        <v>0</v>
      </c>
      <c r="I53" s="633" t="e">
        <f>#REF!</f>
        <v>#REF!</v>
      </c>
      <c r="J53" s="514" t="e">
        <f t="shared" si="28"/>
        <v>#REF!</v>
      </c>
      <c r="K53" s="513" t="e">
        <f t="shared" si="22"/>
        <v>#REF!</v>
      </c>
      <c r="L53" s="515" t="e">
        <f t="shared" si="23"/>
        <v>#REF!</v>
      </c>
      <c r="M53" s="516" t="e">
        <f t="shared" si="24"/>
        <v>#REF!</v>
      </c>
      <c r="N53" s="317" t="e">
        <f t="shared" si="25"/>
        <v>#REF!</v>
      </c>
      <c r="O53" s="318" t="e">
        <f t="shared" si="26"/>
        <v>#REF!</v>
      </c>
      <c r="P53" s="316" t="e">
        <f t="shared" si="27"/>
        <v>#REF!</v>
      </c>
      <c r="Q53" s="199"/>
    </row>
    <row r="54" spans="1:17" s="16" customFormat="1" ht="11.25" customHeight="1">
      <c r="A54" s="604" t="s">
        <v>667</v>
      </c>
      <c r="B54" s="604" t="s">
        <v>1175</v>
      </c>
      <c r="C54" s="690"/>
      <c r="D54" s="680"/>
      <c r="E54" s="681"/>
      <c r="F54" s="682">
        <f t="shared" si="20"/>
        <v>0</v>
      </c>
      <c r="G54" s="683">
        <v>0</v>
      </c>
      <c r="H54" s="684">
        <f t="shared" si="21"/>
        <v>0</v>
      </c>
      <c r="I54" s="633"/>
      <c r="J54" s="684"/>
      <c r="K54" s="683">
        <f t="shared" si="22"/>
        <v>0</v>
      </c>
      <c r="L54" s="685">
        <f t="shared" si="23"/>
        <v>0</v>
      </c>
      <c r="M54" s="686" t="str">
        <f t="shared" si="24"/>
        <v/>
      </c>
      <c r="N54" s="687">
        <f t="shared" si="25"/>
        <v>0</v>
      </c>
      <c r="O54" s="688">
        <f t="shared" si="26"/>
        <v>0</v>
      </c>
      <c r="P54" s="689" t="str">
        <f t="shared" si="27"/>
        <v/>
      </c>
      <c r="Q54" s="199"/>
    </row>
    <row r="55" spans="1:17" s="16" customFormat="1" ht="11.25" customHeight="1">
      <c r="A55" s="604" t="s">
        <v>669</v>
      </c>
      <c r="B55" s="604" t="s">
        <v>1177</v>
      </c>
      <c r="C55" s="614" t="s">
        <v>36</v>
      </c>
      <c r="D55" s="613" t="s">
        <v>1535</v>
      </c>
      <c r="E55" s="599" t="s">
        <v>1778</v>
      </c>
      <c r="F55" s="315">
        <f t="shared" si="20"/>
        <v>6032.52</v>
      </c>
      <c r="G55" s="513">
        <v>0</v>
      </c>
      <c r="H55" s="603">
        <f t="shared" si="21"/>
        <v>0</v>
      </c>
      <c r="I55" s="633" t="e">
        <f>#REF!</f>
        <v>#REF!</v>
      </c>
      <c r="J55" s="514" t="e">
        <f t="shared" si="28"/>
        <v>#REF!</v>
      </c>
      <c r="K55" s="513" t="e">
        <f t="shared" si="22"/>
        <v>#REF!</v>
      </c>
      <c r="L55" s="515" t="e">
        <f t="shared" si="23"/>
        <v>#REF!</v>
      </c>
      <c r="M55" s="516" t="e">
        <f t="shared" si="24"/>
        <v>#REF!</v>
      </c>
      <c r="N55" s="317" t="e">
        <f t="shared" si="25"/>
        <v>#REF!</v>
      </c>
      <c r="O55" s="318" t="e">
        <f t="shared" si="26"/>
        <v>#REF!</v>
      </c>
      <c r="P55" s="316" t="e">
        <f t="shared" si="27"/>
        <v>#REF!</v>
      </c>
      <c r="Q55" s="199"/>
    </row>
    <row r="56" spans="1:17" s="16" customFormat="1" ht="11.25" customHeight="1">
      <c r="A56" s="607" t="s">
        <v>678</v>
      </c>
      <c r="B56" s="607" t="s">
        <v>1186</v>
      </c>
      <c r="C56" s="614"/>
      <c r="D56" s="613"/>
      <c r="E56" s="599"/>
      <c r="F56" s="315">
        <f t="shared" si="20"/>
        <v>0</v>
      </c>
      <c r="G56" s="513">
        <v>0</v>
      </c>
      <c r="H56" s="603">
        <f t="shared" si="21"/>
        <v>0</v>
      </c>
      <c r="I56" s="633" t="e">
        <f>#REF!</f>
        <v>#REF!</v>
      </c>
      <c r="J56" s="514" t="e">
        <f t="shared" si="28"/>
        <v>#REF!</v>
      </c>
      <c r="K56" s="513" t="e">
        <f t="shared" si="22"/>
        <v>#REF!</v>
      </c>
      <c r="L56" s="515" t="e">
        <f t="shared" si="23"/>
        <v>#REF!</v>
      </c>
      <c r="M56" s="516" t="str">
        <f t="shared" si="24"/>
        <v/>
      </c>
      <c r="N56" s="317" t="e">
        <f t="shared" si="25"/>
        <v>#REF!</v>
      </c>
      <c r="O56" s="318" t="e">
        <f t="shared" si="26"/>
        <v>#REF!</v>
      </c>
      <c r="P56" s="316" t="str">
        <f t="shared" si="27"/>
        <v/>
      </c>
      <c r="Q56" s="199"/>
    </row>
    <row r="57" spans="1:17" s="16" customFormat="1" ht="11.25" customHeight="1">
      <c r="A57" s="604" t="s">
        <v>680</v>
      </c>
      <c r="B57" s="604" t="s">
        <v>224</v>
      </c>
      <c r="C57" s="614" t="s">
        <v>1436</v>
      </c>
      <c r="D57" s="613" t="s">
        <v>1479</v>
      </c>
      <c r="E57" s="599" t="s">
        <v>1568</v>
      </c>
      <c r="F57" s="315">
        <f t="shared" si="20"/>
        <v>690</v>
      </c>
      <c r="G57" s="513">
        <v>0</v>
      </c>
      <c r="H57" s="603">
        <f t="shared" si="21"/>
        <v>0</v>
      </c>
      <c r="I57" s="633" t="e">
        <f>#REF!</f>
        <v>#REF!</v>
      </c>
      <c r="J57" s="514" t="e">
        <f t="shared" si="28"/>
        <v>#REF!</v>
      </c>
      <c r="K57" s="513" t="e">
        <f t="shared" si="22"/>
        <v>#REF!</v>
      </c>
      <c r="L57" s="515" t="e">
        <f t="shared" si="23"/>
        <v>#REF!</v>
      </c>
      <c r="M57" s="516" t="e">
        <f t="shared" si="24"/>
        <v>#REF!</v>
      </c>
      <c r="N57" s="317" t="e">
        <f t="shared" si="25"/>
        <v>#REF!</v>
      </c>
      <c r="O57" s="318" t="e">
        <f t="shared" si="26"/>
        <v>#REF!</v>
      </c>
      <c r="P57" s="316" t="e">
        <f t="shared" si="27"/>
        <v>#REF!</v>
      </c>
      <c r="Q57" s="199"/>
    </row>
    <row r="58" spans="1:17" s="16" customFormat="1" ht="11.25" customHeight="1">
      <c r="A58" s="492" t="s">
        <v>728</v>
      </c>
      <c r="B58" s="608" t="s">
        <v>1197</v>
      </c>
      <c r="C58" s="690"/>
      <c r="D58" s="680"/>
      <c r="E58" s="681"/>
      <c r="F58" s="682">
        <f t="shared" ref="F58:F78" si="29">+ROUND(D58*E58,2)</f>
        <v>0</v>
      </c>
      <c r="G58" s="683">
        <v>0</v>
      </c>
      <c r="H58" s="684">
        <f t="shared" ref="H58:H78" si="30">G58*E58</f>
        <v>0</v>
      </c>
      <c r="I58" s="633"/>
      <c r="J58" s="684"/>
      <c r="K58" s="683">
        <f t="shared" ref="K58:K78" si="31">G58+I58</f>
        <v>0</v>
      </c>
      <c r="L58" s="685">
        <f t="shared" ref="L58:L78" si="32">K58*E58</f>
        <v>0</v>
      </c>
      <c r="M58" s="686" t="str">
        <f t="shared" ref="M58:M78" si="33">+IF(C58=0,"",L58/F58)</f>
        <v/>
      </c>
      <c r="N58" s="687">
        <f t="shared" ref="N58:N78" si="34">D58-K58</f>
        <v>0</v>
      </c>
      <c r="O58" s="688">
        <f t="shared" ref="O58:O78" si="35">ROUND((N58*E58),2)</f>
        <v>0</v>
      </c>
      <c r="P58" s="689" t="str">
        <f t="shared" ref="P58:P78" si="36">+IF(F58=0,"",O58/F58)</f>
        <v/>
      </c>
      <c r="Q58" s="199"/>
    </row>
    <row r="59" spans="1:17" s="16" customFormat="1" ht="11.25" customHeight="1">
      <c r="A59" s="607" t="s">
        <v>729</v>
      </c>
      <c r="B59" s="607" t="s">
        <v>45</v>
      </c>
      <c r="C59" s="690"/>
      <c r="D59" s="680"/>
      <c r="E59" s="681"/>
      <c r="F59" s="682">
        <f t="shared" si="29"/>
        <v>0</v>
      </c>
      <c r="G59" s="683">
        <v>0</v>
      </c>
      <c r="H59" s="684">
        <f t="shared" si="30"/>
        <v>0</v>
      </c>
      <c r="I59" s="633"/>
      <c r="J59" s="684"/>
      <c r="K59" s="683">
        <f t="shared" si="31"/>
        <v>0</v>
      </c>
      <c r="L59" s="685">
        <f t="shared" si="32"/>
        <v>0</v>
      </c>
      <c r="M59" s="686" t="str">
        <f t="shared" si="33"/>
        <v/>
      </c>
      <c r="N59" s="687">
        <f t="shared" si="34"/>
        <v>0</v>
      </c>
      <c r="O59" s="688">
        <f t="shared" si="35"/>
        <v>0</v>
      </c>
      <c r="P59" s="689" t="str">
        <f t="shared" si="36"/>
        <v/>
      </c>
      <c r="Q59" s="199"/>
    </row>
    <row r="60" spans="1:17" s="16" customFormat="1" ht="11.25" customHeight="1">
      <c r="A60" s="604" t="s">
        <v>730</v>
      </c>
      <c r="B60" s="604" t="s">
        <v>1198</v>
      </c>
      <c r="C60" s="614" t="s">
        <v>39</v>
      </c>
      <c r="D60" s="613" t="s">
        <v>1569</v>
      </c>
      <c r="E60" s="599" t="s">
        <v>1767</v>
      </c>
      <c r="F60" s="315">
        <f t="shared" si="29"/>
        <v>15592.13</v>
      </c>
      <c r="G60" s="513">
        <v>76.09</v>
      </c>
      <c r="H60" s="603">
        <f t="shared" si="30"/>
        <v>2538.3624</v>
      </c>
      <c r="I60" s="633" t="e">
        <f>#REF!</f>
        <v>#REF!</v>
      </c>
      <c r="J60" s="514" t="e">
        <f t="shared" ref="J60:J78" si="37">I60*E60</f>
        <v>#REF!</v>
      </c>
      <c r="K60" s="513" t="e">
        <f t="shared" si="31"/>
        <v>#REF!</v>
      </c>
      <c r="L60" s="515" t="e">
        <f t="shared" si="32"/>
        <v>#REF!</v>
      </c>
      <c r="M60" s="516" t="e">
        <f t="shared" si="33"/>
        <v>#REF!</v>
      </c>
      <c r="N60" s="317" t="e">
        <f t="shared" si="34"/>
        <v>#REF!</v>
      </c>
      <c r="O60" s="318" t="e">
        <f t="shared" si="35"/>
        <v>#REF!</v>
      </c>
      <c r="P60" s="316" t="e">
        <f t="shared" si="36"/>
        <v>#REF!</v>
      </c>
      <c r="Q60" s="199"/>
    </row>
    <row r="61" spans="1:17" s="16" customFormat="1" ht="11.25" customHeight="1">
      <c r="A61" s="607" t="s">
        <v>732</v>
      </c>
      <c r="B61" s="607" t="s">
        <v>1148</v>
      </c>
      <c r="C61" s="614"/>
      <c r="D61" s="613"/>
      <c r="E61" s="599"/>
      <c r="F61" s="682">
        <f t="shared" si="29"/>
        <v>0</v>
      </c>
      <c r="G61" s="683">
        <v>0</v>
      </c>
      <c r="H61" s="684">
        <f t="shared" si="30"/>
        <v>0</v>
      </c>
      <c r="I61" s="633"/>
      <c r="J61" s="684"/>
      <c r="K61" s="683">
        <f t="shared" si="31"/>
        <v>0</v>
      </c>
      <c r="L61" s="685">
        <f t="shared" si="32"/>
        <v>0</v>
      </c>
      <c r="M61" s="686" t="str">
        <f t="shared" si="33"/>
        <v/>
      </c>
      <c r="N61" s="687">
        <f t="shared" si="34"/>
        <v>0</v>
      </c>
      <c r="O61" s="688">
        <f t="shared" si="35"/>
        <v>0</v>
      </c>
      <c r="P61" s="689" t="str">
        <f t="shared" si="36"/>
        <v/>
      </c>
      <c r="Q61" s="199"/>
    </row>
    <row r="62" spans="1:17" s="16" customFormat="1" ht="11.25" customHeight="1">
      <c r="A62" s="604" t="s">
        <v>733</v>
      </c>
      <c r="B62" s="604" t="s">
        <v>1190</v>
      </c>
      <c r="C62" s="614" t="s">
        <v>39</v>
      </c>
      <c r="D62" s="613" t="s">
        <v>1571</v>
      </c>
      <c r="E62" s="599" t="s">
        <v>1768</v>
      </c>
      <c r="F62" s="315">
        <f t="shared" si="29"/>
        <v>4205.5600000000004</v>
      </c>
      <c r="G62" s="513">
        <v>0</v>
      </c>
      <c r="H62" s="603">
        <f t="shared" si="30"/>
        <v>0</v>
      </c>
      <c r="I62" s="633" t="e">
        <f>#REF!</f>
        <v>#REF!</v>
      </c>
      <c r="J62" s="514" t="e">
        <f t="shared" si="37"/>
        <v>#REF!</v>
      </c>
      <c r="K62" s="513" t="e">
        <f t="shared" si="31"/>
        <v>#REF!</v>
      </c>
      <c r="L62" s="515" t="e">
        <f t="shared" si="32"/>
        <v>#REF!</v>
      </c>
      <c r="M62" s="516" t="e">
        <f t="shared" si="33"/>
        <v>#REF!</v>
      </c>
      <c r="N62" s="317" t="e">
        <f t="shared" si="34"/>
        <v>#REF!</v>
      </c>
      <c r="O62" s="318" t="e">
        <f t="shared" si="35"/>
        <v>#REF!</v>
      </c>
      <c r="P62" s="316" t="e">
        <f t="shared" si="36"/>
        <v>#REF!</v>
      </c>
      <c r="Q62" s="199"/>
    </row>
    <row r="63" spans="1:17" s="16" customFormat="1" ht="11.25" customHeight="1">
      <c r="A63" s="607" t="s">
        <v>734</v>
      </c>
      <c r="B63" s="607" t="s">
        <v>1155</v>
      </c>
      <c r="C63" s="690"/>
      <c r="D63" s="680"/>
      <c r="E63" s="681"/>
      <c r="F63" s="682">
        <f t="shared" si="29"/>
        <v>0</v>
      </c>
      <c r="G63" s="683">
        <v>0</v>
      </c>
      <c r="H63" s="684">
        <f t="shared" si="30"/>
        <v>0</v>
      </c>
      <c r="I63" s="633"/>
      <c r="J63" s="684"/>
      <c r="K63" s="683">
        <f t="shared" si="31"/>
        <v>0</v>
      </c>
      <c r="L63" s="685">
        <f t="shared" si="32"/>
        <v>0</v>
      </c>
      <c r="M63" s="686" t="str">
        <f t="shared" si="33"/>
        <v/>
      </c>
      <c r="N63" s="687">
        <f t="shared" si="34"/>
        <v>0</v>
      </c>
      <c r="O63" s="688">
        <f t="shared" si="35"/>
        <v>0</v>
      </c>
      <c r="P63" s="689" t="str">
        <f t="shared" si="36"/>
        <v/>
      </c>
      <c r="Q63" s="199"/>
    </row>
    <row r="64" spans="1:17" s="16" customFormat="1" ht="11.25" customHeight="1">
      <c r="A64" s="604" t="s">
        <v>735</v>
      </c>
      <c r="B64" s="604" t="s">
        <v>1163</v>
      </c>
      <c r="C64" s="690"/>
      <c r="D64" s="680"/>
      <c r="E64" s="681"/>
      <c r="F64" s="682">
        <f t="shared" si="29"/>
        <v>0</v>
      </c>
      <c r="G64" s="683">
        <v>0</v>
      </c>
      <c r="H64" s="684">
        <f t="shared" si="30"/>
        <v>0</v>
      </c>
      <c r="I64" s="633"/>
      <c r="J64" s="684"/>
      <c r="K64" s="683">
        <f t="shared" si="31"/>
        <v>0</v>
      </c>
      <c r="L64" s="685">
        <f t="shared" si="32"/>
        <v>0</v>
      </c>
      <c r="M64" s="686" t="str">
        <f t="shared" si="33"/>
        <v/>
      </c>
      <c r="N64" s="687">
        <f t="shared" si="34"/>
        <v>0</v>
      </c>
      <c r="O64" s="688">
        <f t="shared" si="35"/>
        <v>0</v>
      </c>
      <c r="P64" s="689" t="str">
        <f t="shared" si="36"/>
        <v/>
      </c>
      <c r="Q64" s="199"/>
    </row>
    <row r="65" spans="1:17" s="16" customFormat="1" ht="11.25" customHeight="1">
      <c r="A65" s="604" t="s">
        <v>738</v>
      </c>
      <c r="B65" s="604" t="s">
        <v>1166</v>
      </c>
      <c r="C65" s="614" t="s">
        <v>47</v>
      </c>
      <c r="D65" s="613" t="s">
        <v>1574</v>
      </c>
      <c r="E65" s="599" t="s">
        <v>1772</v>
      </c>
      <c r="F65" s="315">
        <f t="shared" si="29"/>
        <v>4530.4799999999996</v>
      </c>
      <c r="G65" s="513">
        <v>0</v>
      </c>
      <c r="H65" s="603">
        <f t="shared" si="30"/>
        <v>0</v>
      </c>
      <c r="I65" s="633" t="e">
        <f>#REF!</f>
        <v>#REF!</v>
      </c>
      <c r="J65" s="514" t="e">
        <f t="shared" si="37"/>
        <v>#REF!</v>
      </c>
      <c r="K65" s="513" t="e">
        <f t="shared" si="31"/>
        <v>#REF!</v>
      </c>
      <c r="L65" s="515" t="e">
        <f t="shared" si="32"/>
        <v>#REF!</v>
      </c>
      <c r="M65" s="516" t="e">
        <f t="shared" si="33"/>
        <v>#REF!</v>
      </c>
      <c r="N65" s="317" t="e">
        <f t="shared" si="34"/>
        <v>#REF!</v>
      </c>
      <c r="O65" s="318" t="e">
        <f t="shared" si="35"/>
        <v>#REF!</v>
      </c>
      <c r="P65" s="316" t="e">
        <f t="shared" si="36"/>
        <v>#REF!</v>
      </c>
      <c r="Q65" s="199"/>
    </row>
    <row r="66" spans="1:17" s="16" customFormat="1" ht="11.25" customHeight="1">
      <c r="A66" s="604" t="s">
        <v>743</v>
      </c>
      <c r="B66" s="604" t="s">
        <v>1199</v>
      </c>
      <c r="C66" s="690"/>
      <c r="D66" s="680"/>
      <c r="E66" s="681"/>
      <c r="F66" s="682">
        <f t="shared" si="29"/>
        <v>0</v>
      </c>
      <c r="G66" s="683">
        <v>0</v>
      </c>
      <c r="H66" s="684">
        <f t="shared" si="30"/>
        <v>0</v>
      </c>
      <c r="I66" s="633"/>
      <c r="J66" s="684"/>
      <c r="K66" s="683">
        <f t="shared" si="31"/>
        <v>0</v>
      </c>
      <c r="L66" s="685">
        <f t="shared" si="32"/>
        <v>0</v>
      </c>
      <c r="M66" s="686" t="str">
        <f t="shared" si="33"/>
        <v/>
      </c>
      <c r="N66" s="687">
        <f t="shared" si="34"/>
        <v>0</v>
      </c>
      <c r="O66" s="688">
        <f t="shared" si="35"/>
        <v>0</v>
      </c>
      <c r="P66" s="689" t="str">
        <f t="shared" si="36"/>
        <v/>
      </c>
      <c r="Q66" s="199"/>
    </row>
    <row r="67" spans="1:17" s="16" customFormat="1" ht="11.25" customHeight="1">
      <c r="A67" s="604" t="s">
        <v>744</v>
      </c>
      <c r="B67" s="604" t="s">
        <v>1191</v>
      </c>
      <c r="C67" s="614" t="s">
        <v>39</v>
      </c>
      <c r="D67" s="613" t="s">
        <v>1578</v>
      </c>
      <c r="E67" s="599" t="s">
        <v>1769</v>
      </c>
      <c r="F67" s="315">
        <f t="shared" si="29"/>
        <v>1788.3</v>
      </c>
      <c r="G67" s="513">
        <v>0</v>
      </c>
      <c r="H67" s="603">
        <f t="shared" si="30"/>
        <v>0</v>
      </c>
      <c r="I67" s="633" t="e">
        <f>#REF!</f>
        <v>#REF!</v>
      </c>
      <c r="J67" s="514" t="e">
        <f t="shared" si="37"/>
        <v>#REF!</v>
      </c>
      <c r="K67" s="513" t="e">
        <f t="shared" si="31"/>
        <v>#REF!</v>
      </c>
      <c r="L67" s="515" t="e">
        <f t="shared" si="32"/>
        <v>#REF!</v>
      </c>
      <c r="M67" s="516" t="e">
        <f t="shared" si="33"/>
        <v>#REF!</v>
      </c>
      <c r="N67" s="317" t="e">
        <f t="shared" si="34"/>
        <v>#REF!</v>
      </c>
      <c r="O67" s="318" t="e">
        <f t="shared" si="35"/>
        <v>#REF!</v>
      </c>
      <c r="P67" s="316" t="e">
        <f t="shared" si="36"/>
        <v>#REF!</v>
      </c>
      <c r="Q67" s="199"/>
    </row>
    <row r="68" spans="1:17" s="16" customFormat="1" ht="11.25" customHeight="1">
      <c r="A68" s="604" t="s">
        <v>745</v>
      </c>
      <c r="B68" s="604" t="s">
        <v>1200</v>
      </c>
      <c r="C68" s="614" t="s">
        <v>36</v>
      </c>
      <c r="D68" s="613" t="s">
        <v>1579</v>
      </c>
      <c r="E68" s="599" t="s">
        <v>1779</v>
      </c>
      <c r="F68" s="315">
        <f t="shared" si="29"/>
        <v>3147.55</v>
      </c>
      <c r="G68" s="513">
        <v>0</v>
      </c>
      <c r="H68" s="603">
        <f t="shared" si="30"/>
        <v>0</v>
      </c>
      <c r="I68" s="633" t="e">
        <f>#REF!</f>
        <v>#REF!</v>
      </c>
      <c r="J68" s="514" t="e">
        <f t="shared" si="37"/>
        <v>#REF!</v>
      </c>
      <c r="K68" s="513" t="e">
        <f t="shared" si="31"/>
        <v>#REF!</v>
      </c>
      <c r="L68" s="515" t="e">
        <f t="shared" si="32"/>
        <v>#REF!</v>
      </c>
      <c r="M68" s="516" t="e">
        <f t="shared" si="33"/>
        <v>#REF!</v>
      </c>
      <c r="N68" s="317" t="e">
        <f t="shared" si="34"/>
        <v>#REF!</v>
      </c>
      <c r="O68" s="318" t="e">
        <f t="shared" si="35"/>
        <v>#REF!</v>
      </c>
      <c r="P68" s="316" t="e">
        <f t="shared" si="36"/>
        <v>#REF!</v>
      </c>
      <c r="Q68" s="199"/>
    </row>
    <row r="69" spans="1:17" s="16" customFormat="1" ht="11.25" customHeight="1">
      <c r="A69" s="604" t="s">
        <v>746</v>
      </c>
      <c r="B69" s="604" t="s">
        <v>1201</v>
      </c>
      <c r="C69" s="614" t="s">
        <v>47</v>
      </c>
      <c r="D69" s="613" t="s">
        <v>1580</v>
      </c>
      <c r="E69" s="599" t="s">
        <v>1772</v>
      </c>
      <c r="F69" s="315">
        <f t="shared" si="29"/>
        <v>2097.13</v>
      </c>
      <c r="G69" s="513">
        <v>0</v>
      </c>
      <c r="H69" s="603">
        <f t="shared" si="30"/>
        <v>0</v>
      </c>
      <c r="I69" s="633" t="e">
        <f>#REF!</f>
        <v>#REF!</v>
      </c>
      <c r="J69" s="514" t="e">
        <f t="shared" si="37"/>
        <v>#REF!</v>
      </c>
      <c r="K69" s="513" t="e">
        <f t="shared" si="31"/>
        <v>#REF!</v>
      </c>
      <c r="L69" s="515" t="e">
        <f t="shared" si="32"/>
        <v>#REF!</v>
      </c>
      <c r="M69" s="516" t="e">
        <f t="shared" si="33"/>
        <v>#REF!</v>
      </c>
      <c r="N69" s="317" t="e">
        <f t="shared" si="34"/>
        <v>#REF!</v>
      </c>
      <c r="O69" s="318" t="e">
        <f t="shared" si="35"/>
        <v>#REF!</v>
      </c>
      <c r="P69" s="316" t="e">
        <f t="shared" si="36"/>
        <v>#REF!</v>
      </c>
      <c r="Q69" s="199"/>
    </row>
    <row r="70" spans="1:17" s="16" customFormat="1" ht="11.25" customHeight="1">
      <c r="A70" s="492" t="s">
        <v>749</v>
      </c>
      <c r="B70" s="608" t="s">
        <v>1203</v>
      </c>
      <c r="C70" s="690"/>
      <c r="D70" s="680"/>
      <c r="E70" s="681"/>
      <c r="F70" s="682">
        <f t="shared" si="29"/>
        <v>0</v>
      </c>
      <c r="G70" s="683">
        <v>0</v>
      </c>
      <c r="H70" s="684">
        <f t="shared" si="30"/>
        <v>0</v>
      </c>
      <c r="I70" s="633"/>
      <c r="J70" s="684"/>
      <c r="K70" s="683">
        <f t="shared" si="31"/>
        <v>0</v>
      </c>
      <c r="L70" s="685">
        <f t="shared" si="32"/>
        <v>0</v>
      </c>
      <c r="M70" s="686" t="str">
        <f t="shared" si="33"/>
        <v/>
      </c>
      <c r="N70" s="687">
        <f t="shared" si="34"/>
        <v>0</v>
      </c>
      <c r="O70" s="688">
        <f t="shared" si="35"/>
        <v>0</v>
      </c>
      <c r="P70" s="689" t="str">
        <f t="shared" si="36"/>
        <v/>
      </c>
      <c r="Q70" s="199"/>
    </row>
    <row r="71" spans="1:17" s="16" customFormat="1" ht="11.25" customHeight="1">
      <c r="A71" s="607" t="s">
        <v>753</v>
      </c>
      <c r="B71" s="607" t="s">
        <v>1204</v>
      </c>
      <c r="C71" s="690"/>
      <c r="D71" s="680"/>
      <c r="E71" s="681"/>
      <c r="F71" s="682">
        <f t="shared" si="29"/>
        <v>0</v>
      </c>
      <c r="G71" s="683">
        <v>0</v>
      </c>
      <c r="H71" s="684">
        <f t="shared" si="30"/>
        <v>0</v>
      </c>
      <c r="I71" s="633"/>
      <c r="J71" s="684"/>
      <c r="K71" s="683">
        <f t="shared" si="31"/>
        <v>0</v>
      </c>
      <c r="L71" s="685">
        <f t="shared" si="32"/>
        <v>0</v>
      </c>
      <c r="M71" s="686" t="str">
        <f t="shared" si="33"/>
        <v/>
      </c>
      <c r="N71" s="687">
        <f t="shared" si="34"/>
        <v>0</v>
      </c>
      <c r="O71" s="688">
        <f t="shared" si="35"/>
        <v>0</v>
      </c>
      <c r="P71" s="689" t="str">
        <f t="shared" si="36"/>
        <v/>
      </c>
      <c r="Q71" s="199"/>
    </row>
    <row r="72" spans="1:17" s="16" customFormat="1" ht="11.25" customHeight="1">
      <c r="A72" s="604" t="s">
        <v>754</v>
      </c>
      <c r="B72" s="604" t="s">
        <v>1205</v>
      </c>
      <c r="C72" s="614" t="s">
        <v>39</v>
      </c>
      <c r="D72" s="613" t="s">
        <v>1584</v>
      </c>
      <c r="E72" s="599" t="s">
        <v>1774</v>
      </c>
      <c r="F72" s="315">
        <f t="shared" si="29"/>
        <v>115781.8</v>
      </c>
      <c r="G72" s="513">
        <v>0</v>
      </c>
      <c r="H72" s="603">
        <f t="shared" si="30"/>
        <v>0</v>
      </c>
      <c r="I72" s="633" t="e">
        <f>#REF!</f>
        <v>#REF!</v>
      </c>
      <c r="J72" s="514" t="e">
        <f t="shared" si="37"/>
        <v>#REF!</v>
      </c>
      <c r="K72" s="513" t="e">
        <f t="shared" si="31"/>
        <v>#REF!</v>
      </c>
      <c r="L72" s="515" t="e">
        <f t="shared" si="32"/>
        <v>#REF!</v>
      </c>
      <c r="M72" s="516" t="e">
        <f t="shared" si="33"/>
        <v>#REF!</v>
      </c>
      <c r="N72" s="317" t="e">
        <f t="shared" si="34"/>
        <v>#REF!</v>
      </c>
      <c r="O72" s="318" t="e">
        <f t="shared" si="35"/>
        <v>#REF!</v>
      </c>
      <c r="P72" s="316" t="e">
        <f t="shared" si="36"/>
        <v>#REF!</v>
      </c>
      <c r="Q72" s="199"/>
    </row>
    <row r="73" spans="1:17" s="16" customFormat="1" ht="11.25" customHeight="1">
      <c r="A73" s="604" t="s">
        <v>755</v>
      </c>
      <c r="B73" s="604" t="s">
        <v>1206</v>
      </c>
      <c r="C73" s="614" t="s">
        <v>36</v>
      </c>
      <c r="D73" s="613" t="s">
        <v>1585</v>
      </c>
      <c r="E73" s="599" t="s">
        <v>1775</v>
      </c>
      <c r="F73" s="315">
        <f t="shared" si="29"/>
        <v>29987.97</v>
      </c>
      <c r="G73" s="513">
        <v>0</v>
      </c>
      <c r="H73" s="603">
        <f t="shared" si="30"/>
        <v>0</v>
      </c>
      <c r="I73" s="633" t="e">
        <f>#REF!</f>
        <v>#REF!</v>
      </c>
      <c r="J73" s="514" t="e">
        <f t="shared" si="37"/>
        <v>#REF!</v>
      </c>
      <c r="K73" s="513" t="e">
        <f t="shared" si="31"/>
        <v>#REF!</v>
      </c>
      <c r="L73" s="515" t="e">
        <f t="shared" si="32"/>
        <v>#REF!</v>
      </c>
      <c r="M73" s="516" t="e">
        <f t="shared" si="33"/>
        <v>#REF!</v>
      </c>
      <c r="N73" s="317" t="e">
        <f t="shared" si="34"/>
        <v>#REF!</v>
      </c>
      <c r="O73" s="318" t="e">
        <f t="shared" si="35"/>
        <v>#REF!</v>
      </c>
      <c r="P73" s="316" t="e">
        <f t="shared" si="36"/>
        <v>#REF!</v>
      </c>
      <c r="Q73" s="199"/>
    </row>
    <row r="74" spans="1:17" s="16" customFormat="1" ht="11.25" customHeight="1">
      <c r="A74" s="604" t="s">
        <v>756</v>
      </c>
      <c r="B74" s="604" t="s">
        <v>1207</v>
      </c>
      <c r="C74" s="614" t="s">
        <v>47</v>
      </c>
      <c r="D74" s="613" t="s">
        <v>1586</v>
      </c>
      <c r="E74" s="599" t="s">
        <v>1772</v>
      </c>
      <c r="F74" s="315">
        <f t="shared" si="29"/>
        <v>73844.98</v>
      </c>
      <c r="G74" s="513">
        <v>0</v>
      </c>
      <c r="H74" s="603">
        <f t="shared" si="30"/>
        <v>0</v>
      </c>
      <c r="I74" s="633" t="e">
        <f>#REF!</f>
        <v>#REF!</v>
      </c>
      <c r="J74" s="514" t="e">
        <f t="shared" si="37"/>
        <v>#REF!</v>
      </c>
      <c r="K74" s="513" t="e">
        <f t="shared" si="31"/>
        <v>#REF!</v>
      </c>
      <c r="L74" s="515" t="e">
        <f t="shared" si="32"/>
        <v>#REF!</v>
      </c>
      <c r="M74" s="516" t="e">
        <f t="shared" si="33"/>
        <v>#REF!</v>
      </c>
      <c r="N74" s="317" t="e">
        <f t="shared" si="34"/>
        <v>#REF!</v>
      </c>
      <c r="O74" s="318" t="e">
        <f t="shared" si="35"/>
        <v>#REF!</v>
      </c>
      <c r="P74" s="316" t="e">
        <f t="shared" si="36"/>
        <v>#REF!</v>
      </c>
      <c r="Q74" s="199"/>
    </row>
    <row r="75" spans="1:17" s="16" customFormat="1" ht="11.25" customHeight="1">
      <c r="A75" s="492" t="s">
        <v>760</v>
      </c>
      <c r="B75" s="608" t="s">
        <v>1209</v>
      </c>
      <c r="C75" s="690"/>
      <c r="D75" s="680"/>
      <c r="E75" s="681"/>
      <c r="F75" s="682">
        <f t="shared" si="29"/>
        <v>0</v>
      </c>
      <c r="G75" s="683">
        <v>0</v>
      </c>
      <c r="H75" s="684">
        <f t="shared" si="30"/>
        <v>0</v>
      </c>
      <c r="I75" s="633"/>
      <c r="J75" s="684"/>
      <c r="K75" s="683">
        <f t="shared" si="31"/>
        <v>0</v>
      </c>
      <c r="L75" s="685">
        <f t="shared" si="32"/>
        <v>0</v>
      </c>
      <c r="M75" s="686" t="str">
        <f t="shared" si="33"/>
        <v/>
      </c>
      <c r="N75" s="687">
        <f t="shared" si="34"/>
        <v>0</v>
      </c>
      <c r="O75" s="688">
        <f t="shared" si="35"/>
        <v>0</v>
      </c>
      <c r="P75" s="689" t="str">
        <f t="shared" si="36"/>
        <v/>
      </c>
      <c r="Q75" s="199"/>
    </row>
    <row r="76" spans="1:17" s="16" customFormat="1" ht="11.25" customHeight="1">
      <c r="A76" s="607" t="s">
        <v>764</v>
      </c>
      <c r="B76" s="607" t="s">
        <v>1148</v>
      </c>
      <c r="C76" s="690"/>
      <c r="D76" s="680"/>
      <c r="E76" s="681"/>
      <c r="F76" s="682">
        <f t="shared" si="29"/>
        <v>0</v>
      </c>
      <c r="G76" s="683">
        <v>0</v>
      </c>
      <c r="H76" s="684">
        <f t="shared" si="30"/>
        <v>0</v>
      </c>
      <c r="I76" s="633"/>
      <c r="J76" s="684"/>
      <c r="K76" s="683">
        <f t="shared" si="31"/>
        <v>0</v>
      </c>
      <c r="L76" s="685">
        <f t="shared" si="32"/>
        <v>0</v>
      </c>
      <c r="M76" s="686" t="str">
        <f t="shared" si="33"/>
        <v/>
      </c>
      <c r="N76" s="687">
        <f t="shared" si="34"/>
        <v>0</v>
      </c>
      <c r="O76" s="688">
        <f t="shared" si="35"/>
        <v>0</v>
      </c>
      <c r="P76" s="689" t="str">
        <f t="shared" si="36"/>
        <v/>
      </c>
      <c r="Q76" s="199"/>
    </row>
    <row r="77" spans="1:17" s="16" customFormat="1" ht="11.25" customHeight="1">
      <c r="A77" s="604" t="s">
        <v>765</v>
      </c>
      <c r="B77" s="604" t="s">
        <v>1190</v>
      </c>
      <c r="C77" s="614" t="s">
        <v>39</v>
      </c>
      <c r="D77" s="613" t="s">
        <v>1591</v>
      </c>
      <c r="E77" s="599" t="s">
        <v>1768</v>
      </c>
      <c r="F77" s="315">
        <f t="shared" si="29"/>
        <v>24835.03</v>
      </c>
      <c r="G77" s="513">
        <v>0</v>
      </c>
      <c r="H77" s="603">
        <f t="shared" si="30"/>
        <v>0</v>
      </c>
      <c r="I77" s="633" t="e">
        <f>#REF!</f>
        <v>#REF!</v>
      </c>
      <c r="J77" s="514" t="e">
        <f>I77*E77</f>
        <v>#REF!</v>
      </c>
      <c r="K77" s="513" t="e">
        <f t="shared" si="31"/>
        <v>#REF!</v>
      </c>
      <c r="L77" s="515" t="e">
        <f t="shared" si="32"/>
        <v>#REF!</v>
      </c>
      <c r="M77" s="516" t="e">
        <f t="shared" si="33"/>
        <v>#REF!</v>
      </c>
      <c r="N77" s="317" t="e">
        <f t="shared" si="34"/>
        <v>#REF!</v>
      </c>
      <c r="O77" s="318" t="e">
        <f t="shared" si="35"/>
        <v>#REF!</v>
      </c>
      <c r="P77" s="316" t="e">
        <f t="shared" si="36"/>
        <v>#REF!</v>
      </c>
      <c r="Q77" s="199"/>
    </row>
    <row r="78" spans="1:17" s="16" customFormat="1" ht="11.25" customHeight="1" thickBot="1">
      <c r="A78" s="604" t="s">
        <v>766</v>
      </c>
      <c r="B78" s="604" t="s">
        <v>1210</v>
      </c>
      <c r="C78" s="614" t="s">
        <v>36</v>
      </c>
      <c r="D78" s="613" t="s">
        <v>1592</v>
      </c>
      <c r="E78" s="599" t="s">
        <v>1770</v>
      </c>
      <c r="F78" s="315">
        <f t="shared" si="29"/>
        <v>8890.2199999999993</v>
      </c>
      <c r="G78" s="513">
        <v>0</v>
      </c>
      <c r="H78" s="603">
        <f t="shared" si="30"/>
        <v>0</v>
      </c>
      <c r="I78" s="633" t="e">
        <f>#REF!</f>
        <v>#REF!</v>
      </c>
      <c r="J78" s="514" t="e">
        <f t="shared" si="37"/>
        <v>#REF!</v>
      </c>
      <c r="K78" s="513" t="e">
        <f t="shared" si="31"/>
        <v>#REF!</v>
      </c>
      <c r="L78" s="515" t="e">
        <f t="shared" si="32"/>
        <v>#REF!</v>
      </c>
      <c r="M78" s="516" t="e">
        <f t="shared" si="33"/>
        <v>#REF!</v>
      </c>
      <c r="N78" s="317" t="e">
        <f t="shared" si="34"/>
        <v>#REF!</v>
      </c>
      <c r="O78" s="318" t="e">
        <f t="shared" si="35"/>
        <v>#REF!</v>
      </c>
      <c r="P78" s="316" t="e">
        <f t="shared" si="36"/>
        <v>#REF!</v>
      </c>
      <c r="Q78" s="199"/>
    </row>
    <row r="79" spans="1:17" s="16" customFormat="1" ht="11.25" customHeight="1">
      <c r="A79" s="606" t="s">
        <v>44</v>
      </c>
      <c r="B79" s="606" t="s">
        <v>1220</v>
      </c>
      <c r="C79" s="690"/>
      <c r="D79" s="680"/>
      <c r="E79" s="681"/>
      <c r="F79" s="682">
        <f t="shared" ref="F79:F82" si="38">+ROUND(D79*E79,2)</f>
        <v>0</v>
      </c>
      <c r="G79" s="683">
        <v>0</v>
      </c>
      <c r="H79" s="684">
        <f t="shared" ref="H79:H82" si="39">G79*E79</f>
        <v>0</v>
      </c>
      <c r="I79" s="633"/>
      <c r="J79" s="603"/>
      <c r="K79" s="683">
        <f t="shared" ref="K79:K82" si="40">G79+I79</f>
        <v>0</v>
      </c>
      <c r="L79" s="685">
        <f t="shared" ref="L79:L82" si="41">K79*E79</f>
        <v>0</v>
      </c>
      <c r="M79" s="686" t="str">
        <f t="shared" ref="M79:M82" si="42">+IF(C79=0,"",L79/F79)</f>
        <v/>
      </c>
      <c r="N79" s="687">
        <f t="shared" ref="N79:N82" si="43">D79-K79</f>
        <v>0</v>
      </c>
      <c r="O79" s="688">
        <f t="shared" ref="O79:O82" si="44">ROUND((N79*E79),2)</f>
        <v>0</v>
      </c>
      <c r="P79" s="689" t="str">
        <f t="shared" ref="P79:P82" si="45">+IF(F79=0,"",O79/F79)</f>
        <v/>
      </c>
      <c r="Q79" s="199"/>
    </row>
    <row r="80" spans="1:17" s="16" customFormat="1" ht="11.25" customHeight="1">
      <c r="A80" s="492" t="s">
        <v>46</v>
      </c>
      <c r="B80" s="608" t="s">
        <v>1221</v>
      </c>
      <c r="C80" s="690"/>
      <c r="D80" s="680"/>
      <c r="E80" s="681"/>
      <c r="F80" s="682">
        <f t="shared" si="38"/>
        <v>0</v>
      </c>
      <c r="G80" s="683">
        <v>0</v>
      </c>
      <c r="H80" s="684">
        <f t="shared" si="39"/>
        <v>0</v>
      </c>
      <c r="I80" s="633"/>
      <c r="J80" s="684"/>
      <c r="K80" s="683">
        <f t="shared" si="40"/>
        <v>0</v>
      </c>
      <c r="L80" s="685">
        <f t="shared" si="41"/>
        <v>0</v>
      </c>
      <c r="M80" s="686" t="str">
        <f t="shared" si="42"/>
        <v/>
      </c>
      <c r="N80" s="687">
        <f t="shared" si="43"/>
        <v>0</v>
      </c>
      <c r="O80" s="688">
        <f t="shared" si="44"/>
        <v>0</v>
      </c>
      <c r="P80" s="689" t="str">
        <f t="shared" si="45"/>
        <v/>
      </c>
      <c r="Q80" s="199"/>
    </row>
    <row r="81" spans="1:18" s="16" customFormat="1" ht="11.25" customHeight="1">
      <c r="A81" s="607" t="s">
        <v>48</v>
      </c>
      <c r="B81" s="607" t="s">
        <v>1222</v>
      </c>
      <c r="C81" s="690"/>
      <c r="D81" s="680"/>
      <c r="E81" s="681"/>
      <c r="F81" s="682">
        <f t="shared" si="38"/>
        <v>0</v>
      </c>
      <c r="G81" s="683">
        <v>0</v>
      </c>
      <c r="H81" s="684">
        <f t="shared" si="39"/>
        <v>0</v>
      </c>
      <c r="I81" s="633"/>
      <c r="J81" s="684"/>
      <c r="K81" s="683">
        <f t="shared" si="40"/>
        <v>0</v>
      </c>
      <c r="L81" s="685">
        <f t="shared" si="41"/>
        <v>0</v>
      </c>
      <c r="M81" s="686" t="str">
        <f t="shared" si="42"/>
        <v/>
      </c>
      <c r="N81" s="687">
        <f t="shared" si="43"/>
        <v>0</v>
      </c>
      <c r="O81" s="688">
        <f t="shared" si="44"/>
        <v>0</v>
      </c>
      <c r="P81" s="689" t="str">
        <f t="shared" si="45"/>
        <v/>
      </c>
      <c r="Q81" s="199"/>
    </row>
    <row r="82" spans="1:18" s="16" customFormat="1" ht="11.25" customHeight="1">
      <c r="A82" s="604" t="s">
        <v>787</v>
      </c>
      <c r="B82" s="604" t="s">
        <v>1223</v>
      </c>
      <c r="C82" s="614" t="s">
        <v>36</v>
      </c>
      <c r="D82" s="613" t="s">
        <v>1605</v>
      </c>
      <c r="E82" s="599" t="s">
        <v>1780</v>
      </c>
      <c r="F82" s="315">
        <f t="shared" si="38"/>
        <v>10809.42</v>
      </c>
      <c r="G82" s="513">
        <v>0</v>
      </c>
      <c r="H82" s="603">
        <f t="shared" si="39"/>
        <v>0</v>
      </c>
      <c r="I82" s="633" t="e">
        <f>#REF!</f>
        <v>#REF!</v>
      </c>
      <c r="J82" s="514" t="e">
        <f t="shared" ref="J82" si="46">I82*E82</f>
        <v>#REF!</v>
      </c>
      <c r="K82" s="513" t="e">
        <f t="shared" si="40"/>
        <v>#REF!</v>
      </c>
      <c r="L82" s="515" t="e">
        <f t="shared" si="41"/>
        <v>#REF!</v>
      </c>
      <c r="M82" s="516" t="e">
        <f t="shared" si="42"/>
        <v>#REF!</v>
      </c>
      <c r="N82" s="317" t="e">
        <f t="shared" si="43"/>
        <v>#REF!</v>
      </c>
      <c r="O82" s="318" t="e">
        <f t="shared" si="44"/>
        <v>#REF!</v>
      </c>
      <c r="P82" s="316" t="e">
        <f t="shared" si="45"/>
        <v>#REF!</v>
      </c>
      <c r="Q82" s="199"/>
    </row>
    <row r="83" spans="1:18" ht="11.25" customHeight="1">
      <c r="A83" s="643"/>
      <c r="B83" s="644" t="s">
        <v>58</v>
      </c>
      <c r="C83" s="632"/>
      <c r="D83" s="632"/>
      <c r="E83" s="632"/>
      <c r="F83" s="645">
        <f>ROUND(SUM(F16:F82),2)</f>
        <v>386502.5</v>
      </c>
      <c r="G83" s="675"/>
      <c r="H83" s="645">
        <f>SUM(H16:H82)</f>
        <v>9891.2623999999996</v>
      </c>
      <c r="I83" s="28">
        <f>H83/F83</f>
        <v>2.5591716483075788E-2</v>
      </c>
      <c r="J83" s="645" t="e">
        <f>ROUND(SUM(J16:J82),2)</f>
        <v>#REF!</v>
      </c>
      <c r="K83" s="28" t="e">
        <f>J83/F83</f>
        <v>#REF!</v>
      </c>
      <c r="L83" s="645" t="e">
        <f>SUM(L16:L82)</f>
        <v>#REF!</v>
      </c>
      <c r="M83" s="28" t="e">
        <f>+L83/F$83</f>
        <v>#REF!</v>
      </c>
      <c r="N83" s="678"/>
      <c r="O83" s="645" t="e">
        <f>SUM(O16:O82)</f>
        <v>#REF!</v>
      </c>
      <c r="P83" s="646" t="e">
        <f>O83/F83</f>
        <v>#REF!</v>
      </c>
      <c r="Q83" s="26"/>
      <c r="R83" s="26" t="e">
        <f>Q83-O83</f>
        <v>#REF!</v>
      </c>
    </row>
    <row r="84" spans="1:18" ht="11.25" customHeight="1">
      <c r="A84" s="643"/>
      <c r="B84" s="674" t="s">
        <v>1792</v>
      </c>
      <c r="C84" s="676">
        <v>0.13514167899999999</v>
      </c>
      <c r="D84" s="632"/>
      <c r="E84" s="632"/>
      <c r="F84" s="645">
        <f>ROUND((F83*C84),2)</f>
        <v>52232.6</v>
      </c>
      <c r="G84" s="675"/>
      <c r="H84" s="645">
        <f>ROUND((H83*C84),2)</f>
        <v>1336.72</v>
      </c>
      <c r="I84" s="28"/>
      <c r="J84" s="645" t="e">
        <f>ROUND((J83*C84),2)</f>
        <v>#REF!</v>
      </c>
      <c r="K84" s="28"/>
      <c r="L84" s="645" t="e">
        <f>ROUND((L83*C84),2)</f>
        <v>#REF!</v>
      </c>
      <c r="M84" s="28"/>
      <c r="N84" s="678"/>
      <c r="O84" s="645" t="e">
        <f>F84-L84</f>
        <v>#REF!</v>
      </c>
      <c r="P84" s="646"/>
      <c r="Q84" s="26"/>
      <c r="R84" s="26"/>
    </row>
    <row r="85" spans="1:18" ht="11.25" customHeight="1">
      <c r="A85" s="643"/>
      <c r="B85" s="674" t="s">
        <v>1793</v>
      </c>
      <c r="C85" s="676">
        <v>2.5765203E-2</v>
      </c>
      <c r="D85" s="632"/>
      <c r="E85" s="632"/>
      <c r="F85" s="645">
        <f>ROUND((F83*C85),2)</f>
        <v>9958.32</v>
      </c>
      <c r="G85" s="675"/>
      <c r="H85" s="645">
        <f>ROUND((H83*C85),2)</f>
        <v>254.85</v>
      </c>
      <c r="I85" s="28"/>
      <c r="J85" s="645"/>
      <c r="K85" s="28"/>
      <c r="L85" s="645"/>
      <c r="M85" s="28"/>
      <c r="N85" s="678"/>
      <c r="O85" s="645">
        <f>F85-L85</f>
        <v>9958.32</v>
      </c>
      <c r="P85" s="646"/>
      <c r="Q85" s="26"/>
      <c r="R85" s="26"/>
    </row>
    <row r="86" spans="1:18" ht="11.25" customHeight="1">
      <c r="A86" s="643"/>
      <c r="B86" s="674" t="s">
        <v>1794</v>
      </c>
      <c r="C86" s="676">
        <v>5.4089901000000003E-2</v>
      </c>
      <c r="D86" s="632"/>
      <c r="E86" s="632"/>
      <c r="F86" s="645">
        <f>ROUND((F83*C86),2)</f>
        <v>20905.88</v>
      </c>
      <c r="G86" s="675"/>
      <c r="H86" s="645">
        <f>ROUND((H83*C86),2)</f>
        <v>535.02</v>
      </c>
      <c r="I86" s="28"/>
      <c r="J86" s="645" t="e">
        <f>ROUND((J83*C86),2)</f>
        <v>#REF!</v>
      </c>
      <c r="K86" s="28"/>
      <c r="L86" s="645" t="e">
        <f>ROUND((L83*C86),2)</f>
        <v>#REF!</v>
      </c>
      <c r="M86" s="28"/>
      <c r="N86" s="678"/>
      <c r="O86" s="645" t="e">
        <f t="shared" ref="O86:O88" si="47">F86-L86</f>
        <v>#REF!</v>
      </c>
      <c r="P86" s="646"/>
      <c r="Q86" s="26"/>
      <c r="R86" s="26"/>
    </row>
    <row r="87" spans="1:18" ht="11.25" customHeight="1">
      <c r="A87" s="643"/>
      <c r="B87" s="674" t="s">
        <v>1795</v>
      </c>
      <c r="C87" s="676">
        <v>1.4803359E-2</v>
      </c>
      <c r="D87" s="632"/>
      <c r="E87" s="632"/>
      <c r="F87" s="645">
        <f>ROUND((F83*C87),2)</f>
        <v>5721.54</v>
      </c>
      <c r="G87" s="675"/>
      <c r="H87" s="645">
        <f>ROUND((H83*C87),2)</f>
        <v>146.41999999999999</v>
      </c>
      <c r="I87" s="28"/>
      <c r="J87" s="645"/>
      <c r="K87" s="28"/>
      <c r="L87" s="645"/>
      <c r="M87" s="28"/>
      <c r="N87" s="678"/>
      <c r="O87" s="645">
        <f t="shared" si="47"/>
        <v>5721.54</v>
      </c>
      <c r="P87" s="646"/>
      <c r="Q87" s="26"/>
      <c r="R87" s="26"/>
    </row>
    <row r="88" spans="1:18" ht="11.25" customHeight="1">
      <c r="A88" s="643"/>
      <c r="B88" s="674" t="s">
        <v>1796</v>
      </c>
      <c r="C88" s="676">
        <v>3.2312274000000002E-2</v>
      </c>
      <c r="D88" s="632"/>
      <c r="E88" s="632"/>
      <c r="F88" s="645">
        <f>ROUND((F83*C88),2)</f>
        <v>12488.77</v>
      </c>
      <c r="G88" s="675"/>
      <c r="H88" s="645">
        <f>ROUND((H83*C88),2)</f>
        <v>319.61</v>
      </c>
      <c r="I88" s="28"/>
      <c r="J88" s="645"/>
      <c r="K88" s="28"/>
      <c r="L88" s="645"/>
      <c r="M88" s="28"/>
      <c r="N88" s="678"/>
      <c r="O88" s="645">
        <f t="shared" si="47"/>
        <v>12488.77</v>
      </c>
      <c r="P88" s="646"/>
      <c r="Q88" s="26"/>
      <c r="R88" s="26"/>
    </row>
    <row r="89" spans="1:18" ht="11.25" customHeight="1">
      <c r="A89" s="643"/>
      <c r="B89" s="674" t="s">
        <v>1797</v>
      </c>
      <c r="C89" s="677"/>
      <c r="D89" s="632"/>
      <c r="E89" s="632"/>
      <c r="F89" s="645">
        <f>ROUND(SUM(F83:F88),2)</f>
        <v>487809.61</v>
      </c>
      <c r="G89" s="675"/>
      <c r="H89" s="645">
        <f>SUM(H83:H88)</f>
        <v>12483.8824</v>
      </c>
      <c r="I89" s="28"/>
      <c r="J89" s="645" t="e">
        <f>SUM(J83:J88)</f>
        <v>#REF!</v>
      </c>
      <c r="K89" s="28"/>
      <c r="L89" s="645" t="e">
        <f>SUM(L83:L88)</f>
        <v>#REF!</v>
      </c>
      <c r="M89" s="28"/>
      <c r="N89" s="678"/>
      <c r="O89" s="645" t="e">
        <f>ROUND(SUM(O83:O88),2)</f>
        <v>#REF!</v>
      </c>
      <c r="P89" s="646"/>
      <c r="Q89" s="26"/>
      <c r="R89" s="26"/>
    </row>
    <row r="90" spans="1:18" ht="11.25" customHeight="1">
      <c r="A90" s="643"/>
      <c r="B90" s="674" t="s">
        <v>1798</v>
      </c>
      <c r="C90" s="677"/>
      <c r="D90" s="632"/>
      <c r="E90" s="632"/>
      <c r="F90" s="645">
        <v>28300.9</v>
      </c>
      <c r="G90" s="675"/>
      <c r="H90" s="645">
        <v>0</v>
      </c>
      <c r="I90" s="972"/>
      <c r="J90" s="645"/>
      <c r="K90" s="677"/>
      <c r="L90" s="645"/>
      <c r="M90" s="28"/>
      <c r="N90" s="678"/>
      <c r="O90" s="645">
        <v>28300.9</v>
      </c>
      <c r="P90" s="645"/>
      <c r="Q90" s="26"/>
    </row>
    <row r="91" spans="1:18" ht="11.25" customHeight="1">
      <c r="A91" s="643"/>
      <c r="B91" s="674" t="s">
        <v>1799</v>
      </c>
      <c r="C91" s="677"/>
      <c r="D91" s="632"/>
      <c r="E91" s="632"/>
      <c r="F91" s="645">
        <v>77006.47</v>
      </c>
      <c r="G91" s="675"/>
      <c r="H91" s="645">
        <v>0</v>
      </c>
      <c r="I91" s="972"/>
      <c r="J91" s="645"/>
      <c r="K91" s="677"/>
      <c r="L91" s="645"/>
      <c r="M91" s="28"/>
      <c r="N91" s="678"/>
      <c r="O91" s="645">
        <v>77006.47</v>
      </c>
      <c r="P91" s="645"/>
      <c r="Q91" s="175"/>
    </row>
    <row r="92" spans="1:18" ht="11.25" customHeight="1">
      <c r="A92" s="643"/>
      <c r="B92" s="674" t="s">
        <v>1800</v>
      </c>
      <c r="C92" s="677"/>
      <c r="D92" s="632"/>
      <c r="E92" s="632"/>
      <c r="F92" s="645">
        <v>26717.1</v>
      </c>
      <c r="G92" s="675"/>
      <c r="H92" s="645">
        <v>0</v>
      </c>
      <c r="I92" s="972"/>
      <c r="J92" s="645"/>
      <c r="K92" s="677"/>
      <c r="L92" s="645"/>
      <c r="M92" s="28"/>
      <c r="N92" s="678"/>
      <c r="O92" s="645">
        <v>26717.1</v>
      </c>
      <c r="P92" s="645"/>
      <c r="Q92" s="26"/>
    </row>
    <row r="93" spans="1:18" ht="11.25" customHeight="1">
      <c r="A93" s="643"/>
      <c r="B93" s="674" t="s">
        <v>1801</v>
      </c>
      <c r="C93" s="677"/>
      <c r="D93" s="632"/>
      <c r="E93" s="632"/>
      <c r="F93" s="645">
        <v>16525.419999999998</v>
      </c>
      <c r="G93" s="675"/>
      <c r="H93" s="645">
        <v>0</v>
      </c>
      <c r="I93" s="972"/>
      <c r="J93" s="645"/>
      <c r="K93" s="677"/>
      <c r="L93" s="645"/>
      <c r="M93" s="28"/>
      <c r="N93" s="678"/>
      <c r="O93" s="645">
        <v>16525.419999999998</v>
      </c>
      <c r="P93" s="645"/>
      <c r="Q93" s="26"/>
    </row>
    <row r="94" spans="1:18" ht="11.25" customHeight="1">
      <c r="A94" s="643"/>
      <c r="B94" s="648" t="s">
        <v>60</v>
      </c>
      <c r="C94" s="632"/>
      <c r="D94" s="632"/>
      <c r="E94" s="632"/>
      <c r="F94" s="649">
        <f>SUM(F89:F93)</f>
        <v>636359.5</v>
      </c>
      <c r="G94" s="675"/>
      <c r="H94" s="650">
        <f>SUM(H83:H93)</f>
        <v>24967.764800000001</v>
      </c>
      <c r="I94" s="28">
        <f>H94/F94</f>
        <v>3.9235314000969579E-2</v>
      </c>
      <c r="J94" s="651" t="e">
        <f>SUM(J89:J93)</f>
        <v>#REF!</v>
      </c>
      <c r="K94" s="28" t="e">
        <f>J94/F94</f>
        <v>#REF!</v>
      </c>
      <c r="L94" s="651" t="e">
        <f>ROUND(SUM(L89:L93),2)</f>
        <v>#REF!</v>
      </c>
      <c r="M94" s="28" t="e">
        <f>+L94/F94</f>
        <v>#REF!</v>
      </c>
      <c r="N94" s="678"/>
      <c r="O94" s="649" t="e">
        <f>ROUND(SUM(O89:O93),2)</f>
        <v>#REF!</v>
      </c>
      <c r="P94" s="646" t="e">
        <f>O94/F94</f>
        <v>#REF!</v>
      </c>
      <c r="Q94" s="200"/>
    </row>
    <row r="95" spans="1:18" hidden="1">
      <c r="A95" s="643"/>
      <c r="B95" s="648"/>
      <c r="C95" s="652"/>
      <c r="D95" s="653"/>
      <c r="E95" s="654"/>
      <c r="F95" s="655"/>
      <c r="G95" s="971"/>
      <c r="H95" s="647"/>
      <c r="I95" s="971"/>
      <c r="J95" s="971"/>
      <c r="K95" s="656"/>
      <c r="L95" s="971"/>
      <c r="M95" s="657"/>
      <c r="N95" s="654"/>
      <c r="O95" s="658"/>
      <c r="P95" s="658"/>
      <c r="Q95" s="26"/>
    </row>
    <row r="96" spans="1:18" hidden="1">
      <c r="A96" s="659"/>
      <c r="B96" s="648"/>
      <c r="C96" s="652"/>
      <c r="D96" s="653"/>
      <c r="E96" s="654"/>
      <c r="F96" s="655"/>
      <c r="G96" s="971"/>
      <c r="H96" s="652"/>
      <c r="I96" s="971"/>
      <c r="J96" s="971"/>
      <c r="K96" s="656"/>
      <c r="L96" s="971"/>
      <c r="M96" s="657"/>
      <c r="N96" s="654"/>
      <c r="O96" s="658"/>
      <c r="P96" s="658"/>
    </row>
    <row r="97" spans="1:17" ht="13.2" hidden="1" customHeight="1">
      <c r="A97" s="643"/>
      <c r="B97" s="660"/>
      <c r="C97" s="1447" t="s">
        <v>61</v>
      </c>
      <c r="D97" s="1448"/>
      <c r="E97" s="1448"/>
      <c r="F97" s="1448"/>
      <c r="G97" s="1449"/>
      <c r="H97" s="661">
        <f>+H83/F83</f>
        <v>2.5591716483075788E-2</v>
      </c>
      <c r="I97" s="972"/>
      <c r="J97" s="662" t="e">
        <f>+J83/F83</f>
        <v>#REF!</v>
      </c>
      <c r="K97" s="602"/>
      <c r="L97" s="970"/>
      <c r="M97" s="662" t="e">
        <f>+L83/F83</f>
        <v>#REF!</v>
      </c>
      <c r="N97" s="663"/>
      <c r="O97" s="664"/>
      <c r="P97" s="665" t="e">
        <f>+O83/F83</f>
        <v>#REF!</v>
      </c>
      <c r="Q97" s="200"/>
    </row>
    <row r="98" spans="1:17" ht="13.2" hidden="1">
      <c r="A98" s="659"/>
      <c r="B98" s="648"/>
      <c r="C98" s="666"/>
      <c r="D98" s="667"/>
      <c r="E98" s="668"/>
      <c r="F98" s="669"/>
      <c r="G98" s="670"/>
      <c r="H98" s="670"/>
      <c r="I98" s="972"/>
      <c r="J98" s="972"/>
      <c r="K98" s="666"/>
      <c r="L98" s="972"/>
      <c r="M98" s="666"/>
      <c r="N98" s="671"/>
      <c r="O98" s="672"/>
      <c r="P98" s="673"/>
    </row>
    <row r="99" spans="1:17" ht="13.2" hidden="1">
      <c r="A99" s="659"/>
      <c r="B99" s="644" t="s">
        <v>1792</v>
      </c>
      <c r="C99" s="666">
        <v>0.13514169600000001</v>
      </c>
      <c r="D99" s="667"/>
      <c r="E99" s="668"/>
      <c r="F99" s="669">
        <f>F83*C99</f>
        <v>52232.603358240005</v>
      </c>
      <c r="G99" s="670"/>
      <c r="H99" s="670"/>
      <c r="I99" s="972"/>
      <c r="J99" s="972"/>
      <c r="K99" s="666"/>
      <c r="L99" s="972"/>
      <c r="M99" s="666"/>
      <c r="N99" s="671"/>
      <c r="O99" s="672"/>
      <c r="P99" s="673"/>
    </row>
    <row r="100" spans="1:17" ht="13.2" hidden="1">
      <c r="A100" s="659"/>
      <c r="B100" s="644" t="s">
        <v>1793</v>
      </c>
      <c r="C100" s="666">
        <v>2.5765203E-2</v>
      </c>
      <c r="D100" s="667"/>
      <c r="E100" s="668"/>
      <c r="F100" s="669">
        <f>F90*C100</f>
        <v>729.17843358269999</v>
      </c>
      <c r="G100" s="670"/>
      <c r="H100" s="670"/>
      <c r="I100" s="972"/>
      <c r="J100" s="972"/>
      <c r="K100" s="666"/>
      <c r="L100" s="972"/>
      <c r="M100" s="666"/>
      <c r="N100" s="671"/>
      <c r="O100" s="672"/>
      <c r="P100" s="673"/>
    </row>
    <row r="101" spans="1:17" ht="13.2" hidden="1">
      <c r="A101" s="659"/>
      <c r="B101" s="644" t="s">
        <v>1794</v>
      </c>
      <c r="C101" s="666">
        <v>5.4089901000000003E-2</v>
      </c>
      <c r="D101" s="667"/>
      <c r="E101" s="668"/>
      <c r="F101" s="669">
        <f>F91*C101</f>
        <v>4165.2723386594698</v>
      </c>
      <c r="G101" s="670"/>
      <c r="H101" s="670"/>
      <c r="I101" s="972"/>
      <c r="J101" s="972"/>
      <c r="K101" s="666"/>
      <c r="L101" s="972"/>
      <c r="M101" s="666"/>
      <c r="N101" s="671"/>
      <c r="O101" s="672"/>
      <c r="P101" s="673"/>
    </row>
    <row r="102" spans="1:17" ht="13.2" hidden="1">
      <c r="A102" s="659"/>
      <c r="B102" s="644" t="s">
        <v>1795</v>
      </c>
      <c r="C102" s="666">
        <v>1.4803359E-2</v>
      </c>
      <c r="D102" s="667"/>
      <c r="E102" s="668"/>
      <c r="F102" s="669">
        <f>F92*C102</f>
        <v>395.50282273889997</v>
      </c>
      <c r="G102" s="670"/>
      <c r="H102" s="670"/>
      <c r="I102" s="972"/>
      <c r="J102" s="972"/>
      <c r="K102" s="666"/>
      <c r="L102" s="972"/>
      <c r="M102" s="666"/>
      <c r="N102" s="671"/>
      <c r="O102" s="672"/>
      <c r="P102" s="673"/>
    </row>
    <row r="103" spans="1:17" ht="13.2" hidden="1">
      <c r="A103" s="659"/>
      <c r="B103" s="644" t="s">
        <v>1796</v>
      </c>
      <c r="C103" s="666">
        <v>3.2312274000000002E-2</v>
      </c>
      <c r="D103" s="667"/>
      <c r="E103" s="668"/>
      <c r="F103" s="669">
        <f>F93*C103</f>
        <v>533.97389900507994</v>
      </c>
      <c r="G103" s="670"/>
      <c r="H103" s="670"/>
      <c r="I103" s="972"/>
      <c r="J103" s="972"/>
      <c r="K103" s="666"/>
      <c r="L103" s="972"/>
      <c r="M103" s="666"/>
      <c r="N103" s="671"/>
      <c r="O103" s="672"/>
      <c r="P103" s="673"/>
    </row>
    <row r="104" spans="1:17" ht="13.2" hidden="1">
      <c r="A104" s="659"/>
      <c r="B104" s="644" t="s">
        <v>1797</v>
      </c>
      <c r="C104" s="666"/>
      <c r="D104" s="667"/>
      <c r="E104" s="668"/>
      <c r="F104" s="669"/>
      <c r="G104" s="670"/>
      <c r="H104" s="670"/>
      <c r="I104" s="972"/>
      <c r="J104" s="972"/>
      <c r="K104" s="666"/>
      <c r="L104" s="972"/>
      <c r="M104" s="666"/>
      <c r="N104" s="671"/>
      <c r="O104" s="672"/>
      <c r="P104" s="673"/>
    </row>
    <row r="105" spans="1:17" ht="13.2" hidden="1">
      <c r="A105" s="659"/>
      <c r="B105" s="644" t="s">
        <v>1798</v>
      </c>
      <c r="C105" s="666"/>
      <c r="D105" s="667"/>
      <c r="E105" s="668"/>
      <c r="F105" s="669"/>
      <c r="G105" s="670"/>
      <c r="H105" s="670"/>
      <c r="I105" s="972"/>
      <c r="J105" s="972"/>
      <c r="K105" s="666"/>
      <c r="L105" s="972"/>
      <c r="M105" s="666"/>
      <c r="N105" s="671"/>
      <c r="O105" s="672"/>
      <c r="P105" s="673"/>
    </row>
    <row r="106" spans="1:17" ht="13.2" hidden="1">
      <c r="A106" s="659"/>
      <c r="B106" s="644" t="s">
        <v>1799</v>
      </c>
      <c r="C106" s="666"/>
      <c r="D106" s="667"/>
      <c r="E106" s="668"/>
      <c r="F106" s="669"/>
      <c r="G106" s="670"/>
      <c r="H106" s="670"/>
      <c r="I106" s="972"/>
      <c r="J106" s="972"/>
      <c r="K106" s="666"/>
      <c r="L106" s="972"/>
      <c r="M106" s="666"/>
      <c r="N106" s="671"/>
      <c r="O106" s="672"/>
      <c r="P106" s="673"/>
    </row>
    <row r="107" spans="1:17" ht="13.2" hidden="1">
      <c r="A107" s="659"/>
      <c r="B107" s="644" t="s">
        <v>1800</v>
      </c>
      <c r="C107" s="666"/>
      <c r="D107" s="667"/>
      <c r="E107" s="668"/>
      <c r="F107" s="669"/>
      <c r="G107" s="670"/>
      <c r="H107" s="670"/>
      <c r="I107" s="972"/>
      <c r="J107" s="972"/>
      <c r="K107" s="666"/>
      <c r="L107" s="972"/>
      <c r="M107" s="666"/>
      <c r="N107" s="671"/>
      <c r="O107" s="672"/>
      <c r="P107" s="673"/>
    </row>
    <row r="108" spans="1:17" ht="13.2" hidden="1">
      <c r="A108" s="659"/>
      <c r="B108" s="644" t="s">
        <v>1801</v>
      </c>
      <c r="C108" s="666"/>
      <c r="D108" s="667"/>
      <c r="E108" s="668"/>
      <c r="F108" s="669"/>
      <c r="G108" s="670"/>
      <c r="H108" s="670"/>
      <c r="I108" s="972"/>
      <c r="J108" s="972"/>
      <c r="K108" s="666"/>
      <c r="L108" s="972"/>
      <c r="M108" s="666"/>
      <c r="N108" s="671"/>
      <c r="O108" s="672"/>
      <c r="P108" s="673"/>
    </row>
    <row r="109" spans="1:17" ht="13.2" hidden="1">
      <c r="A109" s="659"/>
      <c r="B109" s="644" t="s">
        <v>1802</v>
      </c>
      <c r="C109" s="666"/>
      <c r="D109" s="667"/>
      <c r="E109" s="668"/>
      <c r="F109" s="669"/>
      <c r="G109" s="670"/>
      <c r="H109" s="670"/>
      <c r="I109" s="972"/>
      <c r="J109" s="972"/>
      <c r="K109" s="666"/>
      <c r="L109" s="972"/>
      <c r="M109" s="666"/>
      <c r="N109" s="671"/>
      <c r="O109" s="672"/>
      <c r="P109" s="673"/>
    </row>
    <row r="110" spans="1:17" hidden="1">
      <c r="A110" s="634"/>
      <c r="B110" s="634"/>
      <c r="C110" s="635"/>
      <c r="D110" s="636"/>
      <c r="E110" s="636"/>
      <c r="F110" s="636"/>
      <c r="G110" s="637"/>
      <c r="H110" s="638"/>
      <c r="I110" s="639"/>
      <c r="J110" s="638"/>
      <c r="K110" s="637"/>
      <c r="L110" s="638"/>
      <c r="M110" s="640"/>
      <c r="N110" s="641"/>
      <c r="O110" s="641"/>
      <c r="P110" s="642"/>
    </row>
    <row r="111" spans="1:17">
      <c r="G111" s="97">
        <v>2829924.5386533998</v>
      </c>
      <c r="H111" s="97">
        <v>2831657.7990533998</v>
      </c>
      <c r="O111" s="26" t="e">
        <f>F94-L94</f>
        <v>#REF!</v>
      </c>
    </row>
    <row r="112" spans="1:17">
      <c r="G112" s="517">
        <f>H83-G111</f>
        <v>-2820033.2762533999</v>
      </c>
      <c r="H112" s="517">
        <f>H83-H111</f>
        <v>-2821766.5366533999</v>
      </c>
      <c r="I112" s="518"/>
      <c r="L112" s="517"/>
      <c r="O112" s="26" t="e">
        <f>O94-O111</f>
        <v>#REF!</v>
      </c>
    </row>
    <row r="113" spans="8:12">
      <c r="H113" s="517"/>
      <c r="I113" s="518"/>
      <c r="L113" s="517"/>
    </row>
  </sheetData>
  <mergeCells count="27">
    <mergeCell ref="C97:G97"/>
    <mergeCell ref="K12:K13"/>
    <mergeCell ref="A2:P2"/>
    <mergeCell ref="B3:J3"/>
    <mergeCell ref="D4:L4"/>
    <mergeCell ref="O4:P4"/>
    <mergeCell ref="A10:A13"/>
    <mergeCell ref="B10:B13"/>
    <mergeCell ref="C10:C13"/>
    <mergeCell ref="D10:F11"/>
    <mergeCell ref="G10:M10"/>
    <mergeCell ref="N10:P11"/>
    <mergeCell ref="O12:O13"/>
    <mergeCell ref="P12:P13"/>
    <mergeCell ref="G11:H11"/>
    <mergeCell ref="I11:J11"/>
    <mergeCell ref="L12:L13"/>
    <mergeCell ref="M12:M13"/>
    <mergeCell ref="N12:N13"/>
    <mergeCell ref="J12:J13"/>
    <mergeCell ref="K11:M11"/>
    <mergeCell ref="I12:I13"/>
    <mergeCell ref="G12:G13"/>
    <mergeCell ref="D12:D13"/>
    <mergeCell ref="E12:E13"/>
    <mergeCell ref="F12:F13"/>
    <mergeCell ref="H12:H13"/>
  </mergeCells>
  <pageMargins left="0.7" right="0.7" top="0.75" bottom="0.75" header="0.3" footer="0.3"/>
  <pageSetup scale="36" orientation="portrait" r:id="rId1"/>
  <colBreaks count="1" manualBreakCount="1">
    <brk id="16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G33"/>
  <sheetViews>
    <sheetView workbookViewId="0">
      <selection sqref="A1:G1"/>
    </sheetView>
  </sheetViews>
  <sheetFormatPr baseColWidth="10" defaultRowHeight="13.2"/>
  <cols>
    <col min="2" max="5" width="15.6640625" customWidth="1"/>
    <col min="6" max="6" width="20.109375" customWidth="1"/>
    <col min="7" max="7" width="28.44140625" customWidth="1"/>
  </cols>
  <sheetData>
    <row r="1" spans="1:7">
      <c r="A1" s="1466" t="s">
        <v>515</v>
      </c>
      <c r="B1" s="1466"/>
      <c r="C1" s="1466"/>
      <c r="D1" s="1466"/>
      <c r="E1" s="1466"/>
      <c r="F1" s="1466"/>
      <c r="G1" s="1466"/>
    </row>
    <row r="2" spans="1:7">
      <c r="A2" s="903" t="s">
        <v>1837</v>
      </c>
      <c r="B2" s="904" t="s">
        <v>1839</v>
      </c>
      <c r="C2" s="904" t="s">
        <v>1840</v>
      </c>
      <c r="D2" s="904" t="s">
        <v>1841</v>
      </c>
      <c r="E2" s="904" t="s">
        <v>1842</v>
      </c>
      <c r="F2" s="904" t="s">
        <v>1197</v>
      </c>
      <c r="G2" s="904" t="s">
        <v>1854</v>
      </c>
    </row>
    <row r="3" spans="1:7">
      <c r="A3" s="911">
        <v>42917</v>
      </c>
      <c r="B3" s="906"/>
      <c r="C3" s="914"/>
      <c r="D3" s="914"/>
      <c r="E3" s="914"/>
      <c r="F3" s="914"/>
      <c r="G3" s="148"/>
    </row>
    <row r="4" spans="1:7">
      <c r="A4" s="912">
        <v>42918</v>
      </c>
      <c r="B4" s="915"/>
      <c r="C4" s="915"/>
      <c r="D4" s="915"/>
      <c r="E4" s="915"/>
      <c r="F4" s="915"/>
      <c r="G4" s="908"/>
    </row>
    <row r="5" spans="1:7">
      <c r="A5" s="911">
        <v>42919</v>
      </c>
      <c r="B5" s="914"/>
      <c r="C5" s="914"/>
      <c r="D5" s="914"/>
      <c r="E5" s="914"/>
      <c r="F5" s="914"/>
      <c r="G5" s="148"/>
    </row>
    <row r="6" spans="1:7">
      <c r="A6" s="911">
        <v>42920</v>
      </c>
      <c r="B6" s="914"/>
      <c r="C6" s="914"/>
      <c r="D6" s="914"/>
      <c r="E6" s="914"/>
      <c r="F6" s="914"/>
      <c r="G6" s="148"/>
    </row>
    <row r="7" spans="1:7" ht="39.6">
      <c r="A7" s="911">
        <v>42921</v>
      </c>
      <c r="B7" s="916"/>
      <c r="C7" s="914"/>
      <c r="D7" s="907" t="s">
        <v>1838</v>
      </c>
      <c r="E7" s="914"/>
      <c r="F7" s="914"/>
      <c r="G7" s="148"/>
    </row>
    <row r="8" spans="1:7" ht="52.8">
      <c r="A8" s="911">
        <v>42922</v>
      </c>
      <c r="B8" s="914"/>
      <c r="C8" s="907" t="s">
        <v>1843</v>
      </c>
      <c r="D8" s="907" t="s">
        <v>1845</v>
      </c>
      <c r="E8" s="914"/>
      <c r="F8" s="907" t="s">
        <v>1849</v>
      </c>
      <c r="G8" s="148"/>
    </row>
    <row r="9" spans="1:7" ht="52.8">
      <c r="A9" s="911">
        <v>42923</v>
      </c>
      <c r="B9" s="914"/>
      <c r="C9" s="907" t="s">
        <v>1846</v>
      </c>
      <c r="D9" s="907" t="s">
        <v>1847</v>
      </c>
      <c r="E9" s="914"/>
      <c r="F9" s="907" t="s">
        <v>1844</v>
      </c>
      <c r="G9" s="148"/>
    </row>
    <row r="10" spans="1:7" ht="52.8">
      <c r="A10" s="911">
        <v>42924</v>
      </c>
      <c r="B10" s="914"/>
      <c r="C10" s="907" t="s">
        <v>1848</v>
      </c>
      <c r="D10" s="907" t="s">
        <v>1847</v>
      </c>
      <c r="E10" s="914"/>
      <c r="F10" s="905" t="s">
        <v>1849</v>
      </c>
      <c r="G10" s="148"/>
    </row>
    <row r="11" spans="1:7">
      <c r="A11" s="912">
        <v>42925</v>
      </c>
      <c r="B11" s="909"/>
      <c r="C11" s="915"/>
      <c r="D11" s="915"/>
      <c r="E11" s="915"/>
      <c r="F11" s="915"/>
      <c r="G11" s="908"/>
    </row>
    <row r="12" spans="1:7" ht="52.8">
      <c r="A12" s="911">
        <v>42926</v>
      </c>
      <c r="B12" s="914"/>
      <c r="C12" s="907" t="s">
        <v>1847</v>
      </c>
      <c r="D12" s="907" t="s">
        <v>1847</v>
      </c>
      <c r="E12" s="914"/>
      <c r="F12" s="907" t="s">
        <v>1844</v>
      </c>
      <c r="G12" s="148"/>
    </row>
    <row r="13" spans="1:7" ht="52.8">
      <c r="A13" s="911">
        <v>42927</v>
      </c>
      <c r="B13" s="914"/>
      <c r="C13" s="907" t="s">
        <v>1847</v>
      </c>
      <c r="D13" s="907" t="s">
        <v>1847</v>
      </c>
      <c r="E13" s="914"/>
      <c r="F13" s="907" t="s">
        <v>1849</v>
      </c>
      <c r="G13" s="907" t="s">
        <v>1855</v>
      </c>
    </row>
    <row r="14" spans="1:7" ht="52.8">
      <c r="A14" s="911">
        <v>42928</v>
      </c>
      <c r="B14" s="914"/>
      <c r="C14" s="907" t="s">
        <v>1850</v>
      </c>
      <c r="D14" s="907" t="s">
        <v>1851</v>
      </c>
      <c r="E14" s="914"/>
      <c r="F14" s="907" t="s">
        <v>1844</v>
      </c>
      <c r="G14" s="907" t="s">
        <v>1855</v>
      </c>
    </row>
    <row r="15" spans="1:7" ht="52.8">
      <c r="A15" s="911">
        <v>42929</v>
      </c>
      <c r="B15" s="906"/>
      <c r="C15" s="907" t="s">
        <v>1850</v>
      </c>
      <c r="D15" s="907" t="s">
        <v>1851</v>
      </c>
      <c r="E15" s="914"/>
      <c r="F15" s="907" t="s">
        <v>1849</v>
      </c>
      <c r="G15" s="907" t="s">
        <v>1855</v>
      </c>
    </row>
    <row r="16" spans="1:7" ht="39.6">
      <c r="A16" s="911">
        <v>42930</v>
      </c>
      <c r="B16" s="914"/>
      <c r="C16" s="907" t="s">
        <v>1852</v>
      </c>
      <c r="D16" s="907" t="s">
        <v>1852</v>
      </c>
      <c r="E16" s="914"/>
      <c r="F16" s="907" t="s">
        <v>1844</v>
      </c>
      <c r="G16" s="910" t="s">
        <v>1856</v>
      </c>
    </row>
    <row r="17" spans="1:7" ht="52.8">
      <c r="A17" s="911">
        <v>42931</v>
      </c>
      <c r="B17" s="914"/>
      <c r="C17" s="907" t="s">
        <v>1852</v>
      </c>
      <c r="D17" s="907" t="s">
        <v>1852</v>
      </c>
      <c r="E17" s="914"/>
      <c r="F17" s="907" t="s">
        <v>1849</v>
      </c>
      <c r="G17" s="907" t="s">
        <v>1857</v>
      </c>
    </row>
    <row r="18" spans="1:7">
      <c r="A18" s="912">
        <v>42932</v>
      </c>
      <c r="B18" s="915"/>
      <c r="C18" s="915"/>
      <c r="D18" s="915"/>
      <c r="E18" s="915"/>
      <c r="F18" s="915"/>
      <c r="G18" s="908"/>
    </row>
    <row r="19" spans="1:7" ht="39.6">
      <c r="A19" s="911">
        <v>42933</v>
      </c>
      <c r="B19" s="906"/>
      <c r="C19" s="907" t="s">
        <v>1852</v>
      </c>
      <c r="D19" s="907" t="s">
        <v>1852</v>
      </c>
      <c r="E19" s="914"/>
      <c r="F19" s="914"/>
      <c r="G19" s="907" t="s">
        <v>1857</v>
      </c>
    </row>
    <row r="20" spans="1:7" ht="39.6">
      <c r="A20" s="911">
        <v>42934</v>
      </c>
      <c r="B20" s="914"/>
      <c r="C20" s="907" t="s">
        <v>1852</v>
      </c>
      <c r="D20" s="907" t="s">
        <v>1852</v>
      </c>
      <c r="E20" s="914"/>
      <c r="F20" s="914"/>
      <c r="G20" s="907" t="s">
        <v>1858</v>
      </c>
    </row>
    <row r="21" spans="1:7" ht="39.6">
      <c r="A21" s="911">
        <v>42935</v>
      </c>
      <c r="B21" s="914"/>
      <c r="C21" s="907" t="s">
        <v>1852</v>
      </c>
      <c r="D21" s="914"/>
      <c r="E21" s="914"/>
      <c r="F21" s="914"/>
      <c r="G21" s="907" t="s">
        <v>1857</v>
      </c>
    </row>
    <row r="22" spans="1:7" ht="26.4">
      <c r="A22" s="911">
        <v>42936</v>
      </c>
      <c r="B22" s="914"/>
      <c r="C22" s="907" t="s">
        <v>1853</v>
      </c>
      <c r="D22" s="907" t="s">
        <v>1853</v>
      </c>
      <c r="E22" s="914"/>
      <c r="F22" s="914"/>
      <c r="G22" s="907" t="s">
        <v>1858</v>
      </c>
    </row>
    <row r="23" spans="1:7" ht="39.6">
      <c r="A23" s="911">
        <v>42937</v>
      </c>
      <c r="B23" s="907" t="s">
        <v>1862</v>
      </c>
      <c r="C23" s="905" t="s">
        <v>1861</v>
      </c>
      <c r="D23" s="905" t="s">
        <v>1861</v>
      </c>
      <c r="E23" s="914"/>
      <c r="F23" s="914"/>
      <c r="G23" s="907" t="s">
        <v>1859</v>
      </c>
    </row>
    <row r="24" spans="1:7" ht="39.6">
      <c r="A24" s="911">
        <v>42938</v>
      </c>
      <c r="B24" s="907" t="s">
        <v>1862</v>
      </c>
      <c r="C24" s="905" t="s">
        <v>1861</v>
      </c>
      <c r="D24" s="905" t="s">
        <v>1861</v>
      </c>
      <c r="E24" s="914"/>
      <c r="F24" s="914"/>
      <c r="G24" s="907" t="s">
        <v>1859</v>
      </c>
    </row>
    <row r="25" spans="1:7">
      <c r="A25" s="912">
        <v>42939</v>
      </c>
      <c r="B25" s="915"/>
      <c r="C25" s="915"/>
      <c r="D25" s="915"/>
      <c r="E25" s="915"/>
      <c r="F25" s="915"/>
      <c r="G25" s="918"/>
    </row>
    <row r="26" spans="1:7" ht="39.6">
      <c r="A26" s="911">
        <v>42940</v>
      </c>
      <c r="B26" s="907" t="s">
        <v>1863</v>
      </c>
      <c r="C26" s="905" t="s">
        <v>1861</v>
      </c>
      <c r="D26" s="905" t="s">
        <v>1861</v>
      </c>
      <c r="E26" s="914"/>
      <c r="F26" s="914"/>
      <c r="G26" s="907" t="s">
        <v>1859</v>
      </c>
    </row>
    <row r="27" spans="1:7" ht="39.6">
      <c r="A27" s="911">
        <v>42941</v>
      </c>
      <c r="C27" s="905" t="s">
        <v>1861</v>
      </c>
      <c r="D27" s="905" t="s">
        <v>1861</v>
      </c>
      <c r="E27" s="914"/>
      <c r="F27" s="914"/>
      <c r="G27" s="910" t="s">
        <v>1860</v>
      </c>
    </row>
    <row r="28" spans="1:7" ht="26.4">
      <c r="A28" s="911">
        <v>42942</v>
      </c>
      <c r="B28" s="914"/>
      <c r="C28" s="914"/>
      <c r="D28" s="914"/>
      <c r="E28" s="914"/>
      <c r="F28" s="914"/>
      <c r="G28" s="907" t="s">
        <v>1857</v>
      </c>
    </row>
    <row r="29" spans="1:7" ht="26.4">
      <c r="A29" s="911">
        <v>42943</v>
      </c>
      <c r="B29" s="914"/>
      <c r="C29" s="914"/>
      <c r="D29" s="914"/>
      <c r="E29" s="914"/>
      <c r="F29" s="914"/>
      <c r="G29" s="919" t="s">
        <v>1858</v>
      </c>
    </row>
    <row r="30" spans="1:7">
      <c r="A30" s="912">
        <v>42944</v>
      </c>
      <c r="B30" s="915"/>
      <c r="C30" s="915"/>
      <c r="D30" s="915"/>
      <c r="E30" s="915"/>
      <c r="F30" s="915"/>
      <c r="G30" s="908"/>
    </row>
    <row r="31" spans="1:7" ht="26.4">
      <c r="A31" s="913">
        <v>42945</v>
      </c>
      <c r="B31" s="917"/>
      <c r="C31" s="917"/>
      <c r="D31" s="917"/>
      <c r="E31" s="917"/>
      <c r="F31" s="907" t="s">
        <v>1862</v>
      </c>
      <c r="G31" s="148"/>
    </row>
    <row r="32" spans="1:7">
      <c r="A32" s="912">
        <v>42946</v>
      </c>
      <c r="B32" s="915"/>
      <c r="C32" s="915"/>
      <c r="D32" s="915"/>
      <c r="E32" s="915"/>
      <c r="F32" s="918"/>
      <c r="G32" s="908"/>
    </row>
    <row r="33" spans="1:7" ht="26.4">
      <c r="A33" s="911">
        <v>42947</v>
      </c>
      <c r="B33" s="914"/>
      <c r="C33" s="914"/>
      <c r="D33" s="914"/>
      <c r="E33" s="914"/>
      <c r="F33" s="907" t="s">
        <v>1862</v>
      </c>
      <c r="G33" s="148"/>
    </row>
  </sheetData>
  <mergeCells count="1"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4880C-A089-4E70-BC5C-9367F44E9D23}">
  <sheetPr>
    <pageSetUpPr fitToPage="1"/>
  </sheetPr>
  <dimension ref="A1:P24"/>
  <sheetViews>
    <sheetView zoomScale="91" zoomScaleNormal="91" workbookViewId="0">
      <selection activeCell="B35" sqref="B35"/>
    </sheetView>
  </sheetViews>
  <sheetFormatPr baseColWidth="10" defaultRowHeight="13.2"/>
  <cols>
    <col min="1" max="1" width="10" customWidth="1"/>
    <col min="2" max="2" width="57.5546875" customWidth="1"/>
  </cols>
  <sheetData>
    <row r="1" spans="1:16" ht="17.399999999999999">
      <c r="A1" s="1474" t="s">
        <v>2138</v>
      </c>
      <c r="B1" s="1474"/>
      <c r="C1" s="1474"/>
      <c r="D1" s="1474"/>
      <c r="E1" s="1474"/>
      <c r="F1" s="1474"/>
      <c r="G1" s="1474"/>
      <c r="H1" s="1474"/>
      <c r="I1" s="1474"/>
      <c r="J1" s="1474"/>
      <c r="K1" s="1474"/>
      <c r="L1" s="1474"/>
      <c r="M1" s="1474"/>
      <c r="N1" s="1474"/>
      <c r="O1" s="1474"/>
      <c r="P1" s="1250" t="s">
        <v>76</v>
      </c>
    </row>
    <row r="2" spans="1:16">
      <c r="A2" s="1331" t="s">
        <v>5</v>
      </c>
      <c r="B2" s="1475" t="s">
        <v>2137</v>
      </c>
      <c r="C2" s="1475"/>
      <c r="D2" s="1475"/>
      <c r="E2" s="1475"/>
      <c r="F2" s="1475"/>
      <c r="G2" s="1475"/>
      <c r="H2" s="1475"/>
      <c r="I2" s="1475"/>
      <c r="J2" s="1475"/>
      <c r="K2" s="1475"/>
      <c r="L2" s="1475"/>
      <c r="M2" s="1475"/>
      <c r="N2" s="1475"/>
      <c r="O2" s="1476"/>
      <c r="P2" s="1251"/>
    </row>
    <row r="3" spans="1:16">
      <c r="A3" s="1332"/>
      <c r="B3" s="1477"/>
      <c r="C3" s="1477"/>
      <c r="D3" s="1477"/>
      <c r="E3" s="1477"/>
      <c r="F3" s="1477"/>
      <c r="G3" s="1477"/>
      <c r="H3" s="1477"/>
      <c r="I3" s="1477"/>
      <c r="J3" s="1477"/>
      <c r="K3" s="1477"/>
      <c r="L3" s="1477"/>
      <c r="M3" s="1477"/>
      <c r="N3" s="1477"/>
      <c r="O3" s="1478"/>
      <c r="P3" s="1252"/>
    </row>
    <row r="4" spans="1:16">
      <c r="A4" s="1332"/>
      <c r="B4" s="1477"/>
      <c r="C4" s="1477"/>
      <c r="D4" s="1477"/>
      <c r="E4" s="1477"/>
      <c r="F4" s="1477"/>
      <c r="G4" s="1477"/>
      <c r="H4" s="1477"/>
      <c r="I4" s="1477"/>
      <c r="J4" s="1477"/>
      <c r="K4" s="1477"/>
      <c r="L4" s="1477"/>
      <c r="M4" s="1477"/>
      <c r="N4" s="1477"/>
      <c r="O4" s="1478"/>
      <c r="P4" s="1252"/>
    </row>
    <row r="5" spans="1:16">
      <c r="A5" s="1332"/>
      <c r="B5" s="1333"/>
      <c r="C5" s="1334"/>
      <c r="D5" s="1335"/>
      <c r="E5" s="1252"/>
      <c r="F5" s="1252"/>
      <c r="G5" s="1252"/>
      <c r="H5" s="1252"/>
      <c r="I5" s="1252"/>
      <c r="J5" s="1252"/>
      <c r="K5" s="1252"/>
      <c r="L5" s="1252"/>
      <c r="M5" s="1252"/>
      <c r="N5" s="1252"/>
      <c r="O5" s="1214"/>
      <c r="P5" s="1252"/>
    </row>
    <row r="6" spans="1:16">
      <c r="A6" s="1332"/>
      <c r="B6" s="1333"/>
      <c r="C6" s="1334"/>
      <c r="D6" s="1335"/>
      <c r="E6" s="1252"/>
      <c r="F6" s="1252"/>
      <c r="G6" s="1252"/>
      <c r="H6" s="1252"/>
      <c r="I6" s="1252"/>
      <c r="J6" s="1252"/>
      <c r="K6" s="1252"/>
      <c r="L6" s="1252"/>
      <c r="M6" s="1252"/>
      <c r="N6" s="1252"/>
      <c r="O6" s="1214"/>
      <c r="P6" s="1252"/>
    </row>
    <row r="7" spans="1:16" ht="13.8" thickBot="1">
      <c r="A7" s="1479"/>
      <c r="B7" s="1480"/>
      <c r="C7" s="1480"/>
      <c r="D7" s="1480"/>
      <c r="E7" s="1480"/>
      <c r="F7" s="1480"/>
      <c r="G7" s="1480"/>
      <c r="H7" s="1480"/>
      <c r="I7" s="1480"/>
      <c r="J7" s="1480"/>
      <c r="K7" s="1480"/>
      <c r="L7" s="1480"/>
      <c r="M7" s="1480"/>
      <c r="N7" s="1480"/>
      <c r="O7" s="1481"/>
      <c r="P7" s="1253"/>
    </row>
    <row r="8" spans="1:16" ht="13.8" thickBot="1">
      <c r="A8" s="1482" t="s">
        <v>2118</v>
      </c>
      <c r="B8" s="1485" t="s">
        <v>2110</v>
      </c>
      <c r="C8" s="1488" t="s">
        <v>2119</v>
      </c>
      <c r="D8" s="1491" t="s">
        <v>2113</v>
      </c>
      <c r="E8" s="1467" t="s">
        <v>2120</v>
      </c>
      <c r="F8" s="1467" t="s">
        <v>2121</v>
      </c>
      <c r="G8" s="1467" t="s">
        <v>2122</v>
      </c>
      <c r="H8" s="1467" t="s">
        <v>2123</v>
      </c>
      <c r="I8" s="1467"/>
      <c r="J8" s="1467"/>
      <c r="K8" s="1467"/>
      <c r="L8" s="1467"/>
      <c r="M8" s="1467"/>
      <c r="N8" s="1468" t="s">
        <v>2124</v>
      </c>
      <c r="O8" s="1471" t="s">
        <v>2125</v>
      </c>
      <c r="P8" s="1307"/>
    </row>
    <row r="9" spans="1:16" ht="14.4" thickTop="1" thickBot="1">
      <c r="A9" s="1483"/>
      <c r="B9" s="1486"/>
      <c r="C9" s="1489"/>
      <c r="D9" s="1492"/>
      <c r="E9" s="1494"/>
      <c r="F9" s="1494"/>
      <c r="G9" s="1494"/>
      <c r="H9" s="1215" t="s">
        <v>89</v>
      </c>
      <c r="I9" s="1216" t="s">
        <v>87</v>
      </c>
      <c r="J9" s="1217" t="s">
        <v>85</v>
      </c>
      <c r="K9" s="1218" t="s">
        <v>2114</v>
      </c>
      <c r="L9" s="1219" t="s">
        <v>2115</v>
      </c>
      <c r="M9" s="1220" t="s">
        <v>2116</v>
      </c>
      <c r="N9" s="1469"/>
      <c r="O9" s="1472"/>
      <c r="P9" s="1308"/>
    </row>
    <row r="10" spans="1:16" ht="14.4" thickTop="1" thickBot="1">
      <c r="A10" s="1484"/>
      <c r="B10" s="1487"/>
      <c r="C10" s="1490"/>
      <c r="D10" s="1493"/>
      <c r="E10" s="1495"/>
      <c r="F10" s="1495"/>
      <c r="G10" s="1495"/>
      <c r="H10" s="1309">
        <v>0.248</v>
      </c>
      <c r="I10" s="1310">
        <v>0.57999999999999996</v>
      </c>
      <c r="J10" s="1311">
        <v>1.02</v>
      </c>
      <c r="K10" s="1312">
        <v>1.6</v>
      </c>
      <c r="L10" s="1313">
        <v>2.2599999999999998</v>
      </c>
      <c r="M10" s="1314">
        <v>4.04</v>
      </c>
      <c r="N10" s="1470"/>
      <c r="O10" s="1473"/>
      <c r="P10" s="1315"/>
    </row>
    <row r="11" spans="1:16" ht="14.4" thickBot="1">
      <c r="A11" s="1328"/>
      <c r="B11" s="1327" t="s">
        <v>2156</v>
      </c>
      <c r="C11" s="1328"/>
      <c r="D11" s="1328"/>
      <c r="E11" s="1328"/>
      <c r="F11" s="1328"/>
      <c r="G11" s="1328"/>
      <c r="H11" s="1328"/>
      <c r="I11" s="1328"/>
      <c r="J11" s="1328"/>
      <c r="K11" s="1328"/>
      <c r="L11" s="1328"/>
      <c r="M11" s="1328"/>
      <c r="N11" s="1329">
        <f>SUM(N13:N24)</f>
        <v>996.93399999999997</v>
      </c>
      <c r="O11" s="1329"/>
      <c r="P11" s="1330"/>
    </row>
    <row r="12" spans="1:16">
      <c r="A12" s="1351"/>
      <c r="B12" s="1351" t="s">
        <v>2157</v>
      </c>
      <c r="C12" s="1352"/>
      <c r="D12" s="1352"/>
      <c r="E12" s="1353"/>
      <c r="F12" s="1222"/>
      <c r="G12" s="1212"/>
      <c r="H12" s="1224"/>
      <c r="I12" s="1225"/>
      <c r="J12" s="1282"/>
      <c r="K12" s="1227"/>
      <c r="L12" s="1283"/>
      <c r="M12" s="1229"/>
      <c r="N12" s="1213"/>
      <c r="O12" s="1230"/>
      <c r="P12" s="1254"/>
    </row>
    <row r="13" spans="1:16">
      <c r="A13" s="1336"/>
      <c r="B13" s="1231"/>
      <c r="C13" s="1221"/>
      <c r="D13" s="1291" t="s">
        <v>2115</v>
      </c>
      <c r="E13" s="1212">
        <v>5</v>
      </c>
      <c r="F13" s="1222">
        <v>6</v>
      </c>
      <c r="G13" s="1222">
        <v>3.5</v>
      </c>
      <c r="H13" s="1224">
        <v>0</v>
      </c>
      <c r="I13" s="1226">
        <v>0</v>
      </c>
      <c r="J13" s="1226">
        <v>0</v>
      </c>
      <c r="K13" s="1227"/>
      <c r="L13" s="1228">
        <f>E13*F13*G13*2.26</f>
        <v>237.29999999999998</v>
      </c>
      <c r="M13" s="1229">
        <v>0</v>
      </c>
      <c r="N13" s="1213">
        <f>L13</f>
        <v>237.29999999999998</v>
      </c>
      <c r="O13" s="1230"/>
      <c r="P13" s="1254"/>
    </row>
    <row r="14" spans="1:16">
      <c r="A14" s="1336"/>
      <c r="B14" s="1231"/>
      <c r="C14" s="1221"/>
      <c r="D14" s="1223" t="s">
        <v>89</v>
      </c>
      <c r="E14" s="1212">
        <v>5</v>
      </c>
      <c r="F14" s="1222">
        <v>25</v>
      </c>
      <c r="G14" s="1222">
        <v>0.94</v>
      </c>
      <c r="H14" s="1224">
        <f>E14*F14*G14*0.25</f>
        <v>29.375</v>
      </c>
      <c r="I14" s="1226"/>
      <c r="J14" s="1226">
        <v>0</v>
      </c>
      <c r="K14" s="1227">
        <v>0</v>
      </c>
      <c r="L14" s="1228">
        <v>0</v>
      </c>
      <c r="M14" s="1229">
        <v>0</v>
      </c>
      <c r="N14" s="1213">
        <f>I14</f>
        <v>0</v>
      </c>
      <c r="O14" s="1230"/>
      <c r="P14" s="1254"/>
    </row>
    <row r="15" spans="1:16" s="1170" customFormat="1">
      <c r="A15" s="1336"/>
      <c r="B15" s="1231"/>
      <c r="C15" s="1221"/>
      <c r="D15" s="1291" t="s">
        <v>2115</v>
      </c>
      <c r="E15" s="1212">
        <v>5</v>
      </c>
      <c r="F15" s="1222">
        <v>6</v>
      </c>
      <c r="G15" s="1222">
        <v>3.8</v>
      </c>
      <c r="H15" s="1224">
        <v>0</v>
      </c>
      <c r="I15" s="1226">
        <v>0</v>
      </c>
      <c r="J15" s="1226">
        <v>0</v>
      </c>
      <c r="K15" s="1227"/>
      <c r="L15" s="1228">
        <f>E15*F15*G15*2.26</f>
        <v>257.64</v>
      </c>
      <c r="M15" s="1229">
        <v>0</v>
      </c>
      <c r="N15" s="1213">
        <f>L15</f>
        <v>257.64</v>
      </c>
      <c r="O15" s="1230"/>
      <c r="P15" s="1254"/>
    </row>
    <row r="16" spans="1:16" s="1170" customFormat="1">
      <c r="A16" s="1336"/>
      <c r="B16" s="1231"/>
      <c r="C16" s="1221"/>
      <c r="D16" s="1223" t="s">
        <v>89</v>
      </c>
      <c r="E16" s="1212">
        <v>5</v>
      </c>
      <c r="F16" s="1222">
        <v>30</v>
      </c>
      <c r="G16" s="1222">
        <v>0.94</v>
      </c>
      <c r="H16" s="1224">
        <f>E16*F16*G16*0.25</f>
        <v>35.25</v>
      </c>
      <c r="I16" s="1226"/>
      <c r="J16" s="1226">
        <v>0</v>
      </c>
      <c r="K16" s="1227">
        <v>0</v>
      </c>
      <c r="L16" s="1228">
        <v>0</v>
      </c>
      <c r="M16" s="1229">
        <v>0</v>
      </c>
      <c r="N16" s="1213">
        <f>H16</f>
        <v>35.25</v>
      </c>
      <c r="O16" s="1230"/>
      <c r="P16" s="1254"/>
    </row>
    <row r="17" spans="1:16" s="1170" customFormat="1" ht="13.8" thickBot="1">
      <c r="A17" s="1336"/>
      <c r="B17" s="1231"/>
      <c r="C17" s="1221"/>
      <c r="D17" s="1223"/>
      <c r="E17" s="1212"/>
      <c r="F17" s="1222"/>
      <c r="G17" s="1222"/>
      <c r="H17" s="1224"/>
      <c r="I17" s="1226"/>
      <c r="J17" s="1226"/>
      <c r="K17" s="1227"/>
      <c r="L17" s="1228"/>
      <c r="M17" s="1229"/>
      <c r="N17" s="1213"/>
      <c r="O17" s="1230"/>
      <c r="P17" s="1254"/>
    </row>
    <row r="18" spans="1:16" s="1170" customFormat="1">
      <c r="A18" s="1336"/>
      <c r="B18" s="1351" t="s">
        <v>2158</v>
      </c>
      <c r="C18" s="1352"/>
      <c r="D18" s="1352"/>
      <c r="E18" s="1353"/>
      <c r="F18" s="1222"/>
      <c r="G18" s="1212"/>
      <c r="H18" s="1224"/>
      <c r="I18" s="1225"/>
      <c r="J18" s="1282"/>
      <c r="K18" s="1227"/>
      <c r="L18" s="1283"/>
      <c r="M18" s="1229"/>
      <c r="N18" s="1213"/>
      <c r="O18" s="1230"/>
      <c r="P18" s="1254"/>
    </row>
    <row r="19" spans="1:16" s="1170" customFormat="1">
      <c r="A19" s="1336"/>
      <c r="B19" s="1231"/>
      <c r="C19" s="1221"/>
      <c r="D19" s="1291" t="s">
        <v>2115</v>
      </c>
      <c r="E19" s="1212">
        <v>4</v>
      </c>
      <c r="F19" s="1222">
        <v>6</v>
      </c>
      <c r="G19" s="1222">
        <v>3.5</v>
      </c>
      <c r="H19" s="1224">
        <v>0</v>
      </c>
      <c r="I19" s="1226">
        <v>0</v>
      </c>
      <c r="J19" s="1226">
        <v>0</v>
      </c>
      <c r="K19" s="1227"/>
      <c r="L19" s="1228">
        <f>E19*F19*G19*2.26</f>
        <v>189.83999999999997</v>
      </c>
      <c r="M19" s="1229">
        <v>0</v>
      </c>
      <c r="N19" s="1213">
        <f>L19</f>
        <v>189.83999999999997</v>
      </c>
      <c r="O19" s="1230"/>
      <c r="P19" s="1254"/>
    </row>
    <row r="20" spans="1:16" s="1170" customFormat="1">
      <c r="A20" s="1336"/>
      <c r="B20" s="1231"/>
      <c r="C20" s="1221"/>
      <c r="D20" s="1223" t="s">
        <v>89</v>
      </c>
      <c r="E20" s="1212">
        <v>4</v>
      </c>
      <c r="F20" s="1222">
        <v>25</v>
      </c>
      <c r="G20" s="1222">
        <v>0.94</v>
      </c>
      <c r="H20" s="1224">
        <f>E20*F20*G20*0.25</f>
        <v>23.5</v>
      </c>
      <c r="I20" s="1226">
        <f>E20*F20*G20*0.58</f>
        <v>54.519999999999996</v>
      </c>
      <c r="J20" s="1226">
        <v>0</v>
      </c>
      <c r="K20" s="1227">
        <v>0</v>
      </c>
      <c r="L20" s="1228">
        <v>0</v>
      </c>
      <c r="M20" s="1229">
        <v>0</v>
      </c>
      <c r="N20" s="1213">
        <f>I20</f>
        <v>54.519999999999996</v>
      </c>
      <c r="O20" s="1230"/>
      <c r="P20" s="1254"/>
    </row>
    <row r="21" spans="1:16" s="1170" customFormat="1">
      <c r="A21" s="1336"/>
      <c r="B21" s="1231"/>
      <c r="C21" s="1221"/>
      <c r="D21" s="1291" t="s">
        <v>2115</v>
      </c>
      <c r="E21" s="1212">
        <v>4</v>
      </c>
      <c r="F21" s="1222">
        <v>6</v>
      </c>
      <c r="G21" s="1222">
        <v>4.0999999999999996</v>
      </c>
      <c r="H21" s="1224">
        <v>0</v>
      </c>
      <c r="I21" s="1226">
        <v>0</v>
      </c>
      <c r="J21" s="1226">
        <v>0</v>
      </c>
      <c r="K21" s="1227"/>
      <c r="L21" s="1228">
        <f>E21*F21*G21*2.26</f>
        <v>222.38399999999996</v>
      </c>
      <c r="M21" s="1229">
        <v>0</v>
      </c>
      <c r="N21" s="1213">
        <f>L21</f>
        <v>222.38399999999996</v>
      </c>
      <c r="O21" s="1230"/>
      <c r="P21" s="1254"/>
    </row>
    <row r="22" spans="1:16" s="1170" customFormat="1">
      <c r="A22" s="1336"/>
      <c r="B22" s="1231"/>
      <c r="C22" s="1221"/>
      <c r="D22" s="1223" t="s">
        <v>89</v>
      </c>
      <c r="E22" s="1212">
        <v>4</v>
      </c>
      <c r="F22" s="1222">
        <v>35</v>
      </c>
      <c r="G22" s="1222">
        <v>0.94</v>
      </c>
      <c r="H22" s="1224">
        <f>E22*F22*G22*0.25</f>
        <v>32.9</v>
      </c>
      <c r="I22" s="1226"/>
      <c r="J22" s="1226">
        <v>0</v>
      </c>
      <c r="K22" s="1227">
        <v>0</v>
      </c>
      <c r="L22" s="1228">
        <v>0</v>
      </c>
      <c r="M22" s="1229">
        <v>0</v>
      </c>
      <c r="N22" s="1213">
        <f>I22</f>
        <v>0</v>
      </c>
      <c r="O22" s="1230"/>
      <c r="P22" s="1254"/>
    </row>
    <row r="23" spans="1:16" s="1170" customFormat="1">
      <c r="A23" s="1336"/>
      <c r="B23" s="1231"/>
      <c r="C23" s="1221"/>
      <c r="D23" s="1223"/>
      <c r="E23" s="1212"/>
      <c r="F23" s="1222"/>
      <c r="G23" s="1222"/>
      <c r="H23" s="1224"/>
      <c r="I23" s="1226"/>
      <c r="J23" s="1226"/>
      <c r="K23" s="1227"/>
      <c r="L23" s="1228"/>
      <c r="M23" s="1229"/>
      <c r="N23" s="1213"/>
      <c r="O23" s="1230"/>
      <c r="P23" s="1254"/>
    </row>
    <row r="24" spans="1:16">
      <c r="A24" s="1337"/>
      <c r="B24" s="1338"/>
      <c r="C24" s="1339"/>
      <c r="D24" s="1340"/>
      <c r="E24" s="1341"/>
      <c r="F24" s="1342"/>
      <c r="G24" s="1341"/>
      <c r="H24" s="1343"/>
      <c r="I24" s="1344"/>
      <c r="J24" s="1345"/>
      <c r="K24" s="1346"/>
      <c r="L24" s="1347"/>
      <c r="M24" s="1348"/>
      <c r="N24" s="1349"/>
      <c r="O24" s="1350"/>
      <c r="P24" s="1254"/>
    </row>
  </sheetData>
  <mergeCells count="13">
    <mergeCell ref="H8:M8"/>
    <mergeCell ref="N8:N10"/>
    <mergeCell ref="O8:O10"/>
    <mergeCell ref="A1:O1"/>
    <mergeCell ref="B2:O4"/>
    <mergeCell ref="A7:O7"/>
    <mergeCell ref="A8:A10"/>
    <mergeCell ref="B8:B10"/>
    <mergeCell ref="C8:C10"/>
    <mergeCell ref="D8:D10"/>
    <mergeCell ref="E8:E10"/>
    <mergeCell ref="F8:F10"/>
    <mergeCell ref="G8:G10"/>
  </mergeCells>
  <dataValidations count="4">
    <dataValidation type="list" allowBlank="1" showInputMessage="1" showErrorMessage="1" sqref="D23 D17" xr:uid="{4112EEB2-B1FE-4484-BA09-9D3EA60B05BF}">
      <formula1>$I$7:$N$7</formula1>
    </dataValidation>
    <dataValidation type="list" allowBlank="1" showInputMessage="1" showErrorMessage="1" sqref="D24" xr:uid="{6160566A-B902-4AD5-8586-793FA0C17C6F}">
      <formula1>$G$6:$L$6</formula1>
    </dataValidation>
    <dataValidation type="list" allowBlank="1" showInputMessage="1" showErrorMessage="1" sqref="D14 D22 D20 D16" xr:uid="{A9B46C46-784B-4D0A-81B2-CC141CE848D1}">
      <formula1>$J$5:$O$5</formula1>
    </dataValidation>
    <dataValidation type="list" allowBlank="1" showInputMessage="1" showErrorMessage="1" sqref="D13 D19 D15 D21" xr:uid="{CB335E81-2976-4839-834C-6CA4A31CEBB6}">
      <formula1>$G$9:$L$9</formula1>
    </dataValidation>
  </dataValidations>
  <pageMargins left="0.7" right="0.7" top="0.75" bottom="0.75" header="0.3" footer="0.3"/>
  <pageSetup paperSize="9" scale="55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C987-EB1B-47D8-82E5-FACBD9AE05A6}">
  <sheetPr>
    <pageSetUpPr fitToPage="1"/>
  </sheetPr>
  <dimension ref="A1:XEX803"/>
  <sheetViews>
    <sheetView tabSelected="1" view="pageBreakPreview" zoomScaleNormal="100" zoomScaleSheetLayoutView="100" workbookViewId="0">
      <pane ySplit="10" topLeftCell="A11" activePane="bottomLeft" state="frozen"/>
      <selection activeCell="J1" sqref="J1"/>
      <selection pane="bottomLeft" activeCell="R15" sqref="R15"/>
    </sheetView>
  </sheetViews>
  <sheetFormatPr baseColWidth="10" defaultColWidth="11.44140625" defaultRowHeight="13.2"/>
  <cols>
    <col min="1" max="1" width="8.6640625" style="1170" hidden="1" customWidth="1"/>
    <col min="2" max="2" width="33.6640625" style="1170" hidden="1" customWidth="1"/>
    <col min="3" max="3" width="7.44140625" style="1170" hidden="1" customWidth="1"/>
    <col min="4" max="5" width="9" style="1170" hidden="1" customWidth="1"/>
    <col min="6" max="6" width="9.109375" style="1170" hidden="1" customWidth="1"/>
    <col min="7" max="7" width="7.5546875" style="1170" hidden="1" customWidth="1"/>
    <col min="8" max="8" width="9.6640625" style="1170" hidden="1" customWidth="1"/>
    <col min="9" max="9" width="9.109375" style="1170" hidden="1" customWidth="1"/>
    <col min="10" max="10" width="9.109375" style="1158" hidden="1" customWidth="1"/>
    <col min="11" max="11" width="11.33203125" style="1170" customWidth="1"/>
    <col min="12" max="12" width="30" style="1170" customWidth="1"/>
    <col min="13" max="13" width="7.44140625" style="1191" customWidth="1"/>
    <col min="14" max="15" width="9" style="1170" customWidth="1"/>
    <col min="16" max="16" width="9.109375" style="1170" customWidth="1"/>
    <col min="17" max="17" width="7.5546875" style="1170" customWidth="1"/>
    <col min="18" max="18" width="9.6640625" style="1170" customWidth="1"/>
    <col min="19" max="19" width="9.109375" style="123" customWidth="1"/>
    <col min="20" max="16384" width="11.44140625" style="1170"/>
  </cols>
  <sheetData>
    <row r="1" spans="1:19" ht="17.399999999999999">
      <c r="A1" s="1361"/>
      <c r="B1" s="1361"/>
      <c r="C1" s="1361"/>
      <c r="D1" s="1361"/>
      <c r="E1" s="1361"/>
      <c r="F1" s="1361"/>
      <c r="G1" s="1361"/>
      <c r="H1" s="1361"/>
      <c r="I1" s="1361"/>
      <c r="J1" s="1184"/>
      <c r="K1" s="1499" t="s">
        <v>2169</v>
      </c>
      <c r="L1" s="1500"/>
      <c r="M1" s="1500"/>
      <c r="N1" s="1500"/>
      <c r="O1" s="1500"/>
      <c r="P1" s="1500"/>
      <c r="Q1" s="1500"/>
      <c r="R1" s="1500"/>
      <c r="S1" s="1501"/>
    </row>
    <row r="2" spans="1:19" ht="16.2">
      <c r="A2" s="1361"/>
      <c r="B2" s="1361"/>
      <c r="C2" s="1361"/>
      <c r="D2" s="1361"/>
      <c r="E2" s="1361"/>
      <c r="F2" s="1361"/>
      <c r="G2" s="1361"/>
      <c r="H2" s="1361"/>
      <c r="I2" s="1361"/>
      <c r="J2" s="1184"/>
      <c r="K2" s="1504" t="s">
        <v>257</v>
      </c>
      <c r="L2" s="1505"/>
      <c r="M2" s="1505"/>
      <c r="N2" s="1505"/>
      <c r="O2" s="1505"/>
      <c r="P2" s="1505"/>
      <c r="Q2" s="1505"/>
      <c r="R2" s="1505"/>
      <c r="S2" s="1506"/>
    </row>
    <row r="3" spans="1:19" ht="19.2" customHeight="1">
      <c r="A3" s="1361"/>
      <c r="B3" s="1361"/>
      <c r="C3" s="1361"/>
      <c r="D3" s="1361"/>
      <c r="E3" s="1361"/>
      <c r="F3" s="1361"/>
      <c r="G3" s="1361"/>
      <c r="H3" s="1361"/>
      <c r="I3" s="1361"/>
      <c r="J3" s="1184"/>
      <c r="K3" s="1362" t="s">
        <v>2163</v>
      </c>
      <c r="L3" s="1502" t="s">
        <v>2164</v>
      </c>
      <c r="M3" s="1502"/>
      <c r="N3" s="1502"/>
      <c r="O3" s="1502"/>
      <c r="P3" s="1502"/>
      <c r="Q3" s="1502"/>
      <c r="R3" s="1502"/>
      <c r="S3" s="1503"/>
    </row>
    <row r="4" spans="1:19">
      <c r="A4" s="1361"/>
      <c r="B4" s="1361"/>
      <c r="C4" s="1361"/>
      <c r="D4" s="1361"/>
      <c r="E4" s="1361"/>
      <c r="F4" s="1361"/>
      <c r="G4" s="1361"/>
      <c r="H4" s="1361"/>
      <c r="I4" s="1361"/>
      <c r="J4" s="1184"/>
      <c r="K4" s="1362" t="s">
        <v>2165</v>
      </c>
      <c r="L4" s="1369" t="s">
        <v>2166</v>
      </c>
      <c r="M4" s="1370"/>
      <c r="N4" s="1370"/>
      <c r="O4" s="1371"/>
      <c r="P4" s="1371"/>
      <c r="Q4" s="1372"/>
      <c r="R4" s="1370"/>
      <c r="S4" s="1373"/>
    </row>
    <row r="5" spans="1:19">
      <c r="A5" s="1361"/>
      <c r="B5" s="1361"/>
      <c r="C5" s="1361"/>
      <c r="D5" s="1361"/>
      <c r="E5" s="1361"/>
      <c r="F5" s="1361"/>
      <c r="G5" s="1361"/>
      <c r="H5" s="1361"/>
      <c r="I5" s="1361"/>
      <c r="J5" s="1184"/>
      <c r="K5" s="1362" t="s">
        <v>2167</v>
      </c>
      <c r="L5" s="1374">
        <v>44608</v>
      </c>
      <c r="M5" s="1375"/>
      <c r="N5" s="1375"/>
      <c r="O5" s="1371"/>
      <c r="P5" s="1371"/>
      <c r="Q5" s="1376"/>
      <c r="R5" s="1377"/>
      <c r="S5" s="1363"/>
    </row>
    <row r="6" spans="1:19">
      <c r="A6" s="1361"/>
      <c r="B6" s="1361"/>
      <c r="C6" s="1361"/>
      <c r="D6" s="1361"/>
      <c r="E6" s="1361"/>
      <c r="F6" s="1361"/>
      <c r="G6" s="1361"/>
      <c r="H6" s="1361"/>
      <c r="I6" s="1361"/>
      <c r="J6" s="1184"/>
      <c r="K6" s="1362" t="s">
        <v>2168</v>
      </c>
      <c r="L6" s="1378" t="s">
        <v>1140</v>
      </c>
      <c r="M6" s="1370"/>
      <c r="N6" s="1370"/>
      <c r="O6" s="1379"/>
      <c r="P6" s="1379"/>
      <c r="Q6" s="1379"/>
      <c r="R6" s="1370"/>
      <c r="S6" s="1373"/>
    </row>
    <row r="7" spans="1:19">
      <c r="A7" s="1361"/>
      <c r="B7" s="1361"/>
      <c r="C7" s="1361"/>
      <c r="D7" s="1361"/>
      <c r="E7" s="1361"/>
      <c r="F7" s="1361"/>
      <c r="G7" s="1361"/>
      <c r="H7" s="1361"/>
      <c r="I7" s="1361"/>
      <c r="J7" s="1184"/>
      <c r="K7" s="1362" t="s">
        <v>2170</v>
      </c>
      <c r="L7" s="1369" t="s">
        <v>10</v>
      </c>
      <c r="M7" s="1370"/>
      <c r="N7" s="1370"/>
      <c r="O7" s="1379"/>
      <c r="P7" s="1379"/>
      <c r="Q7" s="1379"/>
      <c r="R7" s="1370"/>
      <c r="S7" s="1373"/>
    </row>
    <row r="8" spans="1:19" ht="13.8" thickBot="1">
      <c r="A8" s="1361"/>
      <c r="B8" s="1361"/>
      <c r="C8" s="1361"/>
      <c r="D8" s="1361"/>
      <c r="E8" s="1361"/>
      <c r="F8" s="1361"/>
      <c r="G8" s="1361"/>
      <c r="H8" s="1361"/>
      <c r="I8" s="1361"/>
      <c r="J8" s="1184"/>
      <c r="K8" s="1380" t="s">
        <v>2171</v>
      </c>
      <c r="L8" s="1381" t="s">
        <v>2172</v>
      </c>
      <c r="M8" s="1364"/>
      <c r="N8" s="1364"/>
      <c r="O8" s="1365"/>
      <c r="P8" s="1366"/>
      <c r="Q8" s="1367"/>
      <c r="R8" s="1368"/>
      <c r="S8" s="1382"/>
    </row>
    <row r="9" spans="1:19" ht="13.8" thickBot="1">
      <c r="A9" s="1518" t="s">
        <v>19</v>
      </c>
      <c r="B9" s="1520" t="s">
        <v>2110</v>
      </c>
      <c r="C9" s="1518" t="s">
        <v>2111</v>
      </c>
      <c r="D9" s="1518" t="s">
        <v>269</v>
      </c>
      <c r="E9" s="1522" t="s">
        <v>2112</v>
      </c>
      <c r="F9" s="1523"/>
      <c r="G9" s="1524"/>
      <c r="H9" s="1512" t="s">
        <v>81</v>
      </c>
      <c r="I9" s="1518" t="s">
        <v>1</v>
      </c>
      <c r="J9" s="1185"/>
      <c r="K9" s="1507" t="s">
        <v>19</v>
      </c>
      <c r="L9" s="1525" t="s">
        <v>2110</v>
      </c>
      <c r="M9" s="1507" t="s">
        <v>2111</v>
      </c>
      <c r="N9" s="1507" t="s">
        <v>269</v>
      </c>
      <c r="O9" s="1509" t="s">
        <v>2112</v>
      </c>
      <c r="P9" s="1510"/>
      <c r="Q9" s="1511"/>
      <c r="R9" s="1514" t="s">
        <v>81</v>
      </c>
      <c r="S9" s="1516" t="s">
        <v>1</v>
      </c>
    </row>
    <row r="10" spans="1:19" ht="13.8" thickBot="1">
      <c r="A10" s="1519"/>
      <c r="B10" s="1521"/>
      <c r="C10" s="1519"/>
      <c r="D10" s="1519"/>
      <c r="E10" s="1159" t="s">
        <v>79</v>
      </c>
      <c r="F10" s="1159" t="s">
        <v>78</v>
      </c>
      <c r="G10" s="1160" t="s">
        <v>80</v>
      </c>
      <c r="H10" s="1513"/>
      <c r="I10" s="1519"/>
      <c r="J10" s="1186"/>
      <c r="K10" s="1508"/>
      <c r="L10" s="1526"/>
      <c r="M10" s="1508"/>
      <c r="N10" s="1508"/>
      <c r="O10" s="1180" t="s">
        <v>79</v>
      </c>
      <c r="P10" s="1180" t="s">
        <v>78</v>
      </c>
      <c r="Q10" s="1181" t="s">
        <v>80</v>
      </c>
      <c r="R10" s="1515"/>
      <c r="S10" s="1517"/>
    </row>
    <row r="11" spans="1:19" ht="20.399999999999999">
      <c r="A11" s="1354"/>
      <c r="B11" s="1355"/>
      <c r="C11" s="1356"/>
      <c r="D11" s="1356"/>
      <c r="E11" s="1357"/>
      <c r="F11" s="1357"/>
      <c r="G11" s="1357"/>
      <c r="H11" s="1358"/>
      <c r="I11" s="1359"/>
      <c r="J11" s="1360"/>
      <c r="K11" s="1422">
        <v>1</v>
      </c>
      <c r="L11" s="1383" t="s">
        <v>1118</v>
      </c>
      <c r="M11" s="1384"/>
      <c r="N11" s="1384"/>
      <c r="O11" s="1384"/>
      <c r="P11" s="1384"/>
      <c r="Q11" s="1385"/>
      <c r="R11" s="1384"/>
      <c r="S11" s="1386"/>
    </row>
    <row r="12" spans="1:19" ht="13.8">
      <c r="A12" s="1354"/>
      <c r="B12" s="1355"/>
      <c r="C12" s="1356"/>
      <c r="D12" s="1356"/>
      <c r="E12" s="1357"/>
      <c r="F12" s="1357"/>
      <c r="G12" s="1357"/>
      <c r="H12" s="1358"/>
      <c r="I12" s="1359"/>
      <c r="J12" s="1360"/>
      <c r="K12" s="1422">
        <v>1.01</v>
      </c>
      <c r="L12" s="1397" t="s">
        <v>1133</v>
      </c>
      <c r="M12" s="1167"/>
      <c r="N12" s="1167"/>
      <c r="O12" s="1167"/>
      <c r="P12" s="1167"/>
      <c r="Q12" s="1402"/>
      <c r="R12" s="1167"/>
      <c r="S12" s="1405"/>
    </row>
    <row r="13" spans="1:19" ht="20.399999999999999">
      <c r="A13" s="1354"/>
      <c r="B13" s="1355"/>
      <c r="C13" s="1356"/>
      <c r="D13" s="1356"/>
      <c r="E13" s="1357"/>
      <c r="F13" s="1357"/>
      <c r="G13" s="1357"/>
      <c r="H13" s="1358"/>
      <c r="I13" s="1359"/>
      <c r="J13" s="1360"/>
      <c r="K13" s="1421" t="s">
        <v>2175</v>
      </c>
      <c r="L13" s="1420" t="s">
        <v>2179</v>
      </c>
      <c r="M13" s="1167" t="s">
        <v>72</v>
      </c>
      <c r="N13" s="1167"/>
      <c r="O13" s="1167"/>
      <c r="P13" s="1167"/>
      <c r="Q13" s="1402"/>
      <c r="R13" s="1167"/>
      <c r="S13" s="1405">
        <f>SUM(R14)</f>
        <v>29</v>
      </c>
    </row>
    <row r="14" spans="1:19" ht="13.8">
      <c r="A14" s="1354"/>
      <c r="B14" s="1355"/>
      <c r="C14" s="1356"/>
      <c r="D14" s="1356"/>
      <c r="E14" s="1357"/>
      <c r="F14" s="1357"/>
      <c r="G14" s="1357"/>
      <c r="H14" s="1358"/>
      <c r="I14" s="1359"/>
      <c r="J14" s="1360"/>
      <c r="K14" s="1421"/>
      <c r="L14" s="1419" t="s">
        <v>2174</v>
      </c>
      <c r="M14" s="1417"/>
      <c r="N14" s="1415"/>
      <c r="O14" s="1161"/>
      <c r="P14" s="1161"/>
      <c r="Q14" s="1161"/>
      <c r="R14" s="1161">
        <v>29</v>
      </c>
      <c r="S14" s="1325"/>
    </row>
    <row r="15" spans="1:19" ht="24" customHeight="1">
      <c r="A15" s="1179"/>
      <c r="B15" s="1162"/>
      <c r="C15" s="1172"/>
      <c r="D15" s="1173"/>
      <c r="E15" s="1174"/>
      <c r="F15" s="1174"/>
      <c r="G15" s="1174"/>
      <c r="H15" s="1175"/>
      <c r="I15" s="1171"/>
      <c r="J15" s="1189"/>
      <c r="K15" s="1422">
        <v>1.02</v>
      </c>
      <c r="L15" s="1397" t="s">
        <v>2139</v>
      </c>
      <c r="M15" s="1167"/>
      <c r="N15" s="1167"/>
      <c r="O15" s="1167"/>
      <c r="P15" s="1167"/>
      <c r="Q15" s="1402"/>
      <c r="R15" s="1167"/>
      <c r="S15" s="1405"/>
    </row>
    <row r="16" spans="1:19" ht="24" customHeight="1">
      <c r="A16" s="1179"/>
      <c r="B16" s="1162"/>
      <c r="C16" s="1172"/>
      <c r="D16" s="1173"/>
      <c r="E16" s="1174"/>
      <c r="F16" s="1174"/>
      <c r="G16" s="1174"/>
      <c r="H16" s="1175"/>
      <c r="I16" s="1395"/>
      <c r="J16" s="1396"/>
      <c r="K16" s="1421" t="s">
        <v>2183</v>
      </c>
      <c r="L16" s="1399" t="s">
        <v>2184</v>
      </c>
      <c r="M16" s="1418"/>
      <c r="N16" s="1167">
        <v>5827.92</v>
      </c>
      <c r="O16" s="1496">
        <v>2.69</v>
      </c>
      <c r="P16" s="1497"/>
      <c r="Q16" s="1498"/>
      <c r="R16" s="1167">
        <f>N16</f>
        <v>5827.92</v>
      </c>
      <c r="S16" s="1414">
        <f>R16</f>
        <v>5827.92</v>
      </c>
    </row>
    <row r="17" spans="1:19" ht="20.399999999999999" customHeight="1">
      <c r="A17" s="1179"/>
      <c r="B17" s="1163"/>
      <c r="C17" s="1172"/>
      <c r="D17" s="1178"/>
      <c r="E17" s="1175"/>
      <c r="F17" s="1176"/>
      <c r="G17" s="1174"/>
      <c r="H17" s="1161"/>
      <c r="I17" s="1177"/>
      <c r="J17" s="1187"/>
      <c r="K17" s="1421" t="s">
        <v>529</v>
      </c>
      <c r="L17" s="1407" t="s">
        <v>2182</v>
      </c>
      <c r="M17" s="1401" t="s">
        <v>36</v>
      </c>
      <c r="N17" s="1167"/>
      <c r="O17" s="1167"/>
      <c r="P17" s="1167"/>
      <c r="Q17" s="1402"/>
      <c r="R17" s="1167"/>
      <c r="S17" s="1405">
        <f>SUM(R20:R25)</f>
        <v>593.31000000000006</v>
      </c>
    </row>
    <row r="18" spans="1:19" ht="13.8">
      <c r="A18" s="1179"/>
      <c r="B18" s="1163"/>
      <c r="C18" s="1172"/>
      <c r="D18" s="1178"/>
      <c r="E18" s="1175"/>
      <c r="F18" s="1176"/>
      <c r="G18" s="1174"/>
      <c r="H18" s="1161"/>
      <c r="I18" s="1177"/>
      <c r="J18" s="1187"/>
      <c r="K18" s="1421"/>
      <c r="L18" s="1232" t="s">
        <v>2130</v>
      </c>
      <c r="M18" s="1233"/>
      <c r="N18" s="1234"/>
      <c r="O18" s="1182"/>
      <c r="P18" s="1182"/>
      <c r="Q18" s="1182"/>
      <c r="R18" s="1182"/>
      <c r="S18" s="1210"/>
    </row>
    <row r="19" spans="1:19" ht="13.8">
      <c r="A19" s="1179"/>
      <c r="B19" s="1163"/>
      <c r="C19" s="1172"/>
      <c r="D19" s="1178"/>
      <c r="E19" s="1175"/>
      <c r="F19" s="1176"/>
      <c r="G19" s="1174"/>
      <c r="H19" s="1161"/>
      <c r="I19" s="1177"/>
      <c r="J19" s="1187"/>
      <c r="K19" s="1421"/>
      <c r="L19" s="1232" t="s">
        <v>2136</v>
      </c>
      <c r="M19" s="1233"/>
      <c r="N19" s="1234"/>
      <c r="O19" s="1182"/>
      <c r="P19" s="1182"/>
      <c r="Q19" s="1182"/>
      <c r="R19" s="1182"/>
      <c r="S19" s="1210"/>
    </row>
    <row r="20" spans="1:19" ht="13.8">
      <c r="A20" s="1179"/>
      <c r="B20" s="1163"/>
      <c r="C20" s="1172"/>
      <c r="D20" s="1178"/>
      <c r="E20" s="1175"/>
      <c r="F20" s="1176"/>
      <c r="G20" s="1174"/>
      <c r="H20" s="1161"/>
      <c r="I20" s="1177"/>
      <c r="J20" s="1187"/>
      <c r="K20" s="1421"/>
      <c r="L20" s="1232" t="s">
        <v>2144</v>
      </c>
      <c r="M20" s="1233"/>
      <c r="N20" s="1234">
        <v>20</v>
      </c>
      <c r="O20" s="1182">
        <v>0.25</v>
      </c>
      <c r="P20" s="1182">
        <v>0.3</v>
      </c>
      <c r="Q20" s="1182">
        <f>2.7*3</f>
        <v>8.1000000000000014</v>
      </c>
      <c r="R20" s="1182">
        <f>PRODUCT(N20:Q20)</f>
        <v>12.150000000000002</v>
      </c>
      <c r="S20" s="1210"/>
    </row>
    <row r="21" spans="1:19" ht="13.8">
      <c r="A21" s="1179"/>
      <c r="B21" s="1163"/>
      <c r="C21" s="1172"/>
      <c r="D21" s="1178"/>
      <c r="E21" s="1175"/>
      <c r="F21" s="1176"/>
      <c r="G21" s="1174"/>
      <c r="H21" s="1161"/>
      <c r="I21" s="1177"/>
      <c r="J21" s="1187"/>
      <c r="K21" s="1421"/>
      <c r="L21" s="1232" t="s">
        <v>2145</v>
      </c>
      <c r="M21" s="1233"/>
      <c r="N21" s="1234">
        <v>18</v>
      </c>
      <c r="O21" s="1182">
        <v>7.8</v>
      </c>
      <c r="P21" s="1182"/>
      <c r="Q21" s="1182">
        <v>2.9</v>
      </c>
      <c r="R21" s="1182">
        <f>PRODUCT(N21:Q21)</f>
        <v>407.16</v>
      </c>
      <c r="S21" s="1210"/>
    </row>
    <row r="22" spans="1:19" ht="13.8">
      <c r="A22" s="1179"/>
      <c r="B22" s="1163"/>
      <c r="C22" s="1172"/>
      <c r="D22" s="1178"/>
      <c r="E22" s="1175"/>
      <c r="F22" s="1176"/>
      <c r="G22" s="1174"/>
      <c r="H22" s="1161"/>
      <c r="I22" s="1177"/>
      <c r="J22" s="1187"/>
      <c r="K22" s="1421"/>
      <c r="L22" s="1232" t="s">
        <v>2146</v>
      </c>
      <c r="M22" s="1233"/>
      <c r="N22" s="1234">
        <v>15</v>
      </c>
      <c r="O22" s="1182">
        <v>0.8</v>
      </c>
      <c r="P22" s="1182"/>
      <c r="Q22" s="1182">
        <f>2.9*3</f>
        <v>8.6999999999999993</v>
      </c>
      <c r="R22" s="1182">
        <f>PRODUCT(N22:Q22)</f>
        <v>104.39999999999999</v>
      </c>
      <c r="S22" s="1210"/>
    </row>
    <row r="23" spans="1:19" ht="13.8">
      <c r="A23" s="1179"/>
      <c r="B23" s="1163"/>
      <c r="C23" s="1172"/>
      <c r="D23" s="1178"/>
      <c r="E23" s="1175"/>
      <c r="F23" s="1176"/>
      <c r="G23" s="1174"/>
      <c r="H23" s="1161"/>
      <c r="I23" s="1177"/>
      <c r="J23" s="1187"/>
      <c r="K23" s="1421"/>
      <c r="L23" s="1232" t="s">
        <v>2147</v>
      </c>
      <c r="M23" s="1233"/>
      <c r="N23" s="1234">
        <v>4</v>
      </c>
      <c r="O23" s="1182">
        <v>0.8</v>
      </c>
      <c r="P23" s="1182"/>
      <c r="Q23" s="1182">
        <f>2.9*3</f>
        <v>8.6999999999999993</v>
      </c>
      <c r="R23" s="1182">
        <f>PRODUCT(N23:Q23)</f>
        <v>27.84</v>
      </c>
      <c r="S23" s="1210"/>
    </row>
    <row r="24" spans="1:19" ht="13.8">
      <c r="A24" s="1179"/>
      <c r="B24" s="1163"/>
      <c r="C24" s="1172"/>
      <c r="D24" s="1178"/>
      <c r="E24" s="1175"/>
      <c r="F24" s="1176"/>
      <c r="G24" s="1174"/>
      <c r="H24" s="1161"/>
      <c r="I24" s="1177"/>
      <c r="J24" s="1187"/>
      <c r="K24" s="1421"/>
      <c r="L24" s="1232" t="s">
        <v>2141</v>
      </c>
      <c r="M24" s="1233"/>
      <c r="N24" s="1234"/>
      <c r="O24" s="1182"/>
      <c r="P24" s="1182"/>
      <c r="Q24" s="1182"/>
      <c r="R24" s="1182"/>
      <c r="S24" s="1210"/>
    </row>
    <row r="25" spans="1:19" ht="13.8">
      <c r="A25" s="1179"/>
      <c r="B25" s="1163"/>
      <c r="C25" s="1172"/>
      <c r="D25" s="1178"/>
      <c r="E25" s="1175"/>
      <c r="F25" s="1176"/>
      <c r="G25" s="1174"/>
      <c r="H25" s="1161"/>
      <c r="I25" s="1177"/>
      <c r="J25" s="1187"/>
      <c r="K25" s="1421"/>
      <c r="L25" s="1232" t="s">
        <v>2147</v>
      </c>
      <c r="M25" s="1233"/>
      <c r="N25" s="1234">
        <v>4</v>
      </c>
      <c r="O25" s="1182">
        <v>1.2</v>
      </c>
      <c r="P25" s="1182"/>
      <c r="Q25" s="1182">
        <f>2.9*3</f>
        <v>8.6999999999999993</v>
      </c>
      <c r="R25" s="1182">
        <f>PRODUCT(N25:Q25)</f>
        <v>41.76</v>
      </c>
      <c r="S25" s="1210"/>
    </row>
    <row r="26" spans="1:19" ht="13.8">
      <c r="A26" s="1179"/>
      <c r="B26" s="1163"/>
      <c r="C26" s="1172"/>
      <c r="D26" s="1178"/>
      <c r="E26" s="1175"/>
      <c r="F26" s="1176"/>
      <c r="G26" s="1174"/>
      <c r="H26" s="1161"/>
      <c r="I26" s="1177"/>
      <c r="J26" s="1187"/>
      <c r="K26" s="1421"/>
      <c r="L26" s="1232"/>
      <c r="M26" s="1233"/>
      <c r="N26" s="1234"/>
      <c r="O26" s="1182"/>
      <c r="P26" s="1182"/>
      <c r="Q26" s="1182"/>
      <c r="R26" s="1182"/>
      <c r="S26" s="1210"/>
    </row>
    <row r="27" spans="1:19" s="1404" customFormat="1" ht="20.399999999999999">
      <c r="A27" s="1398"/>
      <c r="B27" s="1399"/>
      <c r="C27" s="1172"/>
      <c r="D27" s="1173"/>
      <c r="E27" s="1174"/>
      <c r="F27" s="1174"/>
      <c r="G27" s="1174"/>
      <c r="H27" s="1175"/>
      <c r="I27" s="1411"/>
      <c r="J27" s="1412"/>
      <c r="K27" s="1421" t="s">
        <v>530</v>
      </c>
      <c r="L27" s="1397" t="s">
        <v>2140</v>
      </c>
      <c r="M27" s="1401" t="s">
        <v>36</v>
      </c>
      <c r="N27" s="1167"/>
      <c r="O27" s="1167"/>
      <c r="P27" s="1167"/>
      <c r="Q27" s="1402"/>
      <c r="R27" s="1167"/>
      <c r="S27" s="1405">
        <f>+P29+P30+P31</f>
        <v>987</v>
      </c>
    </row>
    <row r="28" spans="1:19" ht="13.8">
      <c r="A28" s="1179"/>
      <c r="B28" s="1163"/>
      <c r="C28" s="1172"/>
      <c r="D28" s="1178"/>
      <c r="E28" s="1175"/>
      <c r="F28" s="1176"/>
      <c r="G28" s="1174"/>
      <c r="H28" s="1161"/>
      <c r="I28" s="1177"/>
      <c r="J28" s="1187"/>
      <c r="K28" s="1421"/>
      <c r="L28" s="1257" t="s">
        <v>2130</v>
      </c>
      <c r="M28" s="1233"/>
      <c r="N28" s="1234"/>
      <c r="O28" s="1182"/>
      <c r="P28" s="1182"/>
      <c r="Q28" s="1182"/>
      <c r="R28" s="1182"/>
      <c r="S28" s="1210"/>
    </row>
    <row r="29" spans="1:19" ht="13.8">
      <c r="A29" s="1179"/>
      <c r="B29" s="1163"/>
      <c r="C29" s="1172"/>
      <c r="D29" s="1178"/>
      <c r="E29" s="1175"/>
      <c r="F29" s="1176"/>
      <c r="G29" s="1174"/>
      <c r="H29" s="1161"/>
      <c r="I29" s="1177"/>
      <c r="J29" s="1187"/>
      <c r="K29" s="1421"/>
      <c r="L29" s="1232" t="s">
        <v>2148</v>
      </c>
      <c r="M29" s="1233"/>
      <c r="N29" s="1234"/>
      <c r="O29" s="1234" t="s">
        <v>2117</v>
      </c>
      <c r="P29" s="1182">
        <v>329</v>
      </c>
      <c r="Q29" s="1182"/>
      <c r="R29" s="1182"/>
      <c r="S29" s="1210"/>
    </row>
    <row r="30" spans="1:19" ht="13.8">
      <c r="A30" s="1179"/>
      <c r="B30" s="1163"/>
      <c r="C30" s="1172"/>
      <c r="D30" s="1178"/>
      <c r="E30" s="1175"/>
      <c r="F30" s="1176"/>
      <c r="G30" s="1174"/>
      <c r="H30" s="1161"/>
      <c r="I30" s="1177"/>
      <c r="J30" s="1187"/>
      <c r="K30" s="1421"/>
      <c r="L30" s="1232" t="s">
        <v>2149</v>
      </c>
      <c r="M30" s="1233"/>
      <c r="N30" s="1234"/>
      <c r="O30" s="1234" t="s">
        <v>2117</v>
      </c>
      <c r="P30" s="1182">
        <v>329</v>
      </c>
      <c r="Q30" s="1182"/>
      <c r="R30" s="1182"/>
      <c r="S30" s="1210"/>
    </row>
    <row r="31" spans="1:19" ht="13.8">
      <c r="A31" s="1179"/>
      <c r="B31" s="1163"/>
      <c r="C31" s="1172"/>
      <c r="D31" s="1178"/>
      <c r="E31" s="1175"/>
      <c r="F31" s="1176"/>
      <c r="G31" s="1174"/>
      <c r="H31" s="1161"/>
      <c r="I31" s="1177"/>
      <c r="J31" s="1187"/>
      <c r="K31" s="1421"/>
      <c r="L31" s="1232" t="s">
        <v>2150</v>
      </c>
      <c r="M31" s="1233"/>
      <c r="N31" s="1234"/>
      <c r="O31" s="1234" t="s">
        <v>2117</v>
      </c>
      <c r="P31" s="1182">
        <v>329</v>
      </c>
      <c r="Q31" s="1182"/>
      <c r="R31" s="1182"/>
      <c r="S31" s="1210"/>
    </row>
    <row r="32" spans="1:19" ht="13.8">
      <c r="A32" s="1179"/>
      <c r="B32" s="1163"/>
      <c r="C32" s="1172"/>
      <c r="D32" s="1178"/>
      <c r="E32" s="1175"/>
      <c r="F32" s="1176"/>
      <c r="G32" s="1174"/>
      <c r="H32" s="1161"/>
      <c r="I32" s="1177"/>
      <c r="J32" s="1187"/>
      <c r="K32" s="1421"/>
      <c r="L32" s="1232"/>
      <c r="M32" s="1233"/>
      <c r="N32" s="1234"/>
      <c r="O32" s="1182"/>
      <c r="P32" s="1182"/>
      <c r="Q32" s="1182"/>
      <c r="R32" s="1182"/>
      <c r="S32" s="1210"/>
    </row>
    <row r="33" spans="1:21" s="1404" customFormat="1" ht="20.399999999999999">
      <c r="A33" s="1398"/>
      <c r="B33" s="1399"/>
      <c r="C33" s="1172"/>
      <c r="D33" s="1173"/>
      <c r="E33" s="1174"/>
      <c r="F33" s="1174"/>
      <c r="G33" s="1174"/>
      <c r="H33" s="1175"/>
      <c r="I33" s="1411"/>
      <c r="J33" s="1412"/>
      <c r="K33" s="1421" t="s">
        <v>2177</v>
      </c>
      <c r="L33" s="1416" t="s">
        <v>2178</v>
      </c>
      <c r="M33" s="1401" t="s">
        <v>36</v>
      </c>
      <c r="N33" s="1167"/>
      <c r="O33" s="1167"/>
      <c r="P33" s="1167"/>
      <c r="Q33" s="1402"/>
      <c r="R33" s="1167"/>
      <c r="S33" s="1405">
        <f>SUM(R34:R44)</f>
        <v>6086</v>
      </c>
    </row>
    <row r="34" spans="1:21" ht="13.8">
      <c r="A34" s="1179"/>
      <c r="B34" s="1163"/>
      <c r="C34" s="1172"/>
      <c r="D34" s="1178"/>
      <c r="E34" s="1175"/>
      <c r="F34" s="1176"/>
      <c r="G34" s="1174"/>
      <c r="H34" s="1161"/>
      <c r="I34" s="1177"/>
      <c r="J34" s="1187"/>
      <c r="K34" s="1421"/>
      <c r="L34" s="1232" t="s">
        <v>2131</v>
      </c>
      <c r="M34" s="1233"/>
      <c r="N34" s="1234"/>
      <c r="O34" s="1234"/>
      <c r="P34" s="1182"/>
      <c r="Q34" s="1182"/>
      <c r="R34" s="1182">
        <v>194</v>
      </c>
      <c r="S34" s="1210"/>
    </row>
    <row r="35" spans="1:21" ht="13.8">
      <c r="A35" s="1179"/>
      <c r="B35" s="1163"/>
      <c r="C35" s="1172"/>
      <c r="D35" s="1178"/>
      <c r="E35" s="1175"/>
      <c r="F35" s="1176"/>
      <c r="G35" s="1174"/>
      <c r="H35" s="1161"/>
      <c r="I35" s="1177"/>
      <c r="J35" s="1187"/>
      <c r="K35" s="1421"/>
      <c r="L35" s="1232" t="s">
        <v>2135</v>
      </c>
      <c r="M35" s="1233"/>
      <c r="N35" s="1234"/>
      <c r="O35" s="1234"/>
      <c r="P35" s="1182"/>
      <c r="Q35" s="1182"/>
      <c r="R35" s="1182">
        <v>1136</v>
      </c>
      <c r="S35" s="1210"/>
    </row>
    <row r="36" spans="1:21" ht="13.8">
      <c r="A36" s="1179"/>
      <c r="B36" s="1163"/>
      <c r="C36" s="1172"/>
      <c r="D36" s="1178"/>
      <c r="E36" s="1175"/>
      <c r="F36" s="1176"/>
      <c r="G36" s="1174"/>
      <c r="H36" s="1161"/>
      <c r="I36" s="1177"/>
      <c r="J36" s="1187"/>
      <c r="K36" s="1421"/>
      <c r="L36" s="1232" t="s">
        <v>2132</v>
      </c>
      <c r="M36" s="1233"/>
      <c r="N36" s="1234"/>
      <c r="O36" s="1234"/>
      <c r="P36" s="1182"/>
      <c r="Q36" s="1182"/>
      <c r="R36" s="1182">
        <v>136</v>
      </c>
      <c r="S36" s="1210"/>
    </row>
    <row r="37" spans="1:21" ht="13.8">
      <c r="A37" s="1179"/>
      <c r="B37" s="1163"/>
      <c r="C37" s="1172"/>
      <c r="D37" s="1178"/>
      <c r="E37" s="1175"/>
      <c r="F37" s="1176"/>
      <c r="G37" s="1174"/>
      <c r="H37" s="1161"/>
      <c r="I37" s="1177"/>
      <c r="J37" s="1187"/>
      <c r="K37" s="1421"/>
      <c r="L37" s="1232" t="s">
        <v>2130</v>
      </c>
      <c r="M37" s="1233"/>
      <c r="N37" s="1234"/>
      <c r="O37" s="1182"/>
      <c r="P37" s="1182"/>
      <c r="Q37" s="1182"/>
      <c r="R37" s="1182">
        <f>329*3</f>
        <v>987</v>
      </c>
      <c r="S37" s="1210"/>
    </row>
    <row r="38" spans="1:21" ht="13.8">
      <c r="A38" s="1179"/>
      <c r="B38" s="1163"/>
      <c r="C38" s="1172"/>
      <c r="D38" s="1178"/>
      <c r="E38" s="1175"/>
      <c r="F38" s="1176"/>
      <c r="G38" s="1174"/>
      <c r="H38" s="1161"/>
      <c r="I38" s="1177"/>
      <c r="J38" s="1187"/>
      <c r="K38" s="1421"/>
      <c r="L38" s="1232" t="s">
        <v>2129</v>
      </c>
      <c r="M38" s="1233"/>
      <c r="N38" s="1234"/>
      <c r="O38" s="1182"/>
      <c r="P38" s="1182"/>
      <c r="Q38" s="1182"/>
      <c r="R38" s="1182">
        <v>1072</v>
      </c>
      <c r="S38" s="1210"/>
    </row>
    <row r="39" spans="1:21" ht="13.8">
      <c r="A39" s="1179"/>
      <c r="B39" s="1163"/>
      <c r="C39" s="1172"/>
      <c r="D39" s="1178"/>
      <c r="E39" s="1175"/>
      <c r="F39" s="1176"/>
      <c r="G39" s="1174"/>
      <c r="H39" s="1161"/>
      <c r="I39" s="1177"/>
      <c r="J39" s="1187"/>
      <c r="K39" s="1421"/>
      <c r="L39" s="1232" t="s">
        <v>2127</v>
      </c>
      <c r="M39" s="1233"/>
      <c r="N39" s="1234"/>
      <c r="O39" s="1182"/>
      <c r="P39" s="1182"/>
      <c r="Q39" s="1182"/>
      <c r="R39" s="1182">
        <v>540</v>
      </c>
      <c r="S39" s="1210"/>
    </row>
    <row r="40" spans="1:21" ht="13.8">
      <c r="A40" s="1179"/>
      <c r="B40" s="1163"/>
      <c r="C40" s="1172"/>
      <c r="D40" s="1178"/>
      <c r="E40" s="1175"/>
      <c r="F40" s="1176"/>
      <c r="G40" s="1174"/>
      <c r="H40" s="1161"/>
      <c r="I40" s="1177"/>
      <c r="J40" s="1187"/>
      <c r="K40" s="1421"/>
      <c r="L40" s="1232" t="s">
        <v>2133</v>
      </c>
      <c r="M40" s="1233"/>
      <c r="N40" s="1234"/>
      <c r="O40" s="1182"/>
      <c r="P40" s="1182"/>
      <c r="Q40" s="1182"/>
      <c r="R40" s="1182">
        <v>102</v>
      </c>
      <c r="S40" s="1210"/>
    </row>
    <row r="41" spans="1:21" ht="13.8">
      <c r="A41" s="1179"/>
      <c r="B41" s="1163"/>
      <c r="C41" s="1172"/>
      <c r="D41" s="1178"/>
      <c r="E41" s="1175"/>
      <c r="F41" s="1176"/>
      <c r="G41" s="1174"/>
      <c r="H41" s="1161"/>
      <c r="I41" s="1177"/>
      <c r="J41" s="1187"/>
      <c r="K41" s="1421"/>
      <c r="L41" s="1232" t="s">
        <v>2126</v>
      </c>
      <c r="M41" s="1233"/>
      <c r="N41" s="1234"/>
      <c r="O41" s="1182"/>
      <c r="P41" s="1182"/>
      <c r="Q41" s="1182"/>
      <c r="R41" s="1182">
        <v>564</v>
      </c>
      <c r="S41" s="1210"/>
    </row>
    <row r="42" spans="1:21" ht="13.8">
      <c r="A42" s="1179"/>
      <c r="B42" s="1163"/>
      <c r="C42" s="1172"/>
      <c r="D42" s="1178"/>
      <c r="E42" s="1175"/>
      <c r="F42" s="1176"/>
      <c r="G42" s="1174"/>
      <c r="H42" s="1161"/>
      <c r="I42" s="1177"/>
      <c r="J42" s="1187"/>
      <c r="K42" s="1421"/>
      <c r="L42" s="1232" t="s">
        <v>2128</v>
      </c>
      <c r="M42" s="1233"/>
      <c r="N42" s="1234"/>
      <c r="O42" s="1182"/>
      <c r="P42" s="1182"/>
      <c r="Q42" s="1182"/>
      <c r="R42" s="1182">
        <v>190</v>
      </c>
      <c r="S42" s="1210"/>
    </row>
    <row r="43" spans="1:21" ht="13.8">
      <c r="A43" s="1179"/>
      <c r="B43" s="1163"/>
      <c r="C43" s="1172"/>
      <c r="D43" s="1178"/>
      <c r="E43" s="1175"/>
      <c r="F43" s="1176"/>
      <c r="G43" s="1174"/>
      <c r="H43" s="1161"/>
      <c r="I43" s="1177"/>
      <c r="J43" s="1187"/>
      <c r="K43" s="1421"/>
      <c r="L43" s="1232" t="s">
        <v>2134</v>
      </c>
      <c r="M43" s="1233"/>
      <c r="N43" s="1234"/>
      <c r="O43" s="1182"/>
      <c r="P43" s="1182"/>
      <c r="Q43" s="1182"/>
      <c r="R43" s="1182">
        <v>855</v>
      </c>
      <c r="S43" s="1210"/>
    </row>
    <row r="44" spans="1:21" ht="13.8">
      <c r="A44" s="1179"/>
      <c r="B44" s="1163"/>
      <c r="C44" s="1172"/>
      <c r="D44" s="1178"/>
      <c r="E44" s="1175"/>
      <c r="F44" s="1176"/>
      <c r="G44" s="1174"/>
      <c r="H44" s="1161"/>
      <c r="I44" s="1177"/>
      <c r="J44" s="1187"/>
      <c r="K44" s="1421"/>
      <c r="L44" s="1232" t="s">
        <v>2151</v>
      </c>
      <c r="M44" s="1233"/>
      <c r="N44" s="1234"/>
      <c r="O44" s="1182"/>
      <c r="P44" s="1182"/>
      <c r="Q44" s="1182"/>
      <c r="R44" s="1182">
        <v>310</v>
      </c>
      <c r="S44" s="1210"/>
    </row>
    <row r="45" spans="1:21" ht="13.8">
      <c r="A45" s="1179"/>
      <c r="B45" s="1163"/>
      <c r="C45" s="1172"/>
      <c r="D45" s="1178"/>
      <c r="E45" s="1175"/>
      <c r="F45" s="1176"/>
      <c r="G45" s="1174"/>
      <c r="H45" s="1161"/>
      <c r="I45" s="1177"/>
      <c r="J45" s="1187"/>
      <c r="K45" s="1421"/>
      <c r="L45" s="1232"/>
      <c r="M45" s="1233"/>
      <c r="N45" s="1234"/>
      <c r="O45" s="1182"/>
      <c r="P45" s="1182"/>
      <c r="Q45" s="1182"/>
      <c r="R45" s="1182"/>
      <c r="S45" s="1210"/>
    </row>
    <row r="46" spans="1:21" s="1404" customFormat="1" ht="20.399999999999999">
      <c r="A46" s="1398"/>
      <c r="B46" s="1399"/>
      <c r="C46" s="1172"/>
      <c r="D46" s="1173"/>
      <c r="E46" s="1174"/>
      <c r="F46" s="1174"/>
      <c r="G46" s="1174"/>
      <c r="H46" s="1175"/>
      <c r="I46" s="1411"/>
      <c r="J46" s="1412"/>
      <c r="K46" s="1421" t="s">
        <v>532</v>
      </c>
      <c r="L46" s="1397" t="s">
        <v>2142</v>
      </c>
      <c r="M46" s="1401" t="s">
        <v>36</v>
      </c>
      <c r="N46" s="1167"/>
      <c r="O46" s="1167"/>
      <c r="P46" s="1167"/>
      <c r="Q46" s="1402"/>
      <c r="R46" s="1167"/>
      <c r="S46" s="1405">
        <f>SUM(R49:R51)</f>
        <v>962.8</v>
      </c>
      <c r="T46" s="1404">
        <v>0.4</v>
      </c>
      <c r="U46" s="1404" t="e">
        <f>+T46*#REF!*#REF!</f>
        <v>#REF!</v>
      </c>
    </row>
    <row r="47" spans="1:21" ht="13.8">
      <c r="A47" s="1179"/>
      <c r="B47" s="1163"/>
      <c r="C47" s="1172"/>
      <c r="D47" s="1178"/>
      <c r="E47" s="1175"/>
      <c r="F47" s="1176"/>
      <c r="G47" s="1174"/>
      <c r="H47" s="1161"/>
      <c r="I47" s="1177"/>
      <c r="J47" s="1187"/>
      <c r="K47" s="1421"/>
      <c r="L47" s="1232" t="s">
        <v>2130</v>
      </c>
      <c r="M47" s="1261"/>
      <c r="N47" s="1234"/>
      <c r="O47" s="1182"/>
      <c r="P47" s="1182"/>
      <c r="Q47" s="1182"/>
      <c r="R47" s="1182"/>
      <c r="S47" s="1210"/>
    </row>
    <row r="48" spans="1:21" ht="13.8">
      <c r="A48" s="1179"/>
      <c r="B48" s="1163"/>
      <c r="C48" s="1172"/>
      <c r="D48" s="1178"/>
      <c r="E48" s="1175"/>
      <c r="F48" s="1176"/>
      <c r="G48" s="1174"/>
      <c r="H48" s="1161"/>
      <c r="I48" s="1177"/>
      <c r="J48" s="1187"/>
      <c r="K48" s="1421"/>
      <c r="L48" s="1232" t="s">
        <v>2152</v>
      </c>
      <c r="M48" s="1261"/>
      <c r="N48" s="1234"/>
      <c r="O48" s="1182"/>
      <c r="P48" s="1182"/>
      <c r="Q48" s="1182"/>
      <c r="R48" s="1182"/>
      <c r="S48" s="1210"/>
    </row>
    <row r="49" spans="1:22" ht="13.8">
      <c r="A49" s="1179"/>
      <c r="B49" s="1163"/>
      <c r="C49" s="1172"/>
      <c r="D49" s="1178"/>
      <c r="E49" s="1175"/>
      <c r="F49" s="1176"/>
      <c r="G49" s="1174"/>
      <c r="H49" s="1161"/>
      <c r="I49" s="1177"/>
      <c r="J49" s="1187"/>
      <c r="K49" s="1421"/>
      <c r="L49" s="1232" t="s">
        <v>2153</v>
      </c>
      <c r="M49" s="1261"/>
      <c r="N49" s="1234"/>
      <c r="O49" s="1182">
        <v>62</v>
      </c>
      <c r="P49" s="1182"/>
      <c r="Q49" s="1182">
        <v>2.9</v>
      </c>
      <c r="R49" s="1182">
        <f>PRODUCT(O49:Q49)</f>
        <v>179.79999999999998</v>
      </c>
      <c r="S49" s="1210"/>
    </row>
    <row r="50" spans="1:22" ht="13.8">
      <c r="A50" s="1179"/>
      <c r="B50" s="1163"/>
      <c r="C50" s="1172"/>
      <c r="D50" s="1178"/>
      <c r="E50" s="1175"/>
      <c r="F50" s="1176"/>
      <c r="G50" s="1174"/>
      <c r="H50" s="1161"/>
      <c r="I50" s="1177"/>
      <c r="J50" s="1187"/>
      <c r="K50" s="1421"/>
      <c r="L50" s="1232" t="s">
        <v>2154</v>
      </c>
      <c r="M50" s="1261"/>
      <c r="N50" s="1234"/>
      <c r="O50" s="1182">
        <v>166</v>
      </c>
      <c r="P50" s="1182"/>
      <c r="Q50" s="1182">
        <v>2.9</v>
      </c>
      <c r="R50" s="1182">
        <f t="shared" ref="R50:R51" si="0">PRODUCT(O50:Q50)</f>
        <v>481.4</v>
      </c>
      <c r="S50" s="1210"/>
    </row>
    <row r="51" spans="1:22" ht="13.8">
      <c r="A51" s="1179"/>
      <c r="B51" s="1163"/>
      <c r="C51" s="1172"/>
      <c r="D51" s="1178"/>
      <c r="E51" s="1175"/>
      <c r="F51" s="1176"/>
      <c r="G51" s="1174"/>
      <c r="H51" s="1161"/>
      <c r="I51" s="1177"/>
      <c r="J51" s="1187"/>
      <c r="K51" s="1421"/>
      <c r="L51" s="1232" t="s">
        <v>2155</v>
      </c>
      <c r="M51" s="1261"/>
      <c r="N51" s="1234"/>
      <c r="O51" s="1182">
        <v>104</v>
      </c>
      <c r="P51" s="1182"/>
      <c r="Q51" s="1182">
        <v>2.9</v>
      </c>
      <c r="R51" s="1182">
        <f t="shared" si="0"/>
        <v>301.59999999999997</v>
      </c>
      <c r="S51" s="1210"/>
    </row>
    <row r="52" spans="1:22" ht="13.8">
      <c r="A52" s="1179"/>
      <c r="B52" s="1163"/>
      <c r="C52" s="1172"/>
      <c r="D52" s="1178"/>
      <c r="E52" s="1175"/>
      <c r="F52" s="1176"/>
      <c r="G52" s="1174"/>
      <c r="H52" s="1161"/>
      <c r="I52" s="1177"/>
      <c r="J52" s="1187"/>
      <c r="K52" s="1421"/>
      <c r="L52" s="1316"/>
      <c r="M52" s="1303"/>
      <c r="N52" s="1304"/>
      <c r="O52" s="1236"/>
      <c r="P52" s="1236"/>
      <c r="Q52" s="1236"/>
      <c r="R52" s="1182"/>
      <c r="S52" s="1210"/>
      <c r="T52" s="1170" t="e">
        <f>+#REF!*#REF!</f>
        <v>#REF!</v>
      </c>
    </row>
    <row r="53" spans="1:22" s="1404" customFormat="1" ht="20.399999999999999">
      <c r="A53" s="1398"/>
      <c r="B53" s="1399"/>
      <c r="C53" s="1172"/>
      <c r="D53" s="1178"/>
      <c r="E53" s="1175"/>
      <c r="F53" s="1176"/>
      <c r="G53" s="1174"/>
      <c r="H53" s="1161"/>
      <c r="I53" s="1177"/>
      <c r="J53" s="1187"/>
      <c r="K53" s="1421" t="s">
        <v>533</v>
      </c>
      <c r="L53" s="1397" t="s">
        <v>2173</v>
      </c>
      <c r="M53" s="1401" t="s">
        <v>36</v>
      </c>
      <c r="N53" s="1167"/>
      <c r="O53" s="1167"/>
      <c r="P53" s="1167"/>
      <c r="Q53" s="1402"/>
      <c r="R53" s="1167"/>
      <c r="S53" s="1405">
        <f>SUM(R54:R64)</f>
        <v>2217.52</v>
      </c>
      <c r="U53" s="1404" t="e">
        <f>+U46+#REF!+T52</f>
        <v>#REF!</v>
      </c>
      <c r="V53" s="1404">
        <v>60</v>
      </c>
    </row>
    <row r="54" spans="1:22" ht="13.8">
      <c r="A54" s="1179"/>
      <c r="B54" s="1163"/>
      <c r="C54" s="1172"/>
      <c r="D54" s="1178"/>
      <c r="E54" s="1175"/>
      <c r="F54" s="1176"/>
      <c r="G54" s="1174"/>
      <c r="H54" s="1161"/>
      <c r="I54" s="1177"/>
      <c r="J54" s="1187"/>
      <c r="K54" s="1421"/>
      <c r="L54" s="1232" t="s">
        <v>2131</v>
      </c>
      <c r="M54" s="1233"/>
      <c r="N54" s="1234">
        <v>3</v>
      </c>
      <c r="O54" s="1182">
        <v>3</v>
      </c>
      <c r="P54" s="1182"/>
      <c r="Q54" s="1182">
        <v>10</v>
      </c>
      <c r="R54" s="1182">
        <f>PRODUCT(N54:Q54)</f>
        <v>90</v>
      </c>
      <c r="S54" s="1210"/>
    </row>
    <row r="55" spans="1:22" ht="13.8">
      <c r="A55" s="1179"/>
      <c r="B55" s="1163"/>
      <c r="C55" s="1172"/>
      <c r="D55" s="1178"/>
      <c r="E55" s="1175"/>
      <c r="F55" s="1176"/>
      <c r="G55" s="1174"/>
      <c r="H55" s="1161"/>
      <c r="I55" s="1177"/>
      <c r="J55" s="1187"/>
      <c r="K55" s="1421"/>
      <c r="L55" s="1232" t="s">
        <v>2135</v>
      </c>
      <c r="M55" s="1233"/>
      <c r="N55" s="1234">
        <v>2</v>
      </c>
      <c r="O55" s="1182">
        <v>21</v>
      </c>
      <c r="P55" s="1182"/>
      <c r="Q55" s="1182">
        <v>8</v>
      </c>
      <c r="R55" s="1182">
        <f t="shared" ref="R55:R64" si="1">PRODUCT(N55:Q55)</f>
        <v>336</v>
      </c>
      <c r="S55" s="1210"/>
    </row>
    <row r="56" spans="1:22" ht="13.8">
      <c r="A56" s="1179"/>
      <c r="B56" s="1163"/>
      <c r="C56" s="1172"/>
      <c r="D56" s="1178"/>
      <c r="E56" s="1175"/>
      <c r="F56" s="1176"/>
      <c r="G56" s="1174"/>
      <c r="H56" s="1161"/>
      <c r="I56" s="1177"/>
      <c r="J56" s="1187"/>
      <c r="K56" s="1421"/>
      <c r="L56" s="1232" t="s">
        <v>2132</v>
      </c>
      <c r="M56" s="1233"/>
      <c r="N56" s="1234">
        <v>1</v>
      </c>
      <c r="O56" s="1182">
        <v>14</v>
      </c>
      <c r="P56" s="1182"/>
      <c r="Q56" s="1182">
        <v>12</v>
      </c>
      <c r="R56" s="1182">
        <f t="shared" si="1"/>
        <v>168</v>
      </c>
      <c r="S56" s="1210"/>
    </row>
    <row r="57" spans="1:22" ht="13.8">
      <c r="A57" s="1179"/>
      <c r="B57" s="1163"/>
      <c r="C57" s="1172"/>
      <c r="D57" s="1178"/>
      <c r="E57" s="1175"/>
      <c r="F57" s="1176"/>
      <c r="G57" s="1174"/>
      <c r="H57" s="1161"/>
      <c r="I57" s="1177"/>
      <c r="J57" s="1187"/>
      <c r="K57" s="1421"/>
      <c r="L57" s="1232" t="s">
        <v>2130</v>
      </c>
      <c r="M57" s="1233"/>
      <c r="N57" s="1234">
        <v>2</v>
      </c>
      <c r="O57" s="1182">
        <v>12</v>
      </c>
      <c r="P57" s="1182"/>
      <c r="Q57" s="1182">
        <v>8.1999999999999993</v>
      </c>
      <c r="R57" s="1182">
        <f t="shared" si="1"/>
        <v>196.79999999999998</v>
      </c>
      <c r="S57" s="1210"/>
    </row>
    <row r="58" spans="1:22" ht="13.8">
      <c r="A58" s="1179"/>
      <c r="B58" s="1163"/>
      <c r="C58" s="1172"/>
      <c r="D58" s="1178"/>
      <c r="E58" s="1175"/>
      <c r="F58" s="1176"/>
      <c r="G58" s="1174"/>
      <c r="H58" s="1161"/>
      <c r="I58" s="1177"/>
      <c r="J58" s="1187"/>
      <c r="K58" s="1421"/>
      <c r="L58" s="1232" t="s">
        <v>2129</v>
      </c>
      <c r="M58" s="1233"/>
      <c r="N58" s="1234">
        <v>2</v>
      </c>
      <c r="O58" s="1182">
        <v>13</v>
      </c>
      <c r="P58" s="1182"/>
      <c r="Q58" s="1182">
        <v>6.5</v>
      </c>
      <c r="R58" s="1182">
        <f t="shared" si="1"/>
        <v>169</v>
      </c>
      <c r="S58" s="1210"/>
    </row>
    <row r="59" spans="1:22" ht="13.8">
      <c r="A59" s="1179"/>
      <c r="B59" s="1163"/>
      <c r="C59" s="1172"/>
      <c r="D59" s="1178"/>
      <c r="E59" s="1175"/>
      <c r="F59" s="1176"/>
      <c r="G59" s="1174"/>
      <c r="H59" s="1161"/>
      <c r="I59" s="1177"/>
      <c r="J59" s="1187"/>
      <c r="K59" s="1421"/>
      <c r="L59" s="1232" t="s">
        <v>2127</v>
      </c>
      <c r="M59" s="1233"/>
      <c r="N59" s="1234">
        <v>2</v>
      </c>
      <c r="O59" s="1182">
        <v>12</v>
      </c>
      <c r="P59" s="1182"/>
      <c r="Q59" s="1182">
        <v>8.3000000000000007</v>
      </c>
      <c r="R59" s="1182">
        <f t="shared" si="1"/>
        <v>199.20000000000002</v>
      </c>
      <c r="S59" s="1210"/>
    </row>
    <row r="60" spans="1:22" ht="13.8">
      <c r="A60" s="1179"/>
      <c r="B60" s="1163"/>
      <c r="C60" s="1172"/>
      <c r="D60" s="1178"/>
      <c r="E60" s="1175"/>
      <c r="F60" s="1176"/>
      <c r="G60" s="1174"/>
      <c r="H60" s="1161"/>
      <c r="I60" s="1177"/>
      <c r="J60" s="1187"/>
      <c r="K60" s="1421"/>
      <c r="L60" s="1232" t="s">
        <v>2133</v>
      </c>
      <c r="M60" s="1233"/>
      <c r="N60" s="1234">
        <v>1</v>
      </c>
      <c r="O60" s="1182">
        <v>14</v>
      </c>
      <c r="P60" s="1182"/>
      <c r="Q60" s="1182">
        <v>8.08</v>
      </c>
      <c r="R60" s="1182">
        <f t="shared" si="1"/>
        <v>113.12</v>
      </c>
      <c r="S60" s="1210"/>
    </row>
    <row r="61" spans="1:22" ht="13.8">
      <c r="A61" s="1179"/>
      <c r="B61" s="1163"/>
      <c r="C61" s="1172"/>
      <c r="D61" s="1178"/>
      <c r="E61" s="1175"/>
      <c r="F61" s="1176"/>
      <c r="G61" s="1174"/>
      <c r="H61" s="1161"/>
      <c r="I61" s="1177"/>
      <c r="J61" s="1187"/>
      <c r="K61" s="1421"/>
      <c r="L61" s="1232" t="s">
        <v>2126</v>
      </c>
      <c r="M61" s="1233"/>
      <c r="N61" s="1234">
        <v>2</v>
      </c>
      <c r="O61" s="1182">
        <v>10</v>
      </c>
      <c r="P61" s="1182"/>
      <c r="Q61" s="1182">
        <v>8.42</v>
      </c>
      <c r="R61" s="1182">
        <f t="shared" si="1"/>
        <v>168.4</v>
      </c>
      <c r="S61" s="1210"/>
    </row>
    <row r="62" spans="1:22" ht="13.8">
      <c r="A62" s="1179"/>
      <c r="B62" s="1163"/>
      <c r="C62" s="1172"/>
      <c r="D62" s="1178"/>
      <c r="E62" s="1175"/>
      <c r="F62" s="1176"/>
      <c r="G62" s="1174"/>
      <c r="H62" s="1161"/>
      <c r="I62" s="1177"/>
      <c r="J62" s="1187"/>
      <c r="K62" s="1421"/>
      <c r="L62" s="1232" t="s">
        <v>2128</v>
      </c>
      <c r="M62" s="1233"/>
      <c r="N62" s="1234">
        <v>2</v>
      </c>
      <c r="O62" s="1182">
        <v>15</v>
      </c>
      <c r="P62" s="1182"/>
      <c r="Q62" s="1182">
        <v>8.4</v>
      </c>
      <c r="R62" s="1182">
        <f t="shared" si="1"/>
        <v>252</v>
      </c>
      <c r="S62" s="1210"/>
    </row>
    <row r="63" spans="1:22" ht="13.8">
      <c r="A63" s="1179"/>
      <c r="B63" s="1163"/>
      <c r="C63" s="1172"/>
      <c r="D63" s="1178"/>
      <c r="E63" s="1175"/>
      <c r="F63" s="1176"/>
      <c r="G63" s="1174"/>
      <c r="H63" s="1161"/>
      <c r="I63" s="1177"/>
      <c r="J63" s="1187"/>
      <c r="K63" s="1421"/>
      <c r="L63" s="1232" t="s">
        <v>2134</v>
      </c>
      <c r="M63" s="1233"/>
      <c r="N63" s="1234">
        <v>2</v>
      </c>
      <c r="O63" s="1182">
        <v>15</v>
      </c>
      <c r="P63" s="1182"/>
      <c r="Q63" s="1182">
        <v>8.3000000000000007</v>
      </c>
      <c r="R63" s="1182">
        <f>PRODUCT(N63:Q63)</f>
        <v>249.00000000000003</v>
      </c>
      <c r="S63" s="1210"/>
    </row>
    <row r="64" spans="1:22" ht="13.8">
      <c r="A64" s="1179"/>
      <c r="B64" s="1163"/>
      <c r="C64" s="1172"/>
      <c r="D64" s="1178"/>
      <c r="E64" s="1175"/>
      <c r="F64" s="1176"/>
      <c r="G64" s="1174"/>
      <c r="H64" s="1161"/>
      <c r="I64" s="1177"/>
      <c r="J64" s="1187"/>
      <c r="K64" s="1421"/>
      <c r="L64" s="1232" t="s">
        <v>2151</v>
      </c>
      <c r="M64" s="1233"/>
      <c r="N64" s="1234">
        <v>2</v>
      </c>
      <c r="O64" s="1182">
        <v>15</v>
      </c>
      <c r="P64" s="1182"/>
      <c r="Q64" s="1182">
        <v>9.1999999999999993</v>
      </c>
      <c r="R64" s="1182">
        <f t="shared" si="1"/>
        <v>276</v>
      </c>
      <c r="S64" s="1210"/>
    </row>
    <row r="65" spans="1:19" s="1404" customFormat="1" ht="13.8">
      <c r="A65" s="1398"/>
      <c r="B65" s="1399"/>
      <c r="C65" s="1172"/>
      <c r="D65" s="1178"/>
      <c r="E65" s="1175"/>
      <c r="F65" s="1176"/>
      <c r="G65" s="1174"/>
      <c r="H65" s="1161"/>
      <c r="I65" s="1177"/>
      <c r="J65" s="1187"/>
      <c r="K65" s="1421" t="s">
        <v>534</v>
      </c>
      <c r="L65" s="1397" t="s">
        <v>2159</v>
      </c>
      <c r="M65" s="1401"/>
      <c r="N65" s="1167"/>
      <c r="O65" s="1167"/>
      <c r="P65" s="1167"/>
      <c r="Q65" s="1402"/>
      <c r="R65" s="1167"/>
      <c r="S65" s="1405"/>
    </row>
    <row r="66" spans="1:19" s="1404" customFormat="1" ht="13.8">
      <c r="A66" s="1398"/>
      <c r="B66" s="1399"/>
      <c r="C66" s="1172"/>
      <c r="D66" s="1178"/>
      <c r="E66" s="1175"/>
      <c r="F66" s="1176"/>
      <c r="G66" s="1174"/>
      <c r="H66" s="1161"/>
      <c r="I66" s="1177"/>
      <c r="J66" s="1187"/>
      <c r="K66" s="1421" t="s">
        <v>535</v>
      </c>
      <c r="L66" s="1397" t="s">
        <v>2160</v>
      </c>
      <c r="M66" s="1401" t="s">
        <v>57</v>
      </c>
      <c r="N66" s="1167"/>
      <c r="O66" s="1167"/>
      <c r="P66" s="1167"/>
      <c r="Q66" s="1402"/>
      <c r="R66" s="1167"/>
      <c r="S66" s="1405">
        <f>SUM(R67:R77)</f>
        <v>267.79000000000002</v>
      </c>
    </row>
    <row r="67" spans="1:19" ht="13.8">
      <c r="A67" s="1179"/>
      <c r="B67" s="1163"/>
      <c r="C67" s="1172"/>
      <c r="D67" s="1178"/>
      <c r="E67" s="1175"/>
      <c r="F67" s="1176"/>
      <c r="G67" s="1174"/>
      <c r="H67" s="1161"/>
      <c r="I67" s="1177"/>
      <c r="J67" s="1187"/>
      <c r="K67" s="1421"/>
      <c r="L67" s="1232" t="s">
        <v>2161</v>
      </c>
      <c r="M67" s="1233"/>
      <c r="N67" s="1234"/>
      <c r="O67" s="1234"/>
      <c r="P67" s="1182"/>
      <c r="Q67" s="1182"/>
      <c r="R67" s="1182">
        <v>17.79</v>
      </c>
      <c r="S67" s="1210"/>
    </row>
    <row r="68" spans="1:19" ht="13.8">
      <c r="A68" s="1179"/>
      <c r="B68" s="1163"/>
      <c r="C68" s="1172"/>
      <c r="D68" s="1178"/>
      <c r="E68" s="1175"/>
      <c r="F68" s="1176"/>
      <c r="G68" s="1174"/>
      <c r="H68" s="1161"/>
      <c r="I68" s="1177"/>
      <c r="J68" s="1187"/>
      <c r="K68" s="1421"/>
      <c r="L68" s="1232" t="s">
        <v>2162</v>
      </c>
      <c r="M68" s="1233"/>
      <c r="N68" s="1234"/>
      <c r="O68" s="1182"/>
      <c r="P68" s="1182"/>
      <c r="Q68" s="1182"/>
      <c r="R68" s="1182">
        <v>250</v>
      </c>
      <c r="S68" s="1210"/>
    </row>
    <row r="69" spans="1:19" s="1404" customFormat="1" ht="13.8">
      <c r="A69" s="1398"/>
      <c r="B69" s="1399"/>
      <c r="C69" s="1172"/>
      <c r="D69" s="1178"/>
      <c r="E69" s="1175"/>
      <c r="F69" s="1176"/>
      <c r="G69" s="1174"/>
      <c r="H69" s="1161"/>
      <c r="I69" s="1177"/>
      <c r="J69" s="1187"/>
      <c r="K69" s="1421"/>
      <c r="L69" s="1397"/>
      <c r="M69" s="1401"/>
      <c r="N69" s="1167"/>
      <c r="O69" s="1167"/>
      <c r="P69" s="1167"/>
      <c r="Q69" s="1402"/>
      <c r="R69" s="1167"/>
      <c r="S69" s="1403"/>
    </row>
    <row r="70" spans="1:19" s="1404" customFormat="1" ht="13.8">
      <c r="A70" s="1398"/>
      <c r="B70" s="1399"/>
      <c r="C70" s="1172"/>
      <c r="D70" s="1178"/>
      <c r="E70" s="1175"/>
      <c r="F70" s="1176"/>
      <c r="G70" s="1174"/>
      <c r="H70" s="1161"/>
      <c r="I70" s="1177"/>
      <c r="J70" s="1187"/>
      <c r="K70" s="1421"/>
      <c r="L70" s="1397"/>
      <c r="M70" s="1401"/>
      <c r="N70" s="1167"/>
      <c r="O70" s="1167"/>
      <c r="P70" s="1167"/>
      <c r="Q70" s="1402"/>
      <c r="R70" s="1167"/>
      <c r="S70" s="1405"/>
    </row>
    <row r="71" spans="1:19" s="1404" customFormat="1" ht="13.8">
      <c r="A71" s="1398"/>
      <c r="B71" s="1399"/>
      <c r="C71" s="1172"/>
      <c r="D71" s="1178"/>
      <c r="E71" s="1175"/>
      <c r="F71" s="1176"/>
      <c r="G71" s="1174"/>
      <c r="H71" s="1161"/>
      <c r="I71" s="1177"/>
      <c r="J71" s="1187"/>
      <c r="K71" s="1421"/>
      <c r="L71" s="1397"/>
      <c r="M71" s="1401"/>
      <c r="N71" s="1167"/>
      <c r="O71" s="1167"/>
      <c r="P71" s="1167"/>
      <c r="Q71" s="1402"/>
      <c r="R71" s="1167"/>
      <c r="S71" s="1405"/>
    </row>
    <row r="72" spans="1:19" s="1404" customFormat="1">
      <c r="A72" s="1398"/>
      <c r="B72" s="1399"/>
      <c r="C72" s="1172"/>
      <c r="D72" s="1178"/>
      <c r="E72" s="1175"/>
      <c r="F72" s="1176"/>
      <c r="G72" s="1174"/>
      <c r="H72" s="1161"/>
      <c r="I72" s="1177"/>
      <c r="J72" s="1187"/>
      <c r="K72" s="1400"/>
      <c r="L72" s="1397"/>
      <c r="M72" s="1401"/>
      <c r="N72" s="1167"/>
      <c r="O72" s="1167"/>
      <c r="P72" s="1167"/>
      <c r="Q72" s="1402"/>
      <c r="R72" s="1167"/>
      <c r="S72" s="1405"/>
    </row>
    <row r="73" spans="1:19" s="1404" customFormat="1">
      <c r="A73" s="1398"/>
      <c r="B73" s="1399"/>
      <c r="C73" s="1172"/>
      <c r="D73" s="1178"/>
      <c r="E73" s="1175"/>
      <c r="F73" s="1176"/>
      <c r="G73" s="1174"/>
      <c r="H73" s="1161"/>
      <c r="I73" s="1177"/>
      <c r="J73" s="1187"/>
      <c r="K73" s="1320"/>
      <c r="L73" s="1397"/>
      <c r="M73" s="1167"/>
      <c r="N73" s="1167"/>
      <c r="O73" s="1167"/>
      <c r="P73" s="1167"/>
      <c r="Q73" s="1406"/>
      <c r="R73" s="1167"/>
      <c r="S73" s="1325"/>
    </row>
    <row r="74" spans="1:19" s="1404" customFormat="1">
      <c r="A74" s="1398"/>
      <c r="B74" s="1399"/>
      <c r="C74" s="1172"/>
      <c r="D74" s="1178"/>
      <c r="E74" s="1175"/>
      <c r="F74" s="1176"/>
      <c r="G74" s="1174"/>
      <c r="H74" s="1161"/>
      <c r="I74" s="1177"/>
      <c r="J74" s="1187"/>
      <c r="K74" s="1320"/>
      <c r="L74" s="1407"/>
      <c r="M74" s="1167"/>
      <c r="N74" s="1322"/>
      <c r="O74" s="1322"/>
      <c r="P74" s="1323"/>
      <c r="Q74" s="1322"/>
      <c r="R74" s="1324"/>
      <c r="S74" s="1325"/>
    </row>
    <row r="75" spans="1:19" s="1404" customFormat="1">
      <c r="A75" s="1398"/>
      <c r="B75" s="1399"/>
      <c r="C75" s="1172"/>
      <c r="D75" s="1178"/>
      <c r="E75" s="1175"/>
      <c r="F75" s="1176"/>
      <c r="G75" s="1174"/>
      <c r="H75" s="1161"/>
      <c r="I75" s="1177"/>
      <c r="J75" s="1187"/>
      <c r="K75" s="1320"/>
      <c r="L75" s="1408"/>
      <c r="M75" s="1409"/>
      <c r="N75" s="1410"/>
      <c r="O75" s="1161"/>
      <c r="P75" s="1161"/>
      <c r="Q75" s="1161"/>
      <c r="R75" s="1161"/>
      <c r="S75" s="1325"/>
    </row>
    <row r="76" spans="1:19" s="1404" customFormat="1">
      <c r="A76" s="1398"/>
      <c r="B76" s="1399"/>
      <c r="C76" s="1172"/>
      <c r="D76" s="1178"/>
      <c r="E76" s="1175"/>
      <c r="F76" s="1176"/>
      <c r="G76" s="1174"/>
      <c r="H76" s="1161"/>
      <c r="I76" s="1177"/>
      <c r="J76" s="1187"/>
      <c r="K76" s="1320"/>
      <c r="L76" s="1408"/>
      <c r="M76" s="1409"/>
      <c r="N76" s="1410"/>
      <c r="O76" s="1161"/>
      <c r="P76" s="1161"/>
      <c r="Q76" s="1161"/>
      <c r="R76" s="1161"/>
      <c r="S76" s="1325"/>
    </row>
    <row r="77" spans="1:19" s="1404" customFormat="1">
      <c r="A77" s="1398"/>
      <c r="B77" s="1399"/>
      <c r="C77" s="1172"/>
      <c r="D77" s="1173"/>
      <c r="E77" s="1174"/>
      <c r="F77" s="1174"/>
      <c r="G77" s="1174"/>
      <c r="H77" s="1175"/>
      <c r="I77" s="1411"/>
      <c r="J77" s="1412"/>
      <c r="K77" s="1400"/>
      <c r="L77" s="1397"/>
      <c r="M77" s="1401"/>
      <c r="N77" s="1167"/>
      <c r="O77" s="1167"/>
      <c r="P77" s="1167"/>
      <c r="Q77" s="1402"/>
      <c r="R77" s="1167"/>
      <c r="S77" s="1405"/>
    </row>
    <row r="78" spans="1:19" s="1404" customFormat="1">
      <c r="A78" s="1398"/>
      <c r="B78" s="1399"/>
      <c r="C78" s="1172"/>
      <c r="D78" s="1173"/>
      <c r="E78" s="1174"/>
      <c r="F78" s="1174"/>
      <c r="G78" s="1174"/>
      <c r="H78" s="1175"/>
      <c r="I78" s="1411"/>
      <c r="J78" s="1412"/>
      <c r="K78" s="1320"/>
      <c r="L78" s="1397"/>
      <c r="M78" s="1413"/>
      <c r="N78" s="1322"/>
      <c r="O78" s="1322"/>
      <c r="P78" s="1323"/>
      <c r="Q78" s="1322"/>
      <c r="R78" s="1324"/>
      <c r="S78" s="1325"/>
    </row>
    <row r="79" spans="1:19" s="1404" customFormat="1">
      <c r="A79" s="1398"/>
      <c r="B79" s="1399"/>
      <c r="C79" s="1172"/>
      <c r="D79" s="1178"/>
      <c r="E79" s="1175"/>
      <c r="F79" s="1176"/>
      <c r="G79" s="1174"/>
      <c r="H79" s="1161"/>
      <c r="I79" s="1177"/>
      <c r="J79" s="1187"/>
      <c r="K79" s="1320"/>
      <c r="L79" s="1407"/>
      <c r="M79" s="1167"/>
      <c r="N79" s="1322"/>
      <c r="O79" s="1322"/>
      <c r="P79" s="1323"/>
      <c r="Q79" s="1322"/>
      <c r="R79" s="1324"/>
      <c r="S79" s="1325"/>
    </row>
    <row r="80" spans="1:19" s="1404" customFormat="1">
      <c r="A80" s="1398"/>
      <c r="B80" s="1399"/>
      <c r="C80" s="1172"/>
      <c r="D80" s="1178"/>
      <c r="E80" s="1175"/>
      <c r="F80" s="1176"/>
      <c r="G80" s="1174"/>
      <c r="H80" s="1161"/>
      <c r="I80" s="1177"/>
      <c r="J80" s="1187"/>
      <c r="K80" s="1320"/>
      <c r="L80" s="1408"/>
      <c r="M80" s="1409"/>
      <c r="N80" s="1410"/>
      <c r="O80" s="1161"/>
      <c r="P80" s="1161"/>
      <c r="Q80" s="1161"/>
      <c r="R80" s="1161"/>
      <c r="S80" s="1325"/>
    </row>
    <row r="81" spans="1:23" s="1404" customFormat="1">
      <c r="A81" s="1398"/>
      <c r="B81" s="1399"/>
      <c r="C81" s="1172"/>
      <c r="D81" s="1178"/>
      <c r="E81" s="1175"/>
      <c r="F81" s="1176"/>
      <c r="G81" s="1174"/>
      <c r="H81" s="1161"/>
      <c r="I81" s="1177"/>
      <c r="J81" s="1187"/>
      <c r="K81" s="1400"/>
      <c r="L81" s="1397"/>
      <c r="M81" s="1401"/>
      <c r="N81" s="1167"/>
      <c r="O81" s="1167"/>
      <c r="P81" s="1167"/>
      <c r="Q81" s="1402"/>
      <c r="R81" s="1167"/>
      <c r="S81" s="1405"/>
    </row>
    <row r="82" spans="1:23">
      <c r="A82" s="1179"/>
      <c r="B82" s="1162"/>
      <c r="C82" s="1172"/>
      <c r="D82" s="1173"/>
      <c r="E82" s="1174"/>
      <c r="F82" s="1174"/>
      <c r="G82" s="1174"/>
      <c r="H82" s="1175"/>
      <c r="I82" s="1171"/>
      <c r="J82" s="1189"/>
      <c r="K82" s="1258"/>
      <c r="L82" s="1257"/>
      <c r="M82" s="1261"/>
      <c r="N82" s="1234"/>
      <c r="O82" s="1182"/>
      <c r="P82" s="1182"/>
      <c r="Q82" s="1182"/>
      <c r="R82" s="1182"/>
      <c r="S82" s="1210"/>
    </row>
    <row r="83" spans="1:23">
      <c r="A83" s="1179"/>
      <c r="B83" s="1162"/>
      <c r="C83" s="1172"/>
      <c r="D83" s="1173"/>
      <c r="E83" s="1174"/>
      <c r="F83" s="1174"/>
      <c r="G83" s="1174"/>
      <c r="H83" s="1175"/>
      <c r="I83" s="1171"/>
      <c r="J83" s="1189"/>
      <c r="T83" s="1170">
        <v>107</v>
      </c>
      <c r="U83" s="1170">
        <v>0.2</v>
      </c>
      <c r="V83" s="1170">
        <f>+U83*T83</f>
        <v>21.400000000000002</v>
      </c>
    </row>
    <row r="84" spans="1:23">
      <c r="A84" s="1179"/>
      <c r="B84" s="1162"/>
      <c r="C84" s="1172"/>
      <c r="D84" s="1173"/>
      <c r="E84" s="1174"/>
      <c r="F84" s="1174"/>
      <c r="G84" s="1174"/>
      <c r="H84" s="1175"/>
      <c r="I84" s="1171"/>
      <c r="J84" s="1189"/>
      <c r="K84" s="1193"/>
      <c r="L84" s="1194"/>
      <c r="M84" s="1286"/>
      <c r="N84" s="1195"/>
      <c r="O84" s="1195"/>
      <c r="P84" s="1195"/>
      <c r="Q84" s="1196"/>
      <c r="R84" s="1195"/>
      <c r="S84" s="1209"/>
      <c r="T84" s="1170">
        <v>430</v>
      </c>
      <c r="U84" s="1170">
        <v>0.2</v>
      </c>
      <c r="V84" s="1170">
        <f>+U84*T84</f>
        <v>86</v>
      </c>
    </row>
    <row r="85" spans="1:23">
      <c r="A85" s="1179"/>
      <c r="B85" s="1162"/>
      <c r="C85" s="1172"/>
      <c r="D85" s="1173"/>
      <c r="E85" s="1174"/>
      <c r="F85" s="1174"/>
      <c r="G85" s="1174"/>
      <c r="H85" s="1175"/>
      <c r="I85" s="1171"/>
      <c r="J85" s="1189"/>
      <c r="K85" s="1193"/>
      <c r="L85" s="1194"/>
      <c r="M85" s="1286"/>
      <c r="N85" s="1195"/>
      <c r="O85" s="1195"/>
      <c r="P85" s="1195"/>
      <c r="Q85" s="1196"/>
      <c r="R85" s="1195"/>
      <c r="S85" s="1209"/>
      <c r="V85" s="1170">
        <f>SUM(V82:V84)</f>
        <v>107.4</v>
      </c>
    </row>
    <row r="86" spans="1:23">
      <c r="A86" s="1179"/>
      <c r="B86" s="1162"/>
      <c r="C86" s="1172"/>
      <c r="D86" s="1173"/>
      <c r="E86" s="1174"/>
      <c r="F86" s="1174"/>
      <c r="G86" s="1174"/>
      <c r="H86" s="1175"/>
      <c r="I86" s="1171"/>
      <c r="J86" s="1189"/>
      <c r="K86" s="1193"/>
      <c r="L86" s="1194"/>
      <c r="M86" s="1286"/>
      <c r="N86" s="1195"/>
      <c r="O86" s="1195"/>
      <c r="P86" s="1195"/>
      <c r="Q86" s="1196"/>
      <c r="R86" s="1195"/>
      <c r="S86" s="1209"/>
    </row>
    <row r="87" spans="1:23">
      <c r="A87" s="1179"/>
      <c r="B87" s="1162"/>
      <c r="C87" s="1172"/>
      <c r="D87" s="1173"/>
      <c r="E87" s="1174"/>
      <c r="F87" s="1174"/>
      <c r="G87" s="1174"/>
      <c r="H87" s="1175"/>
      <c r="I87" s="1171"/>
      <c r="J87" s="1189"/>
      <c r="K87" s="1193"/>
      <c r="L87" s="1194"/>
      <c r="M87" s="1195"/>
      <c r="N87" s="1195"/>
      <c r="O87" s="1195"/>
      <c r="P87" s="1195"/>
      <c r="Q87" s="1196"/>
      <c r="R87" s="1195"/>
      <c r="S87" s="1209"/>
      <c r="W87" s="1158" t="s">
        <v>2143</v>
      </c>
    </row>
    <row r="88" spans="1:23">
      <c r="A88" s="1179"/>
      <c r="B88" s="1163"/>
      <c r="C88" s="1172"/>
      <c r="D88" s="1178"/>
      <c r="E88" s="1175"/>
      <c r="F88" s="1176"/>
      <c r="G88" s="1174"/>
      <c r="H88" s="1161"/>
      <c r="I88" s="1177"/>
      <c r="J88" s="1187"/>
      <c r="K88" s="1203"/>
      <c r="L88" s="1232"/>
      <c r="M88" s="1233"/>
      <c r="N88" s="1234"/>
      <c r="O88" s="1182"/>
      <c r="P88" s="1182"/>
      <c r="Q88" s="1182"/>
      <c r="R88" s="1182"/>
      <c r="S88" s="1210"/>
      <c r="V88" s="1170">
        <f>+V85+V80</f>
        <v>107.4</v>
      </c>
      <c r="W88" s="1326">
        <v>220</v>
      </c>
    </row>
    <row r="89" spans="1:23">
      <c r="A89" s="1179"/>
      <c r="B89" s="1163"/>
      <c r="C89" s="1172"/>
      <c r="D89" s="1178"/>
      <c r="E89" s="1175"/>
      <c r="F89" s="1176"/>
      <c r="G89" s="1174"/>
      <c r="H89" s="1161"/>
      <c r="I89" s="1177"/>
      <c r="J89" s="1187"/>
      <c r="K89" s="1203"/>
      <c r="L89" s="1232"/>
      <c r="M89" s="1233"/>
      <c r="N89" s="1234"/>
      <c r="O89" s="1182"/>
      <c r="P89" s="1182"/>
      <c r="Q89" s="1182"/>
      <c r="R89" s="1182"/>
      <c r="S89" s="1210"/>
    </row>
    <row r="90" spans="1:23">
      <c r="A90" s="1179"/>
      <c r="B90" s="1163"/>
      <c r="C90" s="1172"/>
      <c r="D90" s="1178"/>
      <c r="E90" s="1175"/>
      <c r="F90" s="1176"/>
      <c r="G90" s="1174"/>
      <c r="H90" s="1161"/>
      <c r="I90" s="1177"/>
      <c r="J90" s="1187"/>
      <c r="K90" s="1203"/>
      <c r="L90" s="1232"/>
      <c r="M90" s="1233"/>
      <c r="N90" s="1234"/>
      <c r="O90" s="1182"/>
      <c r="P90" s="1182"/>
      <c r="Q90" s="1182"/>
      <c r="R90" s="1182"/>
      <c r="S90" s="1210"/>
    </row>
    <row r="91" spans="1:23">
      <c r="A91" s="1179"/>
      <c r="B91" s="1163"/>
      <c r="C91" s="1172"/>
      <c r="D91" s="1178"/>
      <c r="E91" s="1175"/>
      <c r="F91" s="1176"/>
      <c r="G91" s="1174"/>
      <c r="H91" s="1161"/>
      <c r="I91" s="1177"/>
      <c r="J91" s="1187"/>
      <c r="K91" s="1203"/>
      <c r="L91" s="1202"/>
      <c r="M91" s="1192"/>
      <c r="N91" s="1199"/>
      <c r="O91" s="1199"/>
      <c r="P91" s="1201"/>
      <c r="Q91" s="1199"/>
      <c r="R91" s="1200"/>
      <c r="S91" s="1210"/>
    </row>
    <row r="92" spans="1:23">
      <c r="A92" s="1179"/>
      <c r="B92" s="1163"/>
      <c r="C92" s="1172"/>
      <c r="D92" s="1178"/>
      <c r="E92" s="1175"/>
      <c r="F92" s="1176"/>
      <c r="G92" s="1174"/>
      <c r="H92" s="1161"/>
      <c r="I92" s="1177"/>
      <c r="J92" s="1187"/>
      <c r="K92" s="1203"/>
      <c r="L92" s="1202"/>
      <c r="M92" s="1192"/>
      <c r="N92" s="1199"/>
      <c r="O92" s="1199"/>
      <c r="P92" s="1201"/>
      <c r="Q92" s="1199"/>
      <c r="R92" s="1200"/>
      <c r="S92" s="1210"/>
    </row>
    <row r="93" spans="1:23">
      <c r="A93" s="1179"/>
      <c r="B93" s="1163"/>
      <c r="C93" s="1172"/>
      <c r="D93" s="1178"/>
      <c r="E93" s="1175"/>
      <c r="F93" s="1176"/>
      <c r="G93" s="1174"/>
      <c r="H93" s="1161"/>
      <c r="I93" s="1177"/>
      <c r="J93" s="1187"/>
      <c r="K93" s="1203"/>
      <c r="L93" s="1202"/>
      <c r="M93" s="1192"/>
      <c r="N93" s="1199"/>
      <c r="O93" s="1199"/>
      <c r="P93" s="1201"/>
      <c r="Q93" s="1199"/>
      <c r="R93" s="1200"/>
      <c r="S93" s="1210"/>
    </row>
    <row r="94" spans="1:23">
      <c r="A94" s="1179"/>
      <c r="B94" s="1163"/>
      <c r="C94" s="1172"/>
      <c r="D94" s="1178"/>
      <c r="E94" s="1175"/>
      <c r="F94" s="1176"/>
      <c r="G94" s="1174"/>
      <c r="H94" s="1161"/>
      <c r="I94" s="1177"/>
      <c r="J94" s="1187"/>
      <c r="K94" s="1203"/>
      <c r="L94" s="1202"/>
      <c r="M94" s="1192"/>
      <c r="N94" s="1199"/>
      <c r="O94" s="1199"/>
      <c r="P94" s="1201"/>
      <c r="Q94" s="1199"/>
      <c r="R94" s="1200"/>
      <c r="S94" s="1210"/>
    </row>
    <row r="95" spans="1:23">
      <c r="A95" s="1179"/>
      <c r="B95" s="1163"/>
      <c r="C95" s="1172"/>
      <c r="D95" s="1178"/>
      <c r="E95" s="1175"/>
      <c r="F95" s="1176"/>
      <c r="G95" s="1174"/>
      <c r="H95" s="1161"/>
      <c r="I95" s="1177"/>
      <c r="J95" s="1187"/>
      <c r="K95" s="1203"/>
      <c r="L95" s="1202"/>
      <c r="M95" s="1192"/>
      <c r="N95" s="1199"/>
      <c r="O95" s="1199"/>
      <c r="P95" s="1201"/>
      <c r="Q95" s="1199"/>
      <c r="R95" s="1200"/>
      <c r="S95" s="1210"/>
    </row>
    <row r="96" spans="1:23">
      <c r="A96" s="1179"/>
      <c r="B96" s="1163"/>
      <c r="C96" s="1172"/>
      <c r="D96" s="1178"/>
      <c r="E96" s="1175"/>
      <c r="F96" s="1176"/>
      <c r="G96" s="1174"/>
      <c r="H96" s="1161"/>
      <c r="I96" s="1177"/>
      <c r="J96" s="1187"/>
      <c r="K96" s="1203"/>
      <c r="L96" s="1202"/>
      <c r="M96" s="1192"/>
      <c r="N96" s="1199"/>
      <c r="O96" s="1199"/>
      <c r="P96" s="1201"/>
      <c r="Q96" s="1199"/>
      <c r="R96" s="1200"/>
      <c r="S96" s="1210"/>
    </row>
    <row r="97" spans="1:19">
      <c r="A97" s="1179"/>
      <c r="B97" s="1163"/>
      <c r="C97" s="1172"/>
      <c r="D97" s="1178"/>
      <c r="E97" s="1175"/>
      <c r="F97" s="1176"/>
      <c r="G97" s="1174"/>
      <c r="H97" s="1161"/>
      <c r="I97" s="1177"/>
      <c r="J97" s="1187"/>
      <c r="K97" s="1203"/>
      <c r="L97" s="1202"/>
      <c r="M97" s="1192"/>
      <c r="N97" s="1199"/>
      <c r="O97" s="1199"/>
      <c r="P97" s="1201"/>
      <c r="Q97" s="1199"/>
      <c r="R97" s="1200"/>
      <c r="S97" s="1210"/>
    </row>
    <row r="98" spans="1:19">
      <c r="A98" s="1179"/>
      <c r="B98" s="1163"/>
      <c r="C98" s="1172"/>
      <c r="D98" s="1178"/>
      <c r="E98" s="1175"/>
      <c r="F98" s="1176"/>
      <c r="G98" s="1174"/>
      <c r="H98" s="1161"/>
      <c r="I98" s="1177"/>
      <c r="J98" s="1187"/>
      <c r="K98" s="1203"/>
      <c r="L98" s="1202"/>
      <c r="M98" s="1192"/>
      <c r="N98" s="1199"/>
      <c r="O98" s="1199"/>
      <c r="P98" s="1201"/>
      <c r="Q98" s="1199"/>
      <c r="R98" s="1200"/>
      <c r="S98" s="1210"/>
    </row>
    <row r="99" spans="1:19">
      <c r="A99" s="1179"/>
      <c r="B99" s="1163"/>
      <c r="C99" s="1172"/>
      <c r="D99" s="1178"/>
      <c r="E99" s="1175"/>
      <c r="F99" s="1176"/>
      <c r="G99" s="1174"/>
      <c r="H99" s="1161"/>
      <c r="I99" s="1177"/>
      <c r="J99" s="1187"/>
      <c r="K99" s="1203"/>
      <c r="L99" s="1202"/>
      <c r="M99" s="1192"/>
      <c r="N99" s="1199"/>
      <c r="O99" s="1199"/>
      <c r="P99" s="1201"/>
      <c r="Q99" s="1199"/>
      <c r="R99" s="1200"/>
      <c r="S99" s="1210"/>
    </row>
    <row r="100" spans="1:19">
      <c r="A100" s="1179"/>
      <c r="B100" s="1163"/>
      <c r="C100" s="1172"/>
      <c r="D100" s="1178"/>
      <c r="E100" s="1175"/>
      <c r="F100" s="1176"/>
      <c r="G100" s="1174"/>
      <c r="H100" s="1161"/>
      <c r="I100" s="1177"/>
      <c r="J100" s="1187"/>
      <c r="K100" s="1203"/>
      <c r="L100" s="1202"/>
      <c r="M100" s="1192"/>
      <c r="N100" s="1199"/>
      <c r="O100" s="1199"/>
      <c r="P100" s="1201"/>
      <c r="Q100" s="1199"/>
      <c r="R100" s="1200"/>
      <c r="S100" s="1210"/>
    </row>
    <row r="101" spans="1:19">
      <c r="A101" s="1179"/>
      <c r="B101" s="1163"/>
      <c r="C101" s="1172"/>
      <c r="D101" s="1178"/>
      <c r="E101" s="1175"/>
      <c r="F101" s="1176"/>
      <c r="G101" s="1174"/>
      <c r="H101" s="1161"/>
      <c r="I101" s="1177"/>
      <c r="J101" s="1187"/>
      <c r="K101" s="1203"/>
      <c r="L101" s="1202"/>
      <c r="M101" s="1192"/>
      <c r="N101" s="1199"/>
      <c r="O101" s="1199"/>
      <c r="P101" s="1201"/>
      <c r="Q101" s="1199"/>
      <c r="R101" s="1200"/>
      <c r="S101" s="1210"/>
    </row>
    <row r="102" spans="1:19">
      <c r="A102" s="1179"/>
      <c r="B102" s="1163"/>
      <c r="C102" s="1172"/>
      <c r="D102" s="1178"/>
      <c r="E102" s="1175"/>
      <c r="F102" s="1176"/>
      <c r="G102" s="1174"/>
      <c r="H102" s="1161"/>
      <c r="I102" s="1177"/>
      <c r="J102" s="1187"/>
      <c r="K102" s="1203"/>
      <c r="L102" s="1202"/>
      <c r="M102" s="1192"/>
      <c r="N102" s="1199"/>
      <c r="O102" s="1199"/>
      <c r="P102" s="1201"/>
      <c r="Q102" s="1199"/>
      <c r="R102" s="1200"/>
      <c r="S102" s="1210"/>
    </row>
    <row r="103" spans="1:19">
      <c r="A103" s="1179"/>
      <c r="B103" s="1163"/>
      <c r="C103" s="1172"/>
      <c r="D103" s="1178"/>
      <c r="E103" s="1175"/>
      <c r="F103" s="1176"/>
      <c r="G103" s="1174"/>
      <c r="H103" s="1161"/>
      <c r="I103" s="1177"/>
      <c r="J103" s="1187"/>
      <c r="K103" s="1258"/>
      <c r="L103" s="1259"/>
      <c r="M103" s="1260"/>
      <c r="N103" s="1199"/>
      <c r="O103" s="1199"/>
      <c r="P103" s="1201"/>
      <c r="Q103" s="1199"/>
      <c r="R103" s="1200"/>
      <c r="S103" s="1210"/>
    </row>
    <row r="104" spans="1:19">
      <c r="A104" s="1179"/>
      <c r="B104" s="1163"/>
      <c r="C104" s="1172"/>
      <c r="D104" s="1178"/>
      <c r="E104" s="1175"/>
      <c r="F104" s="1176"/>
      <c r="G104" s="1174"/>
      <c r="H104" s="1161"/>
      <c r="I104" s="1177"/>
      <c r="J104" s="1187"/>
      <c r="K104" s="1258"/>
      <c r="L104" s="1259"/>
      <c r="M104" s="1260"/>
      <c r="N104" s="1199"/>
      <c r="O104" s="1199"/>
      <c r="P104" s="1201"/>
      <c r="Q104" s="1199"/>
      <c r="R104" s="1200"/>
      <c r="S104" s="1210"/>
    </row>
    <row r="105" spans="1:19">
      <c r="A105" s="1179"/>
      <c r="B105" s="1163"/>
      <c r="C105" s="1172"/>
      <c r="D105" s="1178"/>
      <c r="E105" s="1175"/>
      <c r="F105" s="1176"/>
      <c r="G105" s="1174"/>
      <c r="H105" s="1161"/>
      <c r="I105" s="1177"/>
      <c r="J105" s="1187"/>
      <c r="K105" s="1203"/>
      <c r="L105" s="1202"/>
      <c r="M105" s="1192"/>
      <c r="N105" s="1199"/>
      <c r="O105" s="1199"/>
      <c r="P105" s="1201"/>
      <c r="Q105" s="1199"/>
      <c r="R105" s="1200"/>
      <c r="S105" s="1210"/>
    </row>
    <row r="106" spans="1:19">
      <c r="A106" s="1179"/>
      <c r="B106" s="1163"/>
      <c r="C106" s="1172"/>
      <c r="D106" s="1178"/>
      <c r="E106" s="1175"/>
      <c r="F106" s="1176"/>
      <c r="G106" s="1174"/>
      <c r="H106" s="1161"/>
      <c r="I106" s="1177"/>
      <c r="J106" s="1187"/>
      <c r="K106" s="1203"/>
      <c r="L106" s="1202"/>
      <c r="M106" s="1192"/>
      <c r="N106" s="1199"/>
      <c r="O106" s="1199"/>
      <c r="P106" s="1201"/>
      <c r="Q106" s="1199"/>
      <c r="R106" s="1200"/>
      <c r="S106" s="1210"/>
    </row>
    <row r="107" spans="1:19">
      <c r="A107" s="1179"/>
      <c r="B107" s="1163"/>
      <c r="C107" s="1172"/>
      <c r="D107" s="1178"/>
      <c r="E107" s="1175"/>
      <c r="F107" s="1176"/>
      <c r="G107" s="1174"/>
      <c r="H107" s="1161"/>
      <c r="I107" s="1177"/>
      <c r="J107" s="1187"/>
      <c r="K107" s="1203"/>
      <c r="L107" s="1202"/>
      <c r="M107" s="1192"/>
      <c r="N107" s="1199"/>
      <c r="O107" s="1199"/>
      <c r="P107" s="1201"/>
      <c r="Q107" s="1199"/>
      <c r="R107" s="1200"/>
      <c r="S107" s="1210"/>
    </row>
    <row r="108" spans="1:19">
      <c r="A108" s="1179"/>
      <c r="B108" s="1163"/>
      <c r="C108" s="1172"/>
      <c r="D108" s="1178"/>
      <c r="E108" s="1175"/>
      <c r="F108" s="1176"/>
      <c r="G108" s="1174"/>
      <c r="H108" s="1161"/>
      <c r="I108" s="1177"/>
      <c r="J108" s="1187"/>
      <c r="K108" s="1203"/>
      <c r="L108" s="1202"/>
      <c r="M108" s="1192"/>
      <c r="N108" s="1199"/>
      <c r="O108" s="1199"/>
      <c r="P108" s="1201"/>
      <c r="Q108" s="1199"/>
      <c r="R108" s="1200"/>
      <c r="S108" s="1210"/>
    </row>
    <row r="109" spans="1:19">
      <c r="A109" s="1179"/>
      <c r="B109" s="1163"/>
      <c r="C109" s="1172"/>
      <c r="D109" s="1178"/>
      <c r="E109" s="1175"/>
      <c r="F109" s="1176"/>
      <c r="G109" s="1174"/>
      <c r="H109" s="1161"/>
      <c r="I109" s="1177"/>
      <c r="J109" s="1187"/>
      <c r="K109" s="1203"/>
      <c r="L109" s="1202"/>
      <c r="M109" s="1192"/>
      <c r="N109" s="1199"/>
      <c r="O109" s="1199"/>
      <c r="P109" s="1201"/>
      <c r="Q109" s="1199"/>
      <c r="R109" s="1200"/>
      <c r="S109" s="1210"/>
    </row>
    <row r="110" spans="1:19">
      <c r="A110" s="1179"/>
      <c r="B110" s="1163"/>
      <c r="C110" s="1172"/>
      <c r="D110" s="1178"/>
      <c r="E110" s="1175"/>
      <c r="F110" s="1176"/>
      <c r="G110" s="1174"/>
      <c r="H110" s="1161"/>
      <c r="I110" s="1177"/>
      <c r="J110" s="1187"/>
      <c r="K110" s="1203"/>
      <c r="L110" s="1202"/>
      <c r="M110" s="1192"/>
      <c r="N110" s="1199"/>
      <c r="O110" s="1199"/>
      <c r="P110" s="1201"/>
      <c r="Q110" s="1199"/>
      <c r="R110" s="1200"/>
      <c r="S110" s="1210"/>
    </row>
    <row r="111" spans="1:19">
      <c r="A111" s="1179"/>
      <c r="B111" s="1163"/>
      <c r="C111" s="1172"/>
      <c r="D111" s="1178"/>
      <c r="E111" s="1175"/>
      <c r="F111" s="1176"/>
      <c r="G111" s="1174"/>
      <c r="H111" s="1161"/>
      <c r="I111" s="1177"/>
      <c r="J111" s="1187"/>
      <c r="K111" s="1203"/>
      <c r="L111" s="1202"/>
      <c r="M111" s="1192"/>
      <c r="N111" s="1199"/>
      <c r="O111" s="1199"/>
      <c r="P111" s="1201"/>
      <c r="Q111" s="1199"/>
      <c r="R111" s="1200"/>
      <c r="S111" s="1210"/>
    </row>
    <row r="112" spans="1:19">
      <c r="A112" s="1179"/>
      <c r="B112" s="1163"/>
      <c r="C112" s="1172"/>
      <c r="D112" s="1178"/>
      <c r="E112" s="1175"/>
      <c r="F112" s="1176"/>
      <c r="G112" s="1174"/>
      <c r="H112" s="1161"/>
      <c r="I112" s="1177"/>
      <c r="J112" s="1187"/>
      <c r="K112" s="1203"/>
      <c r="L112" s="1202"/>
      <c r="M112" s="1192"/>
      <c r="N112" s="1199"/>
      <c r="O112" s="1199"/>
      <c r="P112" s="1201"/>
      <c r="Q112" s="1199"/>
      <c r="R112" s="1200"/>
      <c r="S112" s="1210"/>
    </row>
    <row r="113" spans="1:19">
      <c r="A113" s="1179"/>
      <c r="B113" s="1163"/>
      <c r="C113" s="1172"/>
      <c r="D113" s="1178"/>
      <c r="E113" s="1175"/>
      <c r="F113" s="1176"/>
      <c r="G113" s="1174"/>
      <c r="H113" s="1161"/>
      <c r="I113" s="1177"/>
      <c r="J113" s="1187"/>
      <c r="K113" s="1203"/>
      <c r="L113" s="1202"/>
      <c r="M113" s="1192"/>
      <c r="N113" s="1199"/>
      <c r="O113" s="1199"/>
      <c r="P113" s="1201"/>
      <c r="Q113" s="1199"/>
      <c r="R113" s="1200"/>
      <c r="S113" s="1210"/>
    </row>
    <row r="114" spans="1:19">
      <c r="A114" s="1179"/>
      <c r="B114" s="1163"/>
      <c r="C114" s="1172"/>
      <c r="D114" s="1178"/>
      <c r="E114" s="1175"/>
      <c r="F114" s="1176"/>
      <c r="G114" s="1174"/>
      <c r="H114" s="1161"/>
      <c r="I114" s="1177"/>
      <c r="J114" s="1187"/>
      <c r="K114" s="1203"/>
      <c r="L114" s="1202"/>
      <c r="M114" s="1192"/>
      <c r="N114" s="1199"/>
      <c r="O114" s="1199"/>
      <c r="P114" s="1201"/>
      <c r="Q114" s="1199"/>
      <c r="R114" s="1200"/>
      <c r="S114" s="1210"/>
    </row>
    <row r="115" spans="1:19">
      <c r="A115" s="1179"/>
      <c r="B115" s="1163"/>
      <c r="C115" s="1172"/>
      <c r="D115" s="1178"/>
      <c r="E115" s="1175"/>
      <c r="F115" s="1176"/>
      <c r="G115" s="1174"/>
      <c r="H115" s="1161"/>
      <c r="I115" s="1177"/>
      <c r="J115" s="1187"/>
      <c r="K115" s="1203"/>
      <c r="L115" s="1202"/>
      <c r="M115" s="1192"/>
      <c r="N115" s="1199"/>
      <c r="O115" s="1199"/>
      <c r="P115" s="1201"/>
      <c r="Q115" s="1199"/>
      <c r="R115" s="1200"/>
      <c r="S115" s="1210"/>
    </row>
    <row r="116" spans="1:19" s="918" customFormat="1">
      <c r="A116" s="1262"/>
      <c r="B116" s="1263"/>
      <c r="C116" s="1264"/>
      <c r="D116" s="1265"/>
      <c r="E116" s="1266"/>
      <c r="F116" s="1267"/>
      <c r="G116" s="1268"/>
      <c r="H116" s="1292"/>
      <c r="I116" s="1269"/>
      <c r="J116" s="1270"/>
      <c r="K116" s="1258"/>
      <c r="L116" s="1259"/>
      <c r="M116" s="1305"/>
      <c r="N116" s="1275"/>
      <c r="O116" s="1275"/>
      <c r="P116" s="1276"/>
      <c r="Q116" s="1275"/>
      <c r="R116" s="1200"/>
      <c r="S116" s="1306"/>
    </row>
    <row r="117" spans="1:19" s="918" customFormat="1">
      <c r="A117" s="1262"/>
      <c r="B117" s="1263"/>
      <c r="C117" s="1264"/>
      <c r="D117" s="1265"/>
      <c r="E117" s="1266"/>
      <c r="F117" s="1267"/>
      <c r="G117" s="1268"/>
      <c r="H117" s="1292"/>
      <c r="I117" s="1269"/>
      <c r="J117" s="1270"/>
      <c r="K117" s="1258"/>
      <c r="L117" s="1259"/>
      <c r="M117" s="1305"/>
      <c r="N117" s="1275"/>
      <c r="O117" s="1275"/>
      <c r="P117" s="1276"/>
      <c r="Q117" s="1275"/>
      <c r="R117" s="1200"/>
      <c r="S117" s="1306"/>
    </row>
    <row r="118" spans="1:19" s="918" customFormat="1">
      <c r="A118" s="1262"/>
      <c r="B118" s="1263"/>
      <c r="C118" s="1264"/>
      <c r="D118" s="1265"/>
      <c r="E118" s="1266"/>
      <c r="F118" s="1267"/>
      <c r="G118" s="1268"/>
      <c r="H118" s="1292"/>
      <c r="I118" s="1269"/>
      <c r="J118" s="1270"/>
      <c r="K118" s="1320"/>
      <c r="L118" s="1206"/>
      <c r="M118" s="1321"/>
      <c r="N118" s="1322"/>
      <c r="O118" s="1322"/>
      <c r="P118" s="1323"/>
      <c r="Q118" s="1322"/>
      <c r="R118" s="1324"/>
      <c r="S118" s="1325"/>
    </row>
    <row r="119" spans="1:19" s="918" customFormat="1">
      <c r="A119" s="1262"/>
      <c r="B119" s="1263"/>
      <c r="C119" s="1264"/>
      <c r="D119" s="1265"/>
      <c r="E119" s="1266"/>
      <c r="F119" s="1267"/>
      <c r="G119" s="1268"/>
      <c r="H119" s="1292"/>
      <c r="I119" s="1269"/>
      <c r="J119" s="1270"/>
      <c r="K119" s="1293"/>
      <c r="L119" s="1299"/>
      <c r="M119" s="1294"/>
      <c r="N119" s="1295"/>
      <c r="O119" s="1295"/>
      <c r="P119" s="1296"/>
      <c r="Q119" s="1295"/>
      <c r="R119" s="1297"/>
      <c r="S119" s="1298"/>
    </row>
    <row r="120" spans="1:19" s="918" customFormat="1">
      <c r="A120" s="1262"/>
      <c r="B120" s="1263"/>
      <c r="C120" s="1264"/>
      <c r="D120" s="1265"/>
      <c r="E120" s="1266"/>
      <c r="F120" s="1267"/>
      <c r="G120" s="1268"/>
      <c r="H120" s="1292"/>
      <c r="I120" s="1269"/>
      <c r="J120" s="1270"/>
      <c r="K120" s="1293"/>
      <c r="L120" s="1299"/>
      <c r="M120" s="1294"/>
      <c r="N120" s="1295"/>
      <c r="O120" s="1295"/>
      <c r="P120" s="1296"/>
      <c r="Q120" s="1295"/>
      <c r="R120" s="1297"/>
      <c r="S120" s="1298"/>
    </row>
    <row r="121" spans="1:19">
      <c r="A121" s="1179"/>
      <c r="B121" s="1163"/>
      <c r="C121" s="1172"/>
      <c r="D121" s="1178"/>
      <c r="E121" s="1175"/>
      <c r="F121" s="1176"/>
      <c r="G121" s="1174"/>
      <c r="H121" s="1161"/>
      <c r="I121" s="1177"/>
      <c r="J121" s="1187"/>
      <c r="K121" s="1258"/>
      <c r="L121" s="1259"/>
      <c r="M121" s="1192"/>
      <c r="N121" s="1199"/>
      <c r="O121" s="1199"/>
      <c r="P121" s="1201"/>
      <c r="Q121" s="1199"/>
      <c r="R121" s="1200"/>
      <c r="S121" s="1210"/>
    </row>
    <row r="122" spans="1:19">
      <c r="A122" s="1179"/>
      <c r="B122" s="1163"/>
      <c r="C122" s="1172"/>
      <c r="D122" s="1178"/>
      <c r="E122" s="1175"/>
      <c r="F122" s="1176"/>
      <c r="G122" s="1174"/>
      <c r="H122" s="1161"/>
      <c r="I122" s="1177"/>
      <c r="J122" s="1187"/>
      <c r="K122" s="1258"/>
      <c r="L122" s="1319"/>
      <c r="M122" s="1235"/>
      <c r="N122" s="1287"/>
      <c r="O122" s="1287"/>
      <c r="P122" s="1288"/>
      <c r="Q122" s="1287"/>
      <c r="R122" s="1200"/>
      <c r="S122" s="1210"/>
    </row>
    <row r="123" spans="1:19">
      <c r="A123" s="1179"/>
      <c r="B123" s="1163"/>
      <c r="C123" s="1172"/>
      <c r="D123" s="1178"/>
      <c r="E123" s="1175"/>
      <c r="F123" s="1176"/>
      <c r="G123" s="1174"/>
      <c r="H123" s="1161"/>
      <c r="I123" s="1177"/>
      <c r="J123" s="1187"/>
      <c r="K123" s="1258"/>
      <c r="L123" s="1300"/>
      <c r="M123" s="1301"/>
      <c r="N123" s="1236"/>
      <c r="O123" s="1236"/>
      <c r="P123" s="1236"/>
      <c r="Q123" s="1237"/>
      <c r="R123" s="1182"/>
      <c r="S123" s="1210"/>
    </row>
    <row r="124" spans="1:19">
      <c r="A124" s="1179"/>
      <c r="B124" s="1163"/>
      <c r="C124" s="1172"/>
      <c r="D124" s="1178"/>
      <c r="E124" s="1175"/>
      <c r="F124" s="1176"/>
      <c r="G124" s="1174"/>
      <c r="H124" s="1161"/>
      <c r="I124" s="1177"/>
      <c r="J124" s="1187"/>
      <c r="K124" s="1258"/>
      <c r="L124" s="1259"/>
      <c r="M124" s="1192"/>
      <c r="N124" s="1199"/>
      <c r="O124" s="1199"/>
      <c r="P124" s="1201"/>
      <c r="Q124" s="1199"/>
      <c r="R124" s="1200"/>
      <c r="S124" s="1210"/>
    </row>
    <row r="125" spans="1:19">
      <c r="A125" s="1179"/>
      <c r="B125" s="1163"/>
      <c r="C125" s="1172"/>
      <c r="D125" s="1178"/>
      <c r="E125" s="1175"/>
      <c r="F125" s="1176"/>
      <c r="G125" s="1174"/>
      <c r="H125" s="1161"/>
      <c r="I125" s="1177"/>
      <c r="J125" s="1187"/>
      <c r="K125" s="1258"/>
      <c r="L125" s="1259"/>
      <c r="M125" s="1192"/>
      <c r="N125" s="1199"/>
      <c r="O125" s="1199"/>
      <c r="P125" s="1201"/>
      <c r="Q125" s="1199"/>
      <c r="R125" s="1200"/>
      <c r="S125" s="1210"/>
    </row>
    <row r="126" spans="1:19">
      <c r="A126" s="1179"/>
      <c r="B126" s="1163"/>
      <c r="C126" s="1172"/>
      <c r="D126" s="1178"/>
      <c r="E126" s="1175"/>
      <c r="F126" s="1176"/>
      <c r="G126" s="1174"/>
      <c r="H126" s="1161"/>
      <c r="I126" s="1177"/>
      <c r="J126" s="1187"/>
      <c r="K126" s="1258"/>
      <c r="L126" s="1259"/>
      <c r="M126" s="1192"/>
      <c r="N126" s="1199"/>
      <c r="O126" s="1199"/>
      <c r="P126" s="1201"/>
      <c r="Q126" s="1199"/>
      <c r="R126" s="1200"/>
      <c r="S126" s="1210"/>
    </row>
    <row r="127" spans="1:19">
      <c r="A127" s="1179"/>
      <c r="B127" s="1163"/>
      <c r="C127" s="1172"/>
      <c r="D127" s="1178"/>
      <c r="E127" s="1175"/>
      <c r="F127" s="1176"/>
      <c r="G127" s="1174"/>
      <c r="H127" s="1161"/>
      <c r="I127" s="1177"/>
      <c r="J127" s="1187"/>
      <c r="K127" s="1258"/>
      <c r="L127" s="1259"/>
      <c r="M127" s="1192"/>
      <c r="N127" s="1199"/>
      <c r="O127" s="1199"/>
      <c r="P127" s="1201"/>
      <c r="Q127" s="1199"/>
      <c r="R127" s="1200"/>
      <c r="S127" s="1210"/>
    </row>
    <row r="128" spans="1:19">
      <c r="A128" s="1179"/>
      <c r="B128" s="1163"/>
      <c r="C128" s="1172"/>
      <c r="D128" s="1178"/>
      <c r="E128" s="1175"/>
      <c r="F128" s="1176"/>
      <c r="G128" s="1174"/>
      <c r="H128" s="1161"/>
      <c r="I128" s="1177"/>
      <c r="J128" s="1187"/>
      <c r="K128" s="1258"/>
      <c r="L128" s="1259"/>
      <c r="M128" s="1192"/>
      <c r="N128" s="1199"/>
      <c r="O128" s="1199"/>
      <c r="P128" s="1201"/>
      <c r="Q128" s="1199"/>
      <c r="R128" s="1200"/>
      <c r="S128" s="1210"/>
    </row>
    <row r="129" spans="1:19 16369:16378">
      <c r="A129" s="1179"/>
      <c r="B129" s="1163"/>
      <c r="C129" s="1172"/>
      <c r="D129" s="1178"/>
      <c r="E129" s="1175"/>
      <c r="F129" s="1176"/>
      <c r="G129" s="1174"/>
      <c r="H129" s="1161"/>
      <c r="I129" s="1177"/>
      <c r="J129" s="1187"/>
      <c r="K129" s="1258"/>
      <c r="L129" s="1259"/>
      <c r="M129" s="1192"/>
      <c r="N129" s="1199"/>
      <c r="O129" s="1199"/>
      <c r="P129" s="1201"/>
      <c r="Q129" s="1199"/>
      <c r="R129" s="1200"/>
      <c r="S129" s="1210"/>
    </row>
    <row r="130" spans="1:19 16369:16378">
      <c r="A130" s="1179"/>
      <c r="B130" s="1163"/>
      <c r="C130" s="1172"/>
      <c r="D130" s="1178"/>
      <c r="E130" s="1175"/>
      <c r="F130" s="1176"/>
      <c r="G130" s="1174"/>
      <c r="H130" s="1161"/>
      <c r="I130" s="1177"/>
      <c r="J130" s="1187"/>
      <c r="K130" s="1258"/>
      <c r="L130" s="1202"/>
      <c r="M130" s="1192"/>
      <c r="N130" s="1199"/>
      <c r="O130" s="1199"/>
      <c r="P130" s="1201"/>
      <c r="Q130" s="1199"/>
      <c r="R130" s="1200"/>
      <c r="S130" s="1210"/>
    </row>
    <row r="131" spans="1:19 16369:16378">
      <c r="A131" s="1179"/>
      <c r="B131" s="1163"/>
      <c r="C131" s="1172"/>
      <c r="D131" s="1178"/>
      <c r="E131" s="1175"/>
      <c r="F131" s="1176"/>
      <c r="G131" s="1174"/>
      <c r="H131" s="1161"/>
      <c r="I131" s="1177"/>
      <c r="J131" s="1187"/>
      <c r="K131" s="1258"/>
      <c r="L131" s="1259"/>
      <c r="M131" s="1192"/>
      <c r="N131" s="1199"/>
      <c r="O131" s="1199"/>
      <c r="P131" s="1201"/>
      <c r="Q131" s="1199"/>
      <c r="R131" s="1200"/>
      <c r="S131" s="1210"/>
    </row>
    <row r="132" spans="1:19 16369:16378">
      <c r="A132" s="1255"/>
      <c r="B132" s="1258"/>
      <c r="C132" s="1259"/>
      <c r="D132" s="1192"/>
      <c r="E132" s="1199"/>
      <c r="F132" s="1199"/>
      <c r="G132" s="1201"/>
      <c r="H132" s="1199"/>
      <c r="I132" s="1200"/>
      <c r="J132" s="1210"/>
      <c r="K132" s="1258"/>
      <c r="L132" s="1259"/>
      <c r="M132" s="1192"/>
      <c r="N132" s="1199"/>
      <c r="O132" s="1199"/>
      <c r="P132" s="1201"/>
      <c r="Q132" s="1199"/>
      <c r="R132" s="1200"/>
      <c r="S132" s="1210"/>
      <c r="XEO132" s="1255"/>
      <c r="XEP132" s="1258"/>
      <c r="XEQ132" s="1259"/>
      <c r="XER132" s="1192"/>
      <c r="XES132" s="1199"/>
      <c r="XET132" s="1199"/>
      <c r="XEU132" s="1201"/>
      <c r="XEV132" s="1199"/>
      <c r="XEW132" s="1200"/>
      <c r="XEX132" s="1210"/>
    </row>
    <row r="133" spans="1:19 16369:16378">
      <c r="A133" s="1255"/>
      <c r="B133" s="1258"/>
      <c r="C133" s="1259"/>
      <c r="D133" s="1192"/>
      <c r="E133" s="1199"/>
      <c r="F133" s="1199"/>
      <c r="G133" s="1201"/>
      <c r="H133" s="1199"/>
      <c r="I133" s="1200"/>
      <c r="J133" s="1210"/>
      <c r="K133" s="1258"/>
      <c r="L133" s="1202"/>
      <c r="M133" s="1192"/>
      <c r="N133" s="1199"/>
      <c r="O133" s="1199"/>
      <c r="P133" s="1201"/>
      <c r="Q133" s="1199"/>
      <c r="R133" s="1200"/>
      <c r="S133" s="1210"/>
      <c r="XEO133" s="1255"/>
      <c r="XEP133" s="1258"/>
      <c r="XEQ133" s="1259"/>
      <c r="XER133" s="1192"/>
      <c r="XES133" s="1199"/>
      <c r="XET133" s="1199"/>
      <c r="XEU133" s="1201"/>
      <c r="XEV133" s="1199"/>
      <c r="XEW133" s="1200"/>
      <c r="XEX133" s="1210"/>
    </row>
    <row r="134" spans="1:19 16369:16378">
      <c r="A134" s="1179"/>
      <c r="B134" s="1163"/>
      <c r="C134" s="1172"/>
      <c r="D134" s="1178"/>
      <c r="E134" s="1175"/>
      <c r="F134" s="1176"/>
      <c r="G134" s="1174"/>
      <c r="H134" s="1161"/>
      <c r="I134" s="1177"/>
      <c r="J134" s="1187"/>
      <c r="K134" s="1258"/>
      <c r="L134" s="1202"/>
      <c r="M134" s="1192"/>
      <c r="N134" s="1199"/>
      <c r="O134" s="1199"/>
      <c r="P134" s="1201"/>
      <c r="Q134" s="1199"/>
      <c r="R134" s="1200"/>
      <c r="S134" s="1210"/>
    </row>
    <row r="135" spans="1:19 16369:16378">
      <c r="A135" s="1179"/>
      <c r="B135" s="1163"/>
      <c r="C135" s="1172"/>
      <c r="D135" s="1178"/>
      <c r="E135" s="1175"/>
      <c r="F135" s="1176"/>
      <c r="G135" s="1174"/>
      <c r="H135" s="1161"/>
      <c r="I135" s="1177"/>
      <c r="J135" s="1187"/>
      <c r="K135" s="1258"/>
      <c r="L135" s="1259"/>
      <c r="M135" s="1192"/>
      <c r="N135" s="1199"/>
      <c r="O135" s="1199"/>
      <c r="P135" s="1201"/>
      <c r="Q135" s="1199"/>
      <c r="R135" s="1200"/>
      <c r="S135" s="1210"/>
    </row>
    <row r="136" spans="1:19 16369:16378">
      <c r="A136" s="1179"/>
      <c r="B136" s="1163"/>
      <c r="C136" s="1172"/>
      <c r="D136" s="1178"/>
      <c r="E136" s="1175"/>
      <c r="F136" s="1176"/>
      <c r="G136" s="1174"/>
      <c r="H136" s="1161"/>
      <c r="I136" s="1177"/>
      <c r="J136" s="1187"/>
      <c r="K136" s="1258"/>
      <c r="L136" s="1259"/>
      <c r="M136" s="1192"/>
      <c r="N136" s="1199"/>
      <c r="O136" s="1199"/>
      <c r="P136" s="1201"/>
      <c r="Q136" s="1199"/>
      <c r="R136" s="1200"/>
      <c r="S136" s="1210"/>
    </row>
    <row r="137" spans="1:19 16369:16378">
      <c r="A137" s="1179"/>
      <c r="B137" s="1163"/>
      <c r="C137" s="1172"/>
      <c r="D137" s="1178"/>
      <c r="E137" s="1175"/>
      <c r="F137" s="1176"/>
      <c r="G137" s="1174"/>
      <c r="H137" s="1161"/>
      <c r="I137" s="1177"/>
      <c r="J137" s="1187"/>
      <c r="K137" s="1258"/>
      <c r="L137" s="1259"/>
      <c r="M137" s="1192"/>
      <c r="N137" s="1199"/>
      <c r="O137" s="1199"/>
      <c r="P137" s="1201"/>
      <c r="Q137" s="1199"/>
      <c r="R137" s="1200"/>
      <c r="S137" s="1210"/>
    </row>
    <row r="138" spans="1:19 16369:16378">
      <c r="A138" s="1179"/>
      <c r="B138" s="1163"/>
      <c r="C138" s="1172"/>
      <c r="D138" s="1178"/>
      <c r="E138" s="1175"/>
      <c r="F138" s="1176"/>
      <c r="G138" s="1174"/>
      <c r="H138" s="1161"/>
      <c r="I138" s="1177"/>
      <c r="J138" s="1187"/>
      <c r="K138" s="1258"/>
      <c r="L138" s="1259"/>
      <c r="M138" s="1192"/>
      <c r="N138" s="1199"/>
      <c r="O138" s="1199"/>
      <c r="P138" s="1201"/>
      <c r="Q138" s="1199"/>
      <c r="R138" s="1200"/>
      <c r="S138" s="1210"/>
    </row>
    <row r="139" spans="1:19 16369:16378">
      <c r="A139" s="1179"/>
      <c r="B139" s="1163"/>
      <c r="C139" s="1172"/>
      <c r="D139" s="1178"/>
      <c r="E139" s="1175"/>
      <c r="F139" s="1176"/>
      <c r="G139" s="1174"/>
      <c r="H139" s="1161"/>
      <c r="I139" s="1177"/>
      <c r="J139" s="1187"/>
      <c r="K139" s="1258"/>
      <c r="L139" s="1259"/>
      <c r="M139" s="1192"/>
      <c r="N139" s="1199"/>
      <c r="O139" s="1199"/>
      <c r="P139" s="1201"/>
      <c r="Q139" s="1199"/>
      <c r="R139" s="1200"/>
      <c r="S139" s="1210"/>
    </row>
    <row r="140" spans="1:19 16369:16378">
      <c r="A140" s="1179"/>
      <c r="B140" s="1163"/>
      <c r="C140" s="1172"/>
      <c r="D140" s="1178"/>
      <c r="E140" s="1175"/>
      <c r="F140" s="1176"/>
      <c r="G140" s="1174"/>
      <c r="H140" s="1161"/>
      <c r="I140" s="1177"/>
      <c r="J140" s="1187"/>
      <c r="K140" s="1258"/>
      <c r="L140" s="1259"/>
      <c r="M140" s="1260"/>
      <c r="N140" s="1199"/>
      <c r="O140" s="1199"/>
      <c r="P140" s="1201"/>
      <c r="Q140" s="1199"/>
      <c r="R140" s="1200"/>
      <c r="S140" s="1210"/>
    </row>
    <row r="141" spans="1:19 16369:16378">
      <c r="A141" s="1179"/>
      <c r="B141" s="1163"/>
      <c r="C141" s="1172"/>
      <c r="D141" s="1178"/>
      <c r="E141" s="1175"/>
      <c r="F141" s="1176"/>
      <c r="G141" s="1174"/>
      <c r="H141" s="1161"/>
      <c r="I141" s="1177"/>
      <c r="J141" s="1187"/>
      <c r="K141" s="1258"/>
      <c r="L141" s="1259"/>
      <c r="M141" s="1260"/>
      <c r="N141" s="1199"/>
      <c r="O141" s="1199"/>
      <c r="P141" s="1201"/>
      <c r="Q141" s="1199"/>
      <c r="R141" s="1200"/>
      <c r="S141" s="1210"/>
    </row>
    <row r="142" spans="1:19 16369:16378">
      <c r="A142" s="1179"/>
      <c r="B142" s="1163"/>
      <c r="C142" s="1172"/>
      <c r="D142" s="1178"/>
      <c r="E142" s="1175"/>
      <c r="F142" s="1176"/>
      <c r="G142" s="1174"/>
      <c r="H142" s="1161"/>
      <c r="I142" s="1177"/>
      <c r="J142" s="1187"/>
      <c r="K142" s="1258"/>
      <c r="L142" s="1259"/>
      <c r="M142" s="1260"/>
      <c r="N142" s="1199"/>
      <c r="O142" s="1199"/>
      <c r="P142" s="1201"/>
      <c r="Q142" s="1199"/>
      <c r="R142" s="1200"/>
      <c r="S142" s="1210"/>
    </row>
    <row r="143" spans="1:19 16369:16378">
      <c r="A143" s="1179"/>
      <c r="B143" s="1163"/>
      <c r="C143" s="1172"/>
      <c r="D143" s="1178"/>
      <c r="E143" s="1175"/>
      <c r="F143" s="1176"/>
      <c r="G143" s="1174"/>
      <c r="H143" s="1161"/>
      <c r="I143" s="1177"/>
      <c r="J143" s="1187"/>
      <c r="K143" s="1258"/>
      <c r="L143" s="1202"/>
      <c r="M143" s="1192"/>
      <c r="N143" s="1199"/>
      <c r="O143" s="1199"/>
      <c r="P143" s="1201"/>
      <c r="Q143" s="1199"/>
      <c r="R143" s="1200"/>
      <c r="S143" s="1210"/>
    </row>
    <row r="144" spans="1:19 16369:16378">
      <c r="A144" s="1179"/>
      <c r="B144" s="1163"/>
      <c r="C144" s="1172"/>
      <c r="D144" s="1178"/>
      <c r="E144" s="1175"/>
      <c r="F144" s="1176"/>
      <c r="G144" s="1174"/>
      <c r="H144" s="1161"/>
      <c r="I144" s="1177"/>
      <c r="J144" s="1187"/>
      <c r="K144" s="1258"/>
      <c r="L144" s="1202"/>
      <c r="M144" s="1192"/>
      <c r="N144" s="1199"/>
      <c r="O144" s="1199"/>
      <c r="P144" s="1201"/>
      <c r="Q144" s="1199"/>
      <c r="R144" s="1200"/>
      <c r="S144" s="1210"/>
    </row>
    <row r="145" spans="1:19">
      <c r="A145" s="1179"/>
      <c r="B145" s="1163"/>
      <c r="C145" s="1172"/>
      <c r="D145" s="1178"/>
      <c r="E145" s="1175"/>
      <c r="F145" s="1176"/>
      <c r="G145" s="1174"/>
      <c r="H145" s="1161"/>
      <c r="I145" s="1177"/>
      <c r="J145" s="1187"/>
      <c r="K145" s="1258"/>
      <c r="L145" s="1259"/>
      <c r="M145" s="1260"/>
      <c r="N145" s="1199"/>
      <c r="O145" s="1199"/>
      <c r="P145" s="1201"/>
      <c r="Q145" s="1199"/>
      <c r="R145" s="1200"/>
      <c r="S145" s="1210"/>
    </row>
    <row r="146" spans="1:19">
      <c r="A146" s="1179"/>
      <c r="B146" s="1163"/>
      <c r="C146" s="1172"/>
      <c r="D146" s="1178"/>
      <c r="E146" s="1175"/>
      <c r="F146" s="1176"/>
      <c r="G146" s="1174"/>
      <c r="H146" s="1161"/>
      <c r="I146" s="1177"/>
      <c r="J146" s="1187"/>
      <c r="K146" s="1258"/>
      <c r="L146" s="1259"/>
      <c r="M146" s="1260"/>
      <c r="N146" s="1199"/>
      <c r="O146" s="1199"/>
      <c r="P146" s="1201"/>
      <c r="Q146" s="1199"/>
      <c r="R146" s="1200"/>
      <c r="S146" s="1210"/>
    </row>
    <row r="147" spans="1:19">
      <c r="A147" s="1179"/>
      <c r="B147" s="1163"/>
      <c r="C147" s="1172"/>
      <c r="D147" s="1178"/>
      <c r="E147" s="1175"/>
      <c r="F147" s="1176"/>
      <c r="G147" s="1174"/>
      <c r="H147" s="1161"/>
      <c r="I147" s="1177"/>
      <c r="J147" s="1187"/>
      <c r="K147" s="1258"/>
      <c r="L147" s="1259"/>
      <c r="M147" s="1260"/>
      <c r="N147" s="1199"/>
      <c r="O147" s="1199"/>
      <c r="P147" s="1201"/>
      <c r="Q147" s="1199"/>
      <c r="R147" s="1200"/>
      <c r="S147" s="1210"/>
    </row>
    <row r="148" spans="1:19">
      <c r="A148" s="1179"/>
      <c r="B148" s="1163"/>
      <c r="C148" s="1172"/>
      <c r="D148" s="1178"/>
      <c r="E148" s="1175"/>
      <c r="F148" s="1176"/>
      <c r="G148" s="1174"/>
      <c r="H148" s="1161"/>
      <c r="I148" s="1177"/>
      <c r="J148" s="1187"/>
      <c r="K148" s="1258"/>
      <c r="L148" s="1259"/>
      <c r="M148" s="1260"/>
      <c r="N148" s="1199"/>
      <c r="O148" s="1199"/>
      <c r="P148" s="1201"/>
      <c r="Q148" s="1199"/>
      <c r="R148" s="1200"/>
      <c r="S148" s="1210"/>
    </row>
    <row r="149" spans="1:19">
      <c r="A149" s="1179"/>
      <c r="B149" s="1163"/>
      <c r="C149" s="1172"/>
      <c r="D149" s="1178"/>
      <c r="E149" s="1175"/>
      <c r="F149" s="1176"/>
      <c r="G149" s="1174"/>
      <c r="H149" s="1161"/>
      <c r="I149" s="1177"/>
      <c r="J149" s="1187"/>
      <c r="K149" s="1258"/>
      <c r="L149" s="1259"/>
      <c r="M149" s="1260"/>
      <c r="N149" s="1199"/>
      <c r="O149" s="1199"/>
      <c r="P149" s="1201"/>
      <c r="Q149" s="1199"/>
      <c r="R149" s="1200"/>
      <c r="S149" s="1210"/>
    </row>
    <row r="150" spans="1:19">
      <c r="A150" s="1179"/>
      <c r="B150" s="1163"/>
      <c r="C150" s="1172"/>
      <c r="D150" s="1178"/>
      <c r="E150" s="1175"/>
      <c r="F150" s="1176"/>
      <c r="G150" s="1174"/>
      <c r="H150" s="1161"/>
      <c r="I150" s="1177"/>
      <c r="J150" s="1187"/>
      <c r="K150" s="1258"/>
      <c r="L150" s="1259"/>
      <c r="M150" s="1260"/>
      <c r="N150" s="1199"/>
      <c r="O150" s="1199"/>
      <c r="P150" s="1201"/>
      <c r="Q150" s="1199"/>
      <c r="R150" s="1200"/>
      <c r="S150" s="1210"/>
    </row>
    <row r="151" spans="1:19">
      <c r="A151" s="1179"/>
      <c r="B151" s="1163"/>
      <c r="C151" s="1172"/>
      <c r="D151" s="1178"/>
      <c r="E151" s="1175"/>
      <c r="F151" s="1176"/>
      <c r="G151" s="1174"/>
      <c r="H151" s="1161"/>
      <c r="I151" s="1177"/>
      <c r="J151" s="1187"/>
      <c r="K151" s="1258"/>
      <c r="L151" s="1259"/>
      <c r="M151" s="1260"/>
      <c r="N151" s="1199"/>
      <c r="O151" s="1199"/>
      <c r="P151" s="1201"/>
      <c r="Q151" s="1199"/>
      <c r="R151" s="1200"/>
      <c r="S151" s="1210"/>
    </row>
    <row r="152" spans="1:19">
      <c r="A152" s="1179"/>
      <c r="B152" s="1163"/>
      <c r="C152" s="1172"/>
      <c r="D152" s="1178"/>
      <c r="E152" s="1175"/>
      <c r="F152" s="1176"/>
      <c r="G152" s="1174"/>
      <c r="H152" s="1161"/>
      <c r="I152" s="1177"/>
      <c r="J152" s="1187"/>
      <c r="K152" s="1258"/>
      <c r="L152" s="1259"/>
      <c r="M152" s="1260"/>
      <c r="N152" s="1199"/>
      <c r="O152" s="1199"/>
      <c r="P152" s="1201"/>
      <c r="Q152" s="1199"/>
      <c r="R152" s="1200"/>
      <c r="S152" s="1210"/>
    </row>
    <row r="153" spans="1:19">
      <c r="A153" s="1179"/>
      <c r="B153" s="1163"/>
      <c r="C153" s="1172"/>
      <c r="D153" s="1178"/>
      <c r="E153" s="1175"/>
      <c r="F153" s="1176"/>
      <c r="G153" s="1174"/>
      <c r="H153" s="1161"/>
      <c r="I153" s="1177"/>
      <c r="J153" s="1187"/>
      <c r="K153" s="1258"/>
      <c r="L153" s="1259"/>
      <c r="M153" s="1260"/>
      <c r="N153" s="1199"/>
      <c r="O153" s="1199"/>
      <c r="P153" s="1201"/>
      <c r="Q153" s="1199"/>
      <c r="R153" s="1200"/>
      <c r="S153" s="1210"/>
    </row>
    <row r="154" spans="1:19">
      <c r="A154" s="1179"/>
      <c r="B154" s="1163"/>
      <c r="C154" s="1172"/>
      <c r="D154" s="1178"/>
      <c r="E154" s="1175"/>
      <c r="F154" s="1176"/>
      <c r="G154" s="1174"/>
      <c r="H154" s="1161"/>
      <c r="I154" s="1177"/>
      <c r="J154" s="1187"/>
      <c r="K154" s="1258"/>
      <c r="L154" s="1202"/>
      <c r="M154" s="1192"/>
      <c r="N154" s="1199"/>
      <c r="O154" s="1199"/>
      <c r="P154" s="1201"/>
      <c r="Q154" s="1199"/>
      <c r="R154" s="1200"/>
      <c r="S154" s="1210"/>
    </row>
    <row r="155" spans="1:19">
      <c r="A155" s="1179"/>
      <c r="B155" s="1163"/>
      <c r="C155" s="1172"/>
      <c r="D155" s="1178"/>
      <c r="E155" s="1175"/>
      <c r="F155" s="1176"/>
      <c r="G155" s="1174"/>
      <c r="H155" s="1161"/>
      <c r="I155" s="1177"/>
      <c r="J155" s="1187"/>
      <c r="K155" s="1258"/>
      <c r="L155" s="1202"/>
      <c r="M155" s="1192"/>
      <c r="N155" s="1199"/>
      <c r="O155" s="1199"/>
      <c r="P155" s="1201"/>
      <c r="Q155" s="1199"/>
      <c r="R155" s="1200"/>
      <c r="S155" s="1210"/>
    </row>
    <row r="156" spans="1:19">
      <c r="A156" s="1179"/>
      <c r="B156" s="1163"/>
      <c r="C156" s="1172"/>
      <c r="D156" s="1178"/>
      <c r="E156" s="1175"/>
      <c r="F156" s="1176"/>
      <c r="G156" s="1174"/>
      <c r="H156" s="1161"/>
      <c r="I156" s="1177"/>
      <c r="J156" s="1187"/>
      <c r="K156" s="1258"/>
      <c r="L156" s="1202"/>
      <c r="M156" s="1260"/>
      <c r="N156" s="1199"/>
      <c r="O156" s="1199"/>
      <c r="P156" s="1201"/>
      <c r="Q156" s="1199"/>
      <c r="R156" s="1200"/>
      <c r="S156" s="1210"/>
    </row>
    <row r="157" spans="1:19">
      <c r="A157" s="1179"/>
      <c r="B157" s="1163"/>
      <c r="C157" s="1172"/>
      <c r="D157" s="1178"/>
      <c r="E157" s="1175"/>
      <c r="F157" s="1176"/>
      <c r="G157" s="1174"/>
      <c r="H157" s="1161"/>
      <c r="I157" s="1177"/>
      <c r="J157" s="1187"/>
      <c r="K157" s="1258"/>
      <c r="L157" s="1202"/>
      <c r="M157" s="1260"/>
      <c r="N157" s="1199"/>
      <c r="O157" s="1199"/>
      <c r="P157" s="1201"/>
      <c r="Q157" s="1199"/>
      <c r="R157" s="1200"/>
      <c r="S157" s="1210"/>
    </row>
    <row r="158" spans="1:19">
      <c r="A158" s="1179"/>
      <c r="B158" s="1163"/>
      <c r="C158" s="1172"/>
      <c r="D158" s="1178"/>
      <c r="E158" s="1175"/>
      <c r="F158" s="1176"/>
      <c r="G158" s="1174"/>
      <c r="H158" s="1161"/>
      <c r="I158" s="1177"/>
      <c r="J158" s="1187"/>
      <c r="K158" s="1258"/>
      <c r="L158" s="1259"/>
      <c r="M158" s="1260"/>
      <c r="N158" s="1199"/>
      <c r="O158" s="1199"/>
      <c r="P158" s="1201"/>
      <c r="Q158" s="1199"/>
      <c r="R158" s="1200"/>
      <c r="S158" s="1210"/>
    </row>
    <row r="159" spans="1:19">
      <c r="A159" s="1179"/>
      <c r="B159" s="1163"/>
      <c r="C159" s="1172"/>
      <c r="D159" s="1178"/>
      <c r="E159" s="1175"/>
      <c r="F159" s="1176"/>
      <c r="G159" s="1174"/>
      <c r="H159" s="1161"/>
      <c r="I159" s="1177"/>
      <c r="J159" s="1187"/>
      <c r="K159" s="1258"/>
      <c r="L159" s="1259"/>
      <c r="M159" s="1260"/>
      <c r="N159" s="1199"/>
      <c r="O159" s="1199"/>
      <c r="P159" s="1201"/>
      <c r="Q159" s="1199"/>
      <c r="R159" s="1200"/>
      <c r="S159" s="1210"/>
    </row>
    <row r="160" spans="1:19">
      <c r="A160" s="1179"/>
      <c r="B160" s="1163"/>
      <c r="C160" s="1172"/>
      <c r="D160" s="1178"/>
      <c r="E160" s="1175"/>
      <c r="F160" s="1176"/>
      <c r="G160" s="1174"/>
      <c r="H160" s="1161"/>
      <c r="I160" s="1177"/>
      <c r="J160" s="1187"/>
      <c r="K160" s="1258"/>
      <c r="L160" s="1259"/>
      <c r="M160" s="1260"/>
      <c r="N160" s="1199"/>
      <c r="O160" s="1199"/>
      <c r="P160" s="1201"/>
      <c r="Q160" s="1199"/>
      <c r="R160" s="1200"/>
      <c r="S160" s="1210"/>
    </row>
    <row r="161" spans="1:19">
      <c r="A161" s="1179"/>
      <c r="B161" s="1163"/>
      <c r="C161" s="1172"/>
      <c r="D161" s="1178"/>
      <c r="E161" s="1175"/>
      <c r="F161" s="1176"/>
      <c r="G161" s="1174"/>
      <c r="H161" s="1161"/>
      <c r="I161" s="1177"/>
      <c r="J161" s="1187"/>
      <c r="K161" s="1258"/>
      <c r="L161" s="1259"/>
      <c r="M161" s="1260"/>
      <c r="N161" s="1199"/>
      <c r="O161" s="1199"/>
      <c r="P161" s="1201"/>
      <c r="Q161" s="1199"/>
      <c r="R161" s="1200"/>
      <c r="S161" s="1210"/>
    </row>
    <row r="162" spans="1:19">
      <c r="A162" s="1179"/>
      <c r="B162" s="1163"/>
      <c r="C162" s="1172"/>
      <c r="D162" s="1178"/>
      <c r="E162" s="1175"/>
      <c r="F162" s="1176"/>
      <c r="G162" s="1174"/>
      <c r="H162" s="1161"/>
      <c r="I162" s="1177"/>
      <c r="J162" s="1187"/>
      <c r="K162" s="1258"/>
      <c r="L162" s="1259"/>
      <c r="M162" s="1260"/>
      <c r="N162" s="1199"/>
      <c r="O162" s="1199"/>
      <c r="P162" s="1201"/>
      <c r="Q162" s="1199"/>
      <c r="R162" s="1200"/>
      <c r="S162" s="1210"/>
    </row>
    <row r="163" spans="1:19">
      <c r="A163" s="1179"/>
      <c r="B163" s="1163"/>
      <c r="C163" s="1172"/>
      <c r="D163" s="1178"/>
      <c r="E163" s="1175"/>
      <c r="F163" s="1176"/>
      <c r="G163" s="1174"/>
      <c r="H163" s="1161"/>
      <c r="I163" s="1177"/>
      <c r="J163" s="1187"/>
      <c r="K163" s="1258"/>
      <c r="L163" s="1259"/>
      <c r="M163" s="1260"/>
      <c r="N163" s="1199"/>
      <c r="O163" s="1199"/>
      <c r="P163" s="1201"/>
      <c r="Q163" s="1199"/>
      <c r="R163" s="1200"/>
      <c r="S163" s="1210"/>
    </row>
    <row r="164" spans="1:19">
      <c r="A164" s="1179"/>
      <c r="B164" s="1163"/>
      <c r="C164" s="1172"/>
      <c r="D164" s="1178"/>
      <c r="E164" s="1175"/>
      <c r="F164" s="1176"/>
      <c r="G164" s="1174"/>
      <c r="H164" s="1161"/>
      <c r="I164" s="1177"/>
      <c r="J164" s="1187"/>
      <c r="K164" s="1258"/>
      <c r="L164" s="1259"/>
      <c r="M164" s="1192"/>
      <c r="N164" s="1199"/>
      <c r="O164" s="1199"/>
      <c r="P164" s="1201"/>
      <c r="Q164" s="1199"/>
      <c r="R164" s="1200"/>
      <c r="S164" s="1210"/>
    </row>
    <row r="165" spans="1:19">
      <c r="A165" s="1179"/>
      <c r="B165" s="1163"/>
      <c r="C165" s="1172"/>
      <c r="D165" s="1178"/>
      <c r="E165" s="1175"/>
      <c r="F165" s="1176"/>
      <c r="G165" s="1174"/>
      <c r="H165" s="1161"/>
      <c r="I165" s="1177"/>
      <c r="J165" s="1187"/>
      <c r="K165" s="1258"/>
      <c r="L165" s="1259"/>
      <c r="M165" s="1260"/>
      <c r="N165" s="1199"/>
      <c r="O165" s="1199"/>
      <c r="P165" s="1201"/>
      <c r="Q165" s="1199"/>
      <c r="R165" s="1200"/>
      <c r="S165" s="1210"/>
    </row>
    <row r="166" spans="1:19">
      <c r="A166" s="1179"/>
      <c r="B166" s="1163"/>
      <c r="C166" s="1172"/>
      <c r="D166" s="1178"/>
      <c r="E166" s="1175"/>
      <c r="F166" s="1176"/>
      <c r="G166" s="1174"/>
      <c r="H166" s="1161"/>
      <c r="I166" s="1177"/>
      <c r="J166" s="1187"/>
      <c r="K166" s="1258"/>
      <c r="L166" s="1300"/>
      <c r="M166" s="1301"/>
      <c r="N166" s="1236"/>
      <c r="O166" s="1236"/>
      <c r="P166" s="1236"/>
      <c r="Q166" s="1237"/>
      <c r="R166" s="1182"/>
      <c r="S166" s="1210"/>
    </row>
    <row r="167" spans="1:19">
      <c r="A167" s="1179"/>
      <c r="B167" s="1163"/>
      <c r="C167" s="1172"/>
      <c r="D167" s="1178"/>
      <c r="E167" s="1175"/>
      <c r="F167" s="1176"/>
      <c r="G167" s="1174"/>
      <c r="H167" s="1161"/>
      <c r="I167" s="1177"/>
      <c r="J167" s="1187"/>
      <c r="K167" s="1258"/>
      <c r="L167" s="1300"/>
      <c r="M167" s="1301"/>
      <c r="N167" s="1236"/>
      <c r="O167" s="1236"/>
      <c r="P167" s="1236"/>
      <c r="Q167" s="1237"/>
      <c r="R167" s="1182"/>
      <c r="S167" s="1210"/>
    </row>
    <row r="168" spans="1:19">
      <c r="A168" s="1179"/>
      <c r="B168" s="1163"/>
      <c r="C168" s="1172"/>
      <c r="D168" s="1178"/>
      <c r="E168" s="1175"/>
      <c r="F168" s="1176"/>
      <c r="G168" s="1174"/>
      <c r="H168" s="1161"/>
      <c r="I168" s="1177"/>
      <c r="J168" s="1187"/>
      <c r="K168" s="1258"/>
      <c r="L168" s="1300"/>
      <c r="M168" s="1301"/>
      <c r="N168" s="1236"/>
      <c r="O168" s="1236"/>
      <c r="P168" s="1236"/>
      <c r="Q168" s="1237"/>
      <c r="R168" s="1182"/>
      <c r="S168" s="1210"/>
    </row>
    <row r="169" spans="1:19">
      <c r="A169" s="1179"/>
      <c r="B169" s="1163"/>
      <c r="C169" s="1172"/>
      <c r="D169" s="1178"/>
      <c r="E169" s="1175"/>
      <c r="F169" s="1176"/>
      <c r="G169" s="1174"/>
      <c r="H169" s="1161"/>
      <c r="I169" s="1177"/>
      <c r="J169" s="1187"/>
      <c r="K169" s="1258"/>
      <c r="L169" s="1300"/>
      <c r="M169" s="1301"/>
      <c r="N169" s="1236"/>
      <c r="O169" s="1236"/>
      <c r="P169" s="1236"/>
      <c r="Q169" s="1237"/>
      <c r="R169" s="1182"/>
      <c r="S169" s="1210"/>
    </row>
    <row r="170" spans="1:19">
      <c r="A170" s="1179"/>
      <c r="B170" s="1163"/>
      <c r="C170" s="1172"/>
      <c r="D170" s="1178"/>
      <c r="E170" s="1175"/>
      <c r="F170" s="1176"/>
      <c r="G170" s="1174"/>
      <c r="H170" s="1161"/>
      <c r="I170" s="1177"/>
      <c r="J170" s="1187"/>
      <c r="K170" s="1258"/>
      <c r="L170" s="1259"/>
      <c r="M170" s="1260"/>
      <c r="N170" s="1199"/>
      <c r="O170" s="1199"/>
      <c r="P170" s="1201"/>
      <c r="Q170" s="1199"/>
      <c r="R170" s="1200"/>
      <c r="S170" s="1210"/>
    </row>
    <row r="171" spans="1:19">
      <c r="A171" s="1179"/>
      <c r="B171" s="1163"/>
      <c r="C171" s="1172"/>
      <c r="D171" s="1178"/>
      <c r="E171" s="1175"/>
      <c r="F171" s="1176"/>
      <c r="G171" s="1174"/>
      <c r="H171" s="1161"/>
      <c r="I171" s="1177"/>
      <c r="J171" s="1187"/>
      <c r="K171" s="1258"/>
      <c r="L171" s="1259"/>
      <c r="M171" s="1260"/>
      <c r="N171" s="1199"/>
      <c r="O171" s="1199"/>
      <c r="P171" s="1201"/>
      <c r="Q171" s="1199"/>
      <c r="R171" s="1200"/>
      <c r="S171" s="1210"/>
    </row>
    <row r="172" spans="1:19">
      <c r="A172" s="1179"/>
      <c r="B172" s="1163"/>
      <c r="C172" s="1172"/>
      <c r="D172" s="1178"/>
      <c r="E172" s="1175"/>
      <c r="F172" s="1176"/>
      <c r="G172" s="1174"/>
      <c r="H172" s="1161"/>
      <c r="I172" s="1177"/>
      <c r="J172" s="1187"/>
      <c r="K172" s="1258"/>
      <c r="L172" s="1300"/>
      <c r="M172" s="1302"/>
      <c r="N172" s="1182"/>
      <c r="O172" s="1236"/>
      <c r="P172" s="1236"/>
      <c r="Q172" s="1237"/>
      <c r="R172" s="1182"/>
      <c r="S172" s="1210"/>
    </row>
    <row r="173" spans="1:19">
      <c r="A173" s="1179"/>
      <c r="B173" s="1163"/>
      <c r="C173" s="1172"/>
      <c r="D173" s="1178"/>
      <c r="E173" s="1175"/>
      <c r="F173" s="1176"/>
      <c r="G173" s="1174"/>
      <c r="H173" s="1161"/>
      <c r="I173" s="1177"/>
      <c r="J173" s="1187"/>
      <c r="K173" s="1258"/>
      <c r="L173" s="1300"/>
      <c r="M173" s="1302"/>
      <c r="N173" s="1182"/>
      <c r="O173" s="1236"/>
      <c r="P173" s="1236"/>
      <c r="Q173" s="1237"/>
      <c r="R173" s="1182"/>
      <c r="S173" s="1210"/>
    </row>
    <row r="174" spans="1:19">
      <c r="A174" s="1179"/>
      <c r="B174" s="1163"/>
      <c r="C174" s="1172"/>
      <c r="D174" s="1178"/>
      <c r="E174" s="1175"/>
      <c r="F174" s="1176"/>
      <c r="G174" s="1174"/>
      <c r="H174" s="1161"/>
      <c r="I174" s="1177"/>
      <c r="J174" s="1187"/>
      <c r="K174" s="1258"/>
      <c r="L174" s="1300"/>
      <c r="M174" s="1302"/>
      <c r="N174" s="1182"/>
      <c r="O174" s="1236"/>
      <c r="P174" s="1236"/>
      <c r="Q174" s="1237"/>
      <c r="R174" s="1182"/>
      <c r="S174" s="1210"/>
    </row>
    <row r="175" spans="1:19">
      <c r="A175" s="1179"/>
      <c r="B175" s="1163"/>
      <c r="C175" s="1172"/>
      <c r="D175" s="1178"/>
      <c r="E175" s="1175"/>
      <c r="F175" s="1176"/>
      <c r="G175" s="1174"/>
      <c r="H175" s="1161"/>
      <c r="I175" s="1177"/>
      <c r="J175" s="1187"/>
      <c r="K175" s="1258"/>
      <c r="L175" s="1300"/>
      <c r="M175" s="1302"/>
      <c r="N175" s="1182"/>
      <c r="O175" s="1236"/>
      <c r="P175" s="1236"/>
      <c r="Q175" s="1237"/>
      <c r="R175" s="1182"/>
      <c r="S175" s="1210"/>
    </row>
    <row r="176" spans="1:19">
      <c r="A176" s="1179"/>
      <c r="B176" s="1163"/>
      <c r="C176" s="1172"/>
      <c r="D176" s="1178"/>
      <c r="E176" s="1175"/>
      <c r="F176" s="1176"/>
      <c r="G176" s="1174"/>
      <c r="H176" s="1161"/>
      <c r="I176" s="1177"/>
      <c r="J176" s="1187"/>
      <c r="K176" s="1258"/>
      <c r="L176" s="1300"/>
      <c r="M176" s="1302"/>
      <c r="N176" s="1182"/>
      <c r="O176" s="1236"/>
      <c r="P176" s="1236"/>
      <c r="Q176" s="1237"/>
      <c r="R176" s="1182"/>
      <c r="S176" s="1210"/>
    </row>
    <row r="177" spans="1:19">
      <c r="A177" s="1179"/>
      <c r="B177" s="1163"/>
      <c r="C177" s="1172"/>
      <c r="D177" s="1178"/>
      <c r="E177" s="1175"/>
      <c r="F177" s="1176"/>
      <c r="G177" s="1174"/>
      <c r="H177" s="1161"/>
      <c r="I177" s="1177"/>
      <c r="J177" s="1187"/>
      <c r="K177" s="1258"/>
      <c r="L177" s="1259"/>
      <c r="M177" s="1260"/>
      <c r="N177" s="1199"/>
      <c r="O177" s="1199"/>
      <c r="P177" s="1201"/>
      <c r="Q177" s="1199"/>
      <c r="R177" s="1200"/>
      <c r="S177" s="1210"/>
    </row>
    <row r="178" spans="1:19">
      <c r="A178" s="1179"/>
      <c r="B178" s="1163"/>
      <c r="C178" s="1172"/>
      <c r="D178" s="1178"/>
      <c r="E178" s="1175"/>
      <c r="F178" s="1176"/>
      <c r="G178" s="1174"/>
      <c r="H178" s="1161"/>
      <c r="I178" s="1177"/>
      <c r="J178" s="1187"/>
      <c r="K178" s="1258"/>
      <c r="L178" s="1259"/>
      <c r="M178" s="1260"/>
      <c r="N178" s="1199"/>
      <c r="O178" s="1199"/>
      <c r="P178" s="1201"/>
      <c r="Q178" s="1199"/>
      <c r="R178" s="1200"/>
      <c r="S178" s="1210"/>
    </row>
    <row r="179" spans="1:19">
      <c r="A179" s="1179"/>
      <c r="B179" s="1163"/>
      <c r="C179" s="1172"/>
      <c r="D179" s="1178"/>
      <c r="E179" s="1175"/>
      <c r="F179" s="1176"/>
      <c r="G179" s="1174"/>
      <c r="H179" s="1161"/>
      <c r="I179" s="1177"/>
      <c r="J179" s="1187"/>
      <c r="K179" s="1258"/>
      <c r="L179" s="1259"/>
      <c r="M179" s="1192"/>
      <c r="N179" s="1199"/>
      <c r="O179" s="1199"/>
      <c r="P179" s="1201"/>
      <c r="Q179" s="1199"/>
      <c r="R179" s="1200"/>
      <c r="S179" s="1210"/>
    </row>
    <row r="180" spans="1:19">
      <c r="A180" s="1179"/>
      <c r="B180" s="1163"/>
      <c r="C180" s="1172"/>
      <c r="D180" s="1178"/>
      <c r="E180" s="1175"/>
      <c r="F180" s="1176"/>
      <c r="G180" s="1174"/>
      <c r="H180" s="1161"/>
      <c r="I180" s="1177"/>
      <c r="J180" s="1187"/>
      <c r="K180" s="1258"/>
      <c r="L180" s="1259"/>
      <c r="M180" s="1192"/>
      <c r="N180" s="1199"/>
      <c r="O180" s="1199"/>
      <c r="P180" s="1201"/>
      <c r="Q180" s="1199"/>
      <c r="R180" s="1200"/>
      <c r="S180" s="1210"/>
    </row>
    <row r="181" spans="1:19">
      <c r="A181" s="1179"/>
      <c r="B181" s="1163"/>
      <c r="C181" s="1172"/>
      <c r="D181" s="1178"/>
      <c r="E181" s="1175"/>
      <c r="F181" s="1176"/>
      <c r="G181" s="1174"/>
      <c r="H181" s="1161"/>
      <c r="I181" s="1177"/>
      <c r="J181" s="1187"/>
      <c r="K181" s="1258"/>
      <c r="L181" s="1259"/>
      <c r="M181" s="1192"/>
      <c r="N181" s="1199"/>
      <c r="O181" s="1199"/>
      <c r="P181" s="1201"/>
      <c r="Q181" s="1199"/>
      <c r="R181" s="1200"/>
      <c r="S181" s="1210"/>
    </row>
    <row r="182" spans="1:19">
      <c r="A182" s="1179"/>
      <c r="B182" s="1163"/>
      <c r="C182" s="1172"/>
      <c r="D182" s="1178"/>
      <c r="E182" s="1175"/>
      <c r="F182" s="1176"/>
      <c r="G182" s="1174"/>
      <c r="H182" s="1161"/>
      <c r="I182" s="1177"/>
      <c r="J182" s="1187"/>
      <c r="K182" s="1258"/>
      <c r="L182" s="1259"/>
      <c r="M182" s="1260"/>
      <c r="N182" s="1199"/>
      <c r="O182" s="1199"/>
      <c r="P182" s="1201"/>
      <c r="Q182" s="1199"/>
      <c r="R182" s="1200"/>
      <c r="S182" s="1210"/>
    </row>
    <row r="183" spans="1:19">
      <c r="A183" s="1179"/>
      <c r="B183" s="1163"/>
      <c r="C183" s="1172"/>
      <c r="D183" s="1178"/>
      <c r="E183" s="1175"/>
      <c r="F183" s="1176"/>
      <c r="G183" s="1174"/>
      <c r="H183" s="1161"/>
      <c r="I183" s="1177"/>
      <c r="J183" s="1187"/>
      <c r="K183" s="1258"/>
      <c r="L183" s="1259"/>
      <c r="M183" s="1260"/>
      <c r="N183" s="1199"/>
      <c r="O183" s="1199"/>
      <c r="P183" s="1201"/>
      <c r="Q183" s="1199"/>
      <c r="R183" s="1200"/>
      <c r="S183" s="1210"/>
    </row>
    <row r="184" spans="1:19">
      <c r="A184" s="1179"/>
      <c r="B184" s="1163"/>
      <c r="C184" s="1172"/>
      <c r="D184" s="1178"/>
      <c r="E184" s="1175"/>
      <c r="F184" s="1176"/>
      <c r="G184" s="1174"/>
      <c r="H184" s="1161"/>
      <c r="I184" s="1177"/>
      <c r="J184" s="1187"/>
      <c r="K184" s="1258"/>
      <c r="L184" s="1259"/>
      <c r="M184" s="1192"/>
      <c r="N184" s="1199"/>
      <c r="O184" s="1199"/>
      <c r="P184" s="1201"/>
      <c r="Q184" s="1199"/>
      <c r="R184" s="1200"/>
      <c r="S184" s="1210"/>
    </row>
    <row r="185" spans="1:19">
      <c r="A185" s="1179"/>
      <c r="B185" s="1163"/>
      <c r="C185" s="1172"/>
      <c r="D185" s="1178"/>
      <c r="E185" s="1175"/>
      <c r="F185" s="1176"/>
      <c r="G185" s="1174"/>
      <c r="H185" s="1161"/>
      <c r="I185" s="1177"/>
      <c r="J185" s="1187"/>
      <c r="K185" s="1258"/>
      <c r="L185" s="1202"/>
      <c r="M185" s="1192"/>
      <c r="N185" s="1199"/>
      <c r="O185" s="1199"/>
      <c r="P185" s="1201"/>
      <c r="Q185" s="1199"/>
      <c r="R185" s="1200"/>
      <c r="S185" s="1210"/>
    </row>
    <row r="186" spans="1:19">
      <c r="A186" s="1179"/>
      <c r="B186" s="1163"/>
      <c r="C186" s="1172"/>
      <c r="D186" s="1178"/>
      <c r="E186" s="1175"/>
      <c r="F186" s="1176"/>
      <c r="G186" s="1174"/>
      <c r="H186" s="1161"/>
      <c r="I186" s="1177"/>
      <c r="J186" s="1187"/>
      <c r="K186" s="1258"/>
      <c r="L186" s="1202"/>
      <c r="M186" s="1192"/>
      <c r="N186" s="1199"/>
      <c r="O186" s="1199"/>
      <c r="P186" s="1201"/>
      <c r="Q186" s="1199"/>
      <c r="R186" s="1200"/>
      <c r="S186" s="1210"/>
    </row>
    <row r="187" spans="1:19">
      <c r="A187" s="1179"/>
      <c r="B187" s="1163"/>
      <c r="C187" s="1172"/>
      <c r="D187" s="1178"/>
      <c r="E187" s="1175"/>
      <c r="F187" s="1176"/>
      <c r="G187" s="1174"/>
      <c r="H187" s="1161"/>
      <c r="I187" s="1177"/>
      <c r="J187" s="1187"/>
      <c r="K187" s="1258"/>
      <c r="L187" s="1202"/>
      <c r="M187" s="1192"/>
      <c r="N187" s="1199"/>
      <c r="O187" s="1199"/>
      <c r="P187" s="1201"/>
      <c r="Q187" s="1199"/>
      <c r="R187" s="1200"/>
      <c r="S187" s="1210"/>
    </row>
    <row r="188" spans="1:19">
      <c r="A188" s="1179"/>
      <c r="B188" s="1163"/>
      <c r="C188" s="1172"/>
      <c r="D188" s="1178"/>
      <c r="E188" s="1175"/>
      <c r="F188" s="1176"/>
      <c r="G188" s="1174"/>
      <c r="H188" s="1161"/>
      <c r="I188" s="1177"/>
      <c r="J188" s="1187"/>
      <c r="K188" s="1258"/>
      <c r="L188" s="1202"/>
      <c r="M188" s="1192"/>
      <c r="N188" s="1199"/>
      <c r="O188" s="1199"/>
      <c r="P188" s="1201"/>
      <c r="Q188" s="1199"/>
      <c r="R188" s="1200"/>
      <c r="S188" s="1210"/>
    </row>
    <row r="189" spans="1:19">
      <c r="A189" s="1179"/>
      <c r="B189" s="1163"/>
      <c r="C189" s="1172"/>
      <c r="D189" s="1178"/>
      <c r="E189" s="1175"/>
      <c r="F189" s="1176"/>
      <c r="G189" s="1174"/>
      <c r="H189" s="1161"/>
      <c r="I189" s="1177"/>
      <c r="J189" s="1187"/>
      <c r="K189" s="1258"/>
      <c r="L189" s="1202"/>
      <c r="M189" s="1192"/>
      <c r="N189" s="1199"/>
      <c r="O189" s="1199"/>
      <c r="P189" s="1201"/>
      <c r="Q189" s="1199"/>
      <c r="R189" s="1200"/>
      <c r="S189" s="1210"/>
    </row>
    <row r="190" spans="1:19">
      <c r="A190" s="1179"/>
      <c r="B190" s="1163"/>
      <c r="C190" s="1172"/>
      <c r="D190" s="1178"/>
      <c r="E190" s="1175"/>
      <c r="F190" s="1176"/>
      <c r="G190" s="1174"/>
      <c r="H190" s="1161"/>
      <c r="I190" s="1177"/>
      <c r="J190" s="1187"/>
      <c r="K190" s="1258"/>
      <c r="L190" s="1202"/>
      <c r="M190" s="1192"/>
      <c r="N190" s="1199"/>
      <c r="O190" s="1199"/>
      <c r="P190" s="1201"/>
      <c r="Q190" s="1199"/>
      <c r="R190" s="1200"/>
      <c r="S190" s="1210"/>
    </row>
    <row r="191" spans="1:19">
      <c r="A191" s="1179"/>
      <c r="B191" s="1163"/>
      <c r="C191" s="1172"/>
      <c r="D191" s="1178"/>
      <c r="E191" s="1175"/>
      <c r="F191" s="1176"/>
      <c r="G191" s="1174"/>
      <c r="H191" s="1161"/>
      <c r="I191" s="1177"/>
      <c r="J191" s="1187"/>
      <c r="K191" s="1258"/>
      <c r="L191" s="1202"/>
      <c r="M191" s="1192"/>
      <c r="N191" s="1199"/>
      <c r="O191" s="1199"/>
      <c r="P191" s="1201"/>
      <c r="Q191" s="1199"/>
      <c r="R191" s="1200"/>
      <c r="S191" s="1210"/>
    </row>
    <row r="192" spans="1:19">
      <c r="A192" s="1179"/>
      <c r="B192" s="1163"/>
      <c r="C192" s="1172"/>
      <c r="D192" s="1178"/>
      <c r="E192" s="1175"/>
      <c r="F192" s="1176"/>
      <c r="G192" s="1174"/>
      <c r="H192" s="1161"/>
      <c r="I192" s="1177"/>
      <c r="J192" s="1187"/>
      <c r="K192" s="1258"/>
      <c r="L192" s="1202"/>
      <c r="M192" s="1192"/>
      <c r="N192" s="1199"/>
      <c r="O192" s="1199"/>
      <c r="P192" s="1201"/>
      <c r="Q192" s="1199"/>
      <c r="R192" s="1200"/>
      <c r="S192" s="1210"/>
    </row>
    <row r="193" spans="1:19">
      <c r="A193" s="1179"/>
      <c r="B193" s="1163"/>
      <c r="C193" s="1172"/>
      <c r="D193" s="1178"/>
      <c r="E193" s="1175"/>
      <c r="F193" s="1176"/>
      <c r="G193" s="1174"/>
      <c r="H193" s="1161"/>
      <c r="I193" s="1177"/>
      <c r="J193" s="1187"/>
      <c r="K193" s="1258"/>
      <c r="L193" s="1259"/>
      <c r="M193" s="1192"/>
      <c r="N193" s="1199"/>
      <c r="O193" s="1199"/>
      <c r="P193" s="1201"/>
      <c r="Q193" s="1199"/>
      <c r="R193" s="1200"/>
      <c r="S193" s="1210"/>
    </row>
    <row r="194" spans="1:19">
      <c r="A194" s="1179"/>
      <c r="B194" s="1163"/>
      <c r="C194" s="1172"/>
      <c r="D194" s="1178"/>
      <c r="E194" s="1175"/>
      <c r="F194" s="1176"/>
      <c r="G194" s="1174"/>
      <c r="H194" s="1161"/>
      <c r="I194" s="1177"/>
      <c r="J194" s="1187"/>
      <c r="K194" s="1258"/>
      <c r="L194" s="1202"/>
      <c r="M194" s="1192"/>
      <c r="N194" s="1199"/>
      <c r="O194" s="1199"/>
      <c r="P194" s="1201"/>
      <c r="Q194" s="1199"/>
      <c r="R194" s="1200"/>
      <c r="S194" s="1210"/>
    </row>
    <row r="195" spans="1:19">
      <c r="A195" s="1179"/>
      <c r="B195" s="1163"/>
      <c r="C195" s="1172"/>
      <c r="D195" s="1178"/>
      <c r="E195" s="1175"/>
      <c r="F195" s="1176"/>
      <c r="G195" s="1174"/>
      <c r="H195" s="1161"/>
      <c r="I195" s="1177"/>
      <c r="J195" s="1187"/>
      <c r="K195" s="1258"/>
      <c r="L195" s="1202"/>
      <c r="M195" s="1192"/>
      <c r="N195" s="1199"/>
      <c r="O195" s="1199"/>
      <c r="P195" s="1201"/>
      <c r="Q195" s="1199"/>
      <c r="R195" s="1200"/>
      <c r="S195" s="1210"/>
    </row>
    <row r="196" spans="1:19">
      <c r="A196" s="1179"/>
      <c r="B196" s="1163"/>
      <c r="C196" s="1172"/>
      <c r="D196" s="1178"/>
      <c r="E196" s="1175"/>
      <c r="F196" s="1176"/>
      <c r="G196" s="1174"/>
      <c r="H196" s="1161"/>
      <c r="I196" s="1177"/>
      <c r="J196" s="1187"/>
      <c r="K196" s="1258"/>
      <c r="L196" s="1259"/>
      <c r="M196" s="1192"/>
      <c r="N196" s="1199"/>
      <c r="O196" s="1199"/>
      <c r="P196" s="1201"/>
      <c r="Q196" s="1199"/>
      <c r="R196" s="1200"/>
      <c r="S196" s="1210"/>
    </row>
    <row r="197" spans="1:19">
      <c r="A197" s="1179"/>
      <c r="B197" s="1163"/>
      <c r="C197" s="1172"/>
      <c r="D197" s="1178"/>
      <c r="E197" s="1175"/>
      <c r="F197" s="1176"/>
      <c r="G197" s="1174"/>
      <c r="H197" s="1161"/>
      <c r="I197" s="1177"/>
      <c r="J197" s="1187"/>
      <c r="K197" s="1258"/>
      <c r="L197" s="1202"/>
      <c r="M197" s="1192"/>
      <c r="N197" s="1199"/>
      <c r="O197" s="1199"/>
      <c r="P197" s="1201"/>
      <c r="Q197" s="1199"/>
      <c r="R197" s="1200"/>
      <c r="S197" s="1210"/>
    </row>
    <row r="198" spans="1:19">
      <c r="A198" s="1179"/>
      <c r="B198" s="1163"/>
      <c r="C198" s="1172"/>
      <c r="D198" s="1178"/>
      <c r="E198" s="1175"/>
      <c r="F198" s="1176"/>
      <c r="G198" s="1174"/>
      <c r="H198" s="1161"/>
      <c r="I198" s="1177"/>
      <c r="J198" s="1187"/>
      <c r="K198" s="1258"/>
      <c r="L198" s="1202"/>
      <c r="M198" s="1192"/>
      <c r="N198" s="1199"/>
      <c r="O198" s="1199"/>
      <c r="P198" s="1201"/>
      <c r="Q198" s="1199"/>
      <c r="R198" s="1200"/>
      <c r="S198" s="1210"/>
    </row>
    <row r="199" spans="1:19">
      <c r="A199" s="1179"/>
      <c r="B199" s="1163"/>
      <c r="C199" s="1172"/>
      <c r="D199" s="1178"/>
      <c r="E199" s="1175"/>
      <c r="F199" s="1176"/>
      <c r="G199" s="1174"/>
      <c r="H199" s="1161"/>
      <c r="I199" s="1177"/>
      <c r="J199" s="1187"/>
      <c r="K199" s="1258"/>
      <c r="L199" s="1202"/>
      <c r="M199" s="1192"/>
      <c r="N199" s="1199"/>
      <c r="O199" s="1199"/>
      <c r="P199" s="1201"/>
      <c r="Q199" s="1199"/>
      <c r="R199" s="1200"/>
      <c r="S199" s="1210"/>
    </row>
    <row r="200" spans="1:19">
      <c r="A200" s="1179"/>
      <c r="B200" s="1163"/>
      <c r="C200" s="1172"/>
      <c r="D200" s="1178"/>
      <c r="E200" s="1175"/>
      <c r="F200" s="1176"/>
      <c r="G200" s="1174"/>
      <c r="H200" s="1161"/>
      <c r="I200" s="1177"/>
      <c r="J200" s="1187"/>
      <c r="K200" s="1258"/>
      <c r="L200" s="1202"/>
      <c r="M200" s="1192"/>
      <c r="N200" s="1199"/>
      <c r="O200" s="1199"/>
      <c r="P200" s="1201"/>
      <c r="Q200" s="1199"/>
      <c r="R200" s="1200"/>
      <c r="S200" s="1210"/>
    </row>
    <row r="201" spans="1:19">
      <c r="A201" s="1179"/>
      <c r="B201" s="1163"/>
      <c r="C201" s="1172"/>
      <c r="D201" s="1178"/>
      <c r="E201" s="1175"/>
      <c r="F201" s="1176"/>
      <c r="G201" s="1174"/>
      <c r="H201" s="1161"/>
      <c r="I201" s="1177"/>
      <c r="J201" s="1187"/>
      <c r="K201" s="1258"/>
      <c r="L201" s="1259"/>
      <c r="M201" s="1192"/>
      <c r="N201" s="1199"/>
      <c r="O201" s="1199"/>
      <c r="P201" s="1201"/>
      <c r="Q201" s="1199"/>
      <c r="R201" s="1200"/>
      <c r="S201" s="1210"/>
    </row>
    <row r="202" spans="1:19">
      <c r="A202" s="1179"/>
      <c r="B202" s="1163"/>
      <c r="C202" s="1172"/>
      <c r="D202" s="1178"/>
      <c r="E202" s="1175"/>
      <c r="F202" s="1176"/>
      <c r="G202" s="1174"/>
      <c r="H202" s="1161"/>
      <c r="I202" s="1177"/>
      <c r="J202" s="1187"/>
      <c r="K202" s="1258"/>
      <c r="L202" s="1202"/>
      <c r="M202" s="1192"/>
      <c r="N202" s="1199"/>
      <c r="O202" s="1199"/>
      <c r="P202" s="1201"/>
      <c r="Q202" s="1199"/>
      <c r="R202" s="1200"/>
      <c r="S202" s="1210"/>
    </row>
    <row r="203" spans="1:19">
      <c r="A203" s="1179"/>
      <c r="B203" s="1163"/>
      <c r="C203" s="1172"/>
      <c r="D203" s="1178"/>
      <c r="E203" s="1175"/>
      <c r="F203" s="1176"/>
      <c r="G203" s="1174"/>
      <c r="H203" s="1161"/>
      <c r="I203" s="1177"/>
      <c r="J203" s="1187"/>
      <c r="K203" s="1258"/>
      <c r="L203" s="1259"/>
      <c r="M203" s="1192"/>
      <c r="N203" s="1199"/>
      <c r="O203" s="1199"/>
      <c r="P203" s="1201"/>
      <c r="Q203" s="1199"/>
      <c r="R203" s="1200"/>
      <c r="S203" s="1210"/>
    </row>
    <row r="204" spans="1:19">
      <c r="A204" s="1179"/>
      <c r="B204" s="1163"/>
      <c r="C204" s="1172"/>
      <c r="D204" s="1178"/>
      <c r="E204" s="1175"/>
      <c r="F204" s="1176"/>
      <c r="G204" s="1174"/>
      <c r="H204" s="1161"/>
      <c r="I204" s="1177"/>
      <c r="J204" s="1187"/>
      <c r="K204" s="1258"/>
      <c r="L204" s="1259"/>
      <c r="M204" s="1260"/>
      <c r="N204" s="1199"/>
      <c r="O204" s="1199"/>
      <c r="P204" s="1201"/>
      <c r="Q204" s="1199"/>
      <c r="R204" s="1200"/>
      <c r="S204" s="1210"/>
    </row>
    <row r="205" spans="1:19">
      <c r="A205" s="1179"/>
      <c r="B205" s="1163"/>
      <c r="C205" s="1172"/>
      <c r="D205" s="1178"/>
      <c r="E205" s="1175"/>
      <c r="F205" s="1176"/>
      <c r="G205" s="1174"/>
      <c r="H205" s="1161"/>
      <c r="I205" s="1177"/>
      <c r="J205" s="1187"/>
      <c r="K205" s="1258"/>
      <c r="L205" s="1259"/>
      <c r="M205" s="1260"/>
      <c r="N205" s="1199"/>
      <c r="O205" s="1199"/>
      <c r="P205" s="1201"/>
      <c r="Q205" s="1199"/>
      <c r="R205" s="1200"/>
      <c r="S205" s="1210"/>
    </row>
    <row r="206" spans="1:19">
      <c r="A206" s="1179"/>
      <c r="B206" s="1163"/>
      <c r="C206" s="1172"/>
      <c r="D206" s="1178"/>
      <c r="E206" s="1175"/>
      <c r="F206" s="1176"/>
      <c r="G206" s="1174"/>
      <c r="H206" s="1161"/>
      <c r="I206" s="1177"/>
      <c r="J206" s="1187"/>
      <c r="K206" s="1258"/>
      <c r="L206" s="1259"/>
      <c r="M206" s="1192"/>
      <c r="N206" s="1199"/>
      <c r="O206" s="1199"/>
      <c r="P206" s="1201"/>
      <c r="Q206" s="1199"/>
      <c r="R206" s="1200"/>
      <c r="S206" s="1210"/>
    </row>
    <row r="207" spans="1:19">
      <c r="A207" s="1179"/>
      <c r="B207" s="1163"/>
      <c r="C207" s="1172"/>
      <c r="D207" s="1178"/>
      <c r="E207" s="1175"/>
      <c r="F207" s="1176"/>
      <c r="G207" s="1174"/>
      <c r="H207" s="1161"/>
      <c r="I207" s="1177"/>
      <c r="J207" s="1187"/>
      <c r="K207" s="1258"/>
      <c r="L207" s="1202"/>
      <c r="M207" s="1192"/>
      <c r="N207" s="1199"/>
      <c r="O207" s="1199"/>
      <c r="P207" s="1201"/>
      <c r="Q207" s="1199"/>
      <c r="R207" s="1200"/>
      <c r="S207" s="1210"/>
    </row>
    <row r="208" spans="1:19">
      <c r="A208" s="1179"/>
      <c r="B208" s="1163"/>
      <c r="C208" s="1172"/>
      <c r="D208" s="1178"/>
      <c r="E208" s="1175"/>
      <c r="F208" s="1176"/>
      <c r="G208" s="1174"/>
      <c r="H208" s="1161"/>
      <c r="I208" s="1177"/>
      <c r="J208" s="1187"/>
      <c r="K208" s="1258"/>
      <c r="L208" s="1202"/>
      <c r="M208" s="1192"/>
      <c r="N208" s="1199"/>
      <c r="O208" s="1199"/>
      <c r="P208" s="1201"/>
      <c r="Q208" s="1199"/>
      <c r="R208" s="1200"/>
      <c r="S208" s="1210"/>
    </row>
    <row r="209" spans="1:19">
      <c r="A209" s="1179"/>
      <c r="B209" s="1163"/>
      <c r="C209" s="1172"/>
      <c r="D209" s="1178"/>
      <c r="E209" s="1175"/>
      <c r="F209" s="1176"/>
      <c r="G209" s="1174"/>
      <c r="H209" s="1161"/>
      <c r="I209" s="1177"/>
      <c r="J209" s="1187"/>
      <c r="K209" s="1258"/>
      <c r="L209" s="1202"/>
      <c r="M209" s="1192"/>
      <c r="N209" s="1199"/>
      <c r="O209" s="1199"/>
      <c r="P209" s="1201"/>
      <c r="Q209" s="1199"/>
      <c r="R209" s="1200"/>
      <c r="S209" s="1210"/>
    </row>
    <row r="210" spans="1:19">
      <c r="A210" s="1179"/>
      <c r="B210" s="1163"/>
      <c r="C210" s="1172"/>
      <c r="D210" s="1178"/>
      <c r="E210" s="1175"/>
      <c r="F210" s="1176"/>
      <c r="G210" s="1174"/>
      <c r="H210" s="1161"/>
      <c r="I210" s="1177"/>
      <c r="J210" s="1187"/>
      <c r="K210" s="1258"/>
      <c r="L210" s="1202"/>
      <c r="M210" s="1192"/>
      <c r="N210" s="1199"/>
      <c r="O210" s="1199"/>
      <c r="P210" s="1201"/>
      <c r="Q210" s="1199"/>
      <c r="R210" s="1200"/>
      <c r="S210" s="1210"/>
    </row>
    <row r="211" spans="1:19">
      <c r="A211" s="1179"/>
      <c r="B211" s="1163"/>
      <c r="C211" s="1172"/>
      <c r="D211" s="1178"/>
      <c r="E211" s="1175"/>
      <c r="F211" s="1176"/>
      <c r="G211" s="1174"/>
      <c r="H211" s="1161"/>
      <c r="I211" s="1177"/>
      <c r="J211" s="1187"/>
      <c r="K211" s="1258"/>
      <c r="L211" s="1202"/>
      <c r="M211" s="1192"/>
      <c r="N211" s="1199"/>
      <c r="O211" s="1199"/>
      <c r="P211" s="1201"/>
      <c r="Q211" s="1199"/>
      <c r="R211" s="1200"/>
      <c r="S211" s="1210"/>
    </row>
    <row r="212" spans="1:19">
      <c r="A212" s="1179"/>
      <c r="B212" s="1163"/>
      <c r="C212" s="1172"/>
      <c r="D212" s="1178"/>
      <c r="E212" s="1175"/>
      <c r="F212" s="1176"/>
      <c r="G212" s="1174"/>
      <c r="H212" s="1161"/>
      <c r="I212" s="1177"/>
      <c r="J212" s="1187"/>
      <c r="K212" s="1258"/>
      <c r="L212" s="1202"/>
      <c r="M212" s="1192"/>
      <c r="N212" s="1199"/>
      <c r="O212" s="1199"/>
      <c r="P212" s="1201"/>
      <c r="Q212" s="1199"/>
      <c r="R212" s="1200"/>
      <c r="S212" s="1210"/>
    </row>
    <row r="213" spans="1:19">
      <c r="A213" s="1179"/>
      <c r="B213" s="1163"/>
      <c r="C213" s="1172"/>
      <c r="D213" s="1178"/>
      <c r="E213" s="1175"/>
      <c r="F213" s="1176"/>
      <c r="G213" s="1174"/>
      <c r="H213" s="1161"/>
      <c r="I213" s="1177"/>
      <c r="J213" s="1187"/>
      <c r="K213" s="1258"/>
      <c r="L213" s="1202"/>
      <c r="M213" s="1192"/>
      <c r="N213" s="1199"/>
      <c r="O213" s="1199"/>
      <c r="P213" s="1201"/>
      <c r="Q213" s="1199"/>
      <c r="R213" s="1200"/>
      <c r="S213" s="1210"/>
    </row>
    <row r="214" spans="1:19">
      <c r="A214" s="1179"/>
      <c r="B214" s="1163"/>
      <c r="C214" s="1172"/>
      <c r="D214" s="1178"/>
      <c r="E214" s="1175"/>
      <c r="F214" s="1176"/>
      <c r="G214" s="1174"/>
      <c r="H214" s="1161"/>
      <c r="I214" s="1177"/>
      <c r="J214" s="1187"/>
      <c r="K214" s="1258"/>
      <c r="L214" s="1202"/>
      <c r="M214" s="1192"/>
      <c r="N214" s="1199"/>
      <c r="O214" s="1199"/>
      <c r="P214" s="1201"/>
      <c r="Q214" s="1199"/>
      <c r="R214" s="1200"/>
      <c r="S214" s="1210"/>
    </row>
    <row r="215" spans="1:19">
      <c r="A215" s="1179"/>
      <c r="B215" s="1163"/>
      <c r="C215" s="1172"/>
      <c r="D215" s="1178"/>
      <c r="E215" s="1175"/>
      <c r="F215" s="1176"/>
      <c r="G215" s="1174"/>
      <c r="H215" s="1161"/>
      <c r="I215" s="1177"/>
      <c r="J215" s="1187"/>
      <c r="K215" s="1258"/>
      <c r="L215" s="1259"/>
      <c r="M215" s="1192"/>
      <c r="N215" s="1199"/>
      <c r="O215" s="1199"/>
      <c r="P215" s="1201"/>
      <c r="Q215" s="1199"/>
      <c r="R215" s="1200"/>
      <c r="S215" s="1210"/>
    </row>
    <row r="216" spans="1:19">
      <c r="A216" s="1179"/>
      <c r="B216" s="1163"/>
      <c r="C216" s="1172"/>
      <c r="D216" s="1178"/>
      <c r="E216" s="1175"/>
      <c r="F216" s="1176"/>
      <c r="G216" s="1174"/>
      <c r="H216" s="1161"/>
      <c r="I216" s="1177"/>
      <c r="J216" s="1187"/>
      <c r="K216" s="1258"/>
      <c r="L216" s="1202"/>
      <c r="M216" s="1192"/>
      <c r="N216" s="1199"/>
      <c r="O216" s="1199"/>
      <c r="P216" s="1201"/>
      <c r="Q216" s="1199"/>
      <c r="R216" s="1200"/>
      <c r="S216" s="1210"/>
    </row>
    <row r="217" spans="1:19">
      <c r="A217" s="1179"/>
      <c r="B217" s="1163"/>
      <c r="C217" s="1172"/>
      <c r="D217" s="1178"/>
      <c r="E217" s="1175"/>
      <c r="F217" s="1176"/>
      <c r="G217" s="1174"/>
      <c r="H217" s="1161"/>
      <c r="I217" s="1177"/>
      <c r="J217" s="1187"/>
      <c r="K217" s="1258"/>
      <c r="L217" s="1202"/>
      <c r="M217" s="1192"/>
      <c r="N217" s="1199"/>
      <c r="O217" s="1199"/>
      <c r="P217" s="1201"/>
      <c r="Q217" s="1199"/>
      <c r="R217" s="1200"/>
      <c r="S217" s="1210"/>
    </row>
    <row r="218" spans="1:19">
      <c r="A218" s="1179"/>
      <c r="B218" s="1163"/>
      <c r="C218" s="1172"/>
      <c r="D218" s="1178"/>
      <c r="E218" s="1175"/>
      <c r="F218" s="1176"/>
      <c r="G218" s="1174"/>
      <c r="H218" s="1161"/>
      <c r="I218" s="1177"/>
      <c r="J218" s="1187"/>
      <c r="K218" s="1258"/>
      <c r="L218" s="1259"/>
      <c r="M218" s="1192"/>
      <c r="N218" s="1199"/>
      <c r="O218" s="1199"/>
      <c r="P218" s="1201"/>
      <c r="Q218" s="1199"/>
      <c r="R218" s="1200"/>
      <c r="S218" s="1210"/>
    </row>
    <row r="219" spans="1:19">
      <c r="A219" s="1179"/>
      <c r="B219" s="1163"/>
      <c r="C219" s="1172"/>
      <c r="D219" s="1178"/>
      <c r="E219" s="1175"/>
      <c r="F219" s="1176"/>
      <c r="G219" s="1174"/>
      <c r="H219" s="1161"/>
      <c r="I219" s="1177"/>
      <c r="J219" s="1187"/>
      <c r="K219" s="1258"/>
      <c r="L219" s="1202"/>
      <c r="M219" s="1192"/>
      <c r="N219" s="1199"/>
      <c r="O219" s="1199"/>
      <c r="P219" s="1201"/>
      <c r="Q219" s="1199"/>
      <c r="R219" s="1200"/>
      <c r="S219" s="1210"/>
    </row>
    <row r="220" spans="1:19">
      <c r="A220" s="1179"/>
      <c r="B220" s="1163"/>
      <c r="C220" s="1172"/>
      <c r="D220" s="1178"/>
      <c r="E220" s="1175"/>
      <c r="F220" s="1176"/>
      <c r="G220" s="1174"/>
      <c r="H220" s="1161"/>
      <c r="I220" s="1177"/>
      <c r="J220" s="1187"/>
      <c r="K220" s="1258"/>
      <c r="L220" s="1202"/>
      <c r="M220" s="1192"/>
      <c r="N220" s="1199"/>
      <c r="O220" s="1199"/>
      <c r="P220" s="1201"/>
      <c r="Q220" s="1199"/>
      <c r="R220" s="1200"/>
      <c r="S220" s="1210"/>
    </row>
    <row r="221" spans="1:19">
      <c r="A221" s="1179"/>
      <c r="B221" s="1163"/>
      <c r="C221" s="1172"/>
      <c r="D221" s="1178"/>
      <c r="E221" s="1175"/>
      <c r="F221" s="1176"/>
      <c r="G221" s="1174"/>
      <c r="H221" s="1161"/>
      <c r="I221" s="1177"/>
      <c r="J221" s="1187"/>
      <c r="K221" s="1258"/>
      <c r="L221" s="1259"/>
      <c r="M221" s="1192"/>
      <c r="N221" s="1199"/>
      <c r="O221" s="1199"/>
      <c r="P221" s="1201"/>
      <c r="Q221" s="1199"/>
      <c r="R221" s="1200"/>
      <c r="S221" s="1210"/>
    </row>
    <row r="222" spans="1:19">
      <c r="A222" s="1179"/>
      <c r="B222" s="1163"/>
      <c r="C222" s="1172"/>
      <c r="D222" s="1178"/>
      <c r="E222" s="1175"/>
      <c r="F222" s="1176"/>
      <c r="G222" s="1174"/>
      <c r="H222" s="1161"/>
      <c r="I222" s="1177"/>
      <c r="J222" s="1187"/>
      <c r="K222" s="1258"/>
      <c r="L222" s="1259"/>
      <c r="M222" s="1260"/>
      <c r="N222" s="1199"/>
      <c r="O222" s="1199"/>
      <c r="P222" s="1201"/>
      <c r="Q222" s="1199"/>
      <c r="R222" s="1200"/>
      <c r="S222" s="1210"/>
    </row>
    <row r="223" spans="1:19">
      <c r="A223" s="1179"/>
      <c r="B223" s="1163"/>
      <c r="C223" s="1172"/>
      <c r="D223" s="1178"/>
      <c r="E223" s="1175"/>
      <c r="F223" s="1176"/>
      <c r="G223" s="1174"/>
      <c r="H223" s="1161"/>
      <c r="I223" s="1177"/>
      <c r="J223" s="1187"/>
      <c r="K223" s="1258"/>
      <c r="L223" s="1259"/>
      <c r="M223" s="1260"/>
      <c r="N223" s="1199"/>
      <c r="O223" s="1199"/>
      <c r="P223" s="1201"/>
      <c r="Q223" s="1199"/>
      <c r="R223" s="1200"/>
      <c r="S223" s="1210"/>
    </row>
    <row r="224" spans="1:19">
      <c r="A224" s="1179"/>
      <c r="B224" s="1163"/>
      <c r="C224" s="1172"/>
      <c r="D224" s="1178"/>
      <c r="E224" s="1175"/>
      <c r="F224" s="1176"/>
      <c r="G224" s="1174"/>
      <c r="H224" s="1161"/>
      <c r="I224" s="1177"/>
      <c r="J224" s="1187"/>
      <c r="K224" s="1258"/>
      <c r="L224" s="1259"/>
      <c r="M224" s="1192"/>
      <c r="N224" s="1199"/>
      <c r="O224" s="1199"/>
      <c r="P224" s="1201"/>
      <c r="Q224" s="1199"/>
      <c r="R224" s="1200"/>
      <c r="S224" s="1210"/>
    </row>
    <row r="225" spans="1:19">
      <c r="A225" s="1179"/>
      <c r="B225" s="1163"/>
      <c r="C225" s="1172"/>
      <c r="D225" s="1178"/>
      <c r="E225" s="1175"/>
      <c r="F225" s="1176"/>
      <c r="G225" s="1174"/>
      <c r="H225" s="1161"/>
      <c r="I225" s="1177"/>
      <c r="J225" s="1187"/>
      <c r="K225" s="1258"/>
      <c r="L225" s="1202"/>
      <c r="M225" s="1192"/>
      <c r="N225" s="1199"/>
      <c r="O225" s="1199"/>
      <c r="P225" s="1201"/>
      <c r="Q225" s="1199"/>
      <c r="R225" s="1200"/>
      <c r="S225" s="1210"/>
    </row>
    <row r="226" spans="1:19">
      <c r="A226" s="1179"/>
      <c r="B226" s="1163"/>
      <c r="C226" s="1172"/>
      <c r="D226" s="1178"/>
      <c r="E226" s="1175"/>
      <c r="F226" s="1176"/>
      <c r="G226" s="1174"/>
      <c r="H226" s="1161"/>
      <c r="I226" s="1177"/>
      <c r="J226" s="1187"/>
      <c r="K226" s="1258"/>
      <c r="L226" s="1202"/>
      <c r="M226" s="1192"/>
      <c r="N226" s="1199"/>
      <c r="O226" s="1199"/>
      <c r="P226" s="1201"/>
      <c r="Q226" s="1199"/>
      <c r="R226" s="1200"/>
      <c r="S226" s="1210"/>
    </row>
    <row r="227" spans="1:19">
      <c r="A227" s="1179"/>
      <c r="B227" s="1163"/>
      <c r="C227" s="1172"/>
      <c r="D227" s="1178"/>
      <c r="E227" s="1175"/>
      <c r="F227" s="1176"/>
      <c r="G227" s="1174"/>
      <c r="H227" s="1161"/>
      <c r="I227" s="1177"/>
      <c r="J227" s="1187"/>
      <c r="K227" s="1258"/>
      <c r="L227" s="1202"/>
      <c r="M227" s="1192"/>
      <c r="N227" s="1199"/>
      <c r="O227" s="1199"/>
      <c r="P227" s="1201"/>
      <c r="Q227" s="1199"/>
      <c r="R227" s="1200"/>
      <c r="S227" s="1210"/>
    </row>
    <row r="228" spans="1:19">
      <c r="A228" s="1179"/>
      <c r="B228" s="1163"/>
      <c r="C228" s="1172"/>
      <c r="D228" s="1178"/>
      <c r="E228" s="1175"/>
      <c r="F228" s="1176"/>
      <c r="G228" s="1174"/>
      <c r="H228" s="1161"/>
      <c r="I228" s="1177"/>
      <c r="J228" s="1187"/>
      <c r="K228" s="1258"/>
      <c r="L228" s="1202"/>
      <c r="M228" s="1192"/>
      <c r="N228" s="1199"/>
      <c r="O228" s="1199"/>
      <c r="P228" s="1201"/>
      <c r="Q228" s="1199"/>
      <c r="R228" s="1200"/>
      <c r="S228" s="1210"/>
    </row>
    <row r="229" spans="1:19">
      <c r="A229" s="1179"/>
      <c r="B229" s="1163"/>
      <c r="C229" s="1172"/>
      <c r="D229" s="1178"/>
      <c r="E229" s="1175"/>
      <c r="F229" s="1176"/>
      <c r="G229" s="1174"/>
      <c r="H229" s="1161"/>
      <c r="I229" s="1177"/>
      <c r="J229" s="1187"/>
      <c r="K229" s="1258"/>
      <c r="L229" s="1202"/>
      <c r="M229" s="1192"/>
      <c r="N229" s="1199"/>
      <c r="O229" s="1199"/>
      <c r="P229" s="1201"/>
      <c r="Q229" s="1199"/>
      <c r="R229" s="1200"/>
      <c r="S229" s="1210"/>
    </row>
    <row r="230" spans="1:19">
      <c r="A230" s="1179"/>
      <c r="B230" s="1163"/>
      <c r="C230" s="1172"/>
      <c r="D230" s="1178"/>
      <c r="E230" s="1175"/>
      <c r="F230" s="1176"/>
      <c r="G230" s="1174"/>
      <c r="H230" s="1161"/>
      <c r="I230" s="1177"/>
      <c r="J230" s="1187"/>
      <c r="K230" s="1258"/>
      <c r="L230" s="1202"/>
      <c r="M230" s="1192"/>
      <c r="N230" s="1199"/>
      <c r="O230" s="1199"/>
      <c r="P230" s="1201"/>
      <c r="Q230" s="1199"/>
      <c r="R230" s="1200"/>
      <c r="S230" s="1210"/>
    </row>
    <row r="231" spans="1:19">
      <c r="A231" s="1179"/>
      <c r="B231" s="1163"/>
      <c r="C231" s="1172"/>
      <c r="D231" s="1178"/>
      <c r="E231" s="1175"/>
      <c r="F231" s="1176"/>
      <c r="G231" s="1174"/>
      <c r="H231" s="1161"/>
      <c r="I231" s="1177"/>
      <c r="J231" s="1187"/>
      <c r="K231" s="1258"/>
      <c r="L231" s="1202"/>
      <c r="M231" s="1192"/>
      <c r="N231" s="1199"/>
      <c r="O231" s="1199"/>
      <c r="P231" s="1201"/>
      <c r="Q231" s="1199"/>
      <c r="R231" s="1200"/>
      <c r="S231" s="1210"/>
    </row>
    <row r="232" spans="1:19">
      <c r="A232" s="1179"/>
      <c r="B232" s="1163"/>
      <c r="C232" s="1172"/>
      <c r="D232" s="1178"/>
      <c r="E232" s="1175"/>
      <c r="F232" s="1176"/>
      <c r="G232" s="1174"/>
      <c r="H232" s="1161"/>
      <c r="I232" s="1177"/>
      <c r="J232" s="1187"/>
      <c r="K232" s="1258"/>
      <c r="L232" s="1202"/>
      <c r="M232" s="1192"/>
      <c r="N232" s="1199"/>
      <c r="O232" s="1199"/>
      <c r="P232" s="1201"/>
      <c r="Q232" s="1199"/>
      <c r="R232" s="1200"/>
      <c r="S232" s="1210"/>
    </row>
    <row r="233" spans="1:19">
      <c r="A233" s="1179"/>
      <c r="B233" s="1163"/>
      <c r="C233" s="1172"/>
      <c r="D233" s="1178"/>
      <c r="E233" s="1175"/>
      <c r="F233" s="1176"/>
      <c r="G233" s="1174"/>
      <c r="H233" s="1161"/>
      <c r="I233" s="1177"/>
      <c r="J233" s="1187"/>
      <c r="K233" s="1258"/>
      <c r="L233" s="1259"/>
      <c r="M233" s="1192"/>
      <c r="N233" s="1199"/>
      <c r="O233" s="1199"/>
      <c r="P233" s="1201"/>
      <c r="Q233" s="1199"/>
      <c r="R233" s="1200"/>
      <c r="S233" s="1210"/>
    </row>
    <row r="234" spans="1:19">
      <c r="A234" s="1179"/>
      <c r="B234" s="1163"/>
      <c r="C234" s="1172"/>
      <c r="D234" s="1178"/>
      <c r="E234" s="1175"/>
      <c r="F234" s="1176"/>
      <c r="G234" s="1174"/>
      <c r="H234" s="1161"/>
      <c r="I234" s="1177"/>
      <c r="J234" s="1187"/>
      <c r="K234" s="1258"/>
      <c r="L234" s="1202"/>
      <c r="M234" s="1192"/>
      <c r="N234" s="1199"/>
      <c r="O234" s="1199"/>
      <c r="P234" s="1201"/>
      <c r="Q234" s="1199"/>
      <c r="R234" s="1200"/>
      <c r="S234" s="1210"/>
    </row>
    <row r="235" spans="1:19">
      <c r="A235" s="1179"/>
      <c r="B235" s="1163"/>
      <c r="C235" s="1172"/>
      <c r="D235" s="1178"/>
      <c r="E235" s="1175"/>
      <c r="F235" s="1176"/>
      <c r="G235" s="1174"/>
      <c r="H235" s="1161"/>
      <c r="I235" s="1177"/>
      <c r="J235" s="1187"/>
      <c r="K235" s="1258"/>
      <c r="L235" s="1259"/>
      <c r="M235" s="1192"/>
      <c r="N235" s="1199"/>
      <c r="O235" s="1199"/>
      <c r="P235" s="1201"/>
      <c r="Q235" s="1199"/>
      <c r="R235" s="1200"/>
      <c r="S235" s="1210"/>
    </row>
    <row r="236" spans="1:19">
      <c r="A236" s="1179"/>
      <c r="B236" s="1163"/>
      <c r="C236" s="1172"/>
      <c r="D236" s="1178"/>
      <c r="E236" s="1175"/>
      <c r="F236" s="1176"/>
      <c r="G236" s="1174"/>
      <c r="H236" s="1161"/>
      <c r="I236" s="1177"/>
      <c r="J236" s="1187"/>
      <c r="K236" s="1258"/>
      <c r="L236" s="1259"/>
      <c r="M236" s="1192"/>
      <c r="N236" s="1199"/>
      <c r="O236" s="1199"/>
      <c r="P236" s="1201"/>
      <c r="Q236" s="1199"/>
      <c r="R236" s="1200"/>
      <c r="S236" s="1210"/>
    </row>
    <row r="237" spans="1:19">
      <c r="A237" s="1179"/>
      <c r="B237" s="1163"/>
      <c r="C237" s="1172"/>
      <c r="D237" s="1178"/>
      <c r="E237" s="1175"/>
      <c r="F237" s="1176"/>
      <c r="G237" s="1174"/>
      <c r="H237" s="1161"/>
      <c r="I237" s="1177"/>
      <c r="J237" s="1187"/>
      <c r="K237" s="1258"/>
      <c r="L237" s="1259"/>
      <c r="M237" s="1260"/>
      <c r="N237" s="1199"/>
      <c r="O237" s="1199"/>
      <c r="P237" s="1201"/>
      <c r="Q237" s="1199"/>
      <c r="R237" s="1200"/>
      <c r="S237" s="1210"/>
    </row>
    <row r="238" spans="1:19">
      <c r="A238" s="1179"/>
      <c r="B238" s="1163"/>
      <c r="C238" s="1172"/>
      <c r="D238" s="1178"/>
      <c r="E238" s="1175"/>
      <c r="F238" s="1176"/>
      <c r="G238" s="1174"/>
      <c r="H238" s="1161"/>
      <c r="I238" s="1177"/>
      <c r="J238" s="1187"/>
      <c r="K238" s="1258"/>
      <c r="L238" s="1259"/>
      <c r="M238" s="1260"/>
      <c r="N238" s="1199"/>
      <c r="O238" s="1199"/>
      <c r="P238" s="1201"/>
      <c r="Q238" s="1199"/>
      <c r="R238" s="1200"/>
      <c r="S238" s="1210"/>
    </row>
    <row r="239" spans="1:19">
      <c r="A239" s="1179"/>
      <c r="B239" s="1163"/>
      <c r="C239" s="1172"/>
      <c r="D239" s="1178"/>
      <c r="E239" s="1175"/>
      <c r="F239" s="1176"/>
      <c r="G239" s="1174"/>
      <c r="H239" s="1161"/>
      <c r="I239" s="1177"/>
      <c r="J239" s="1187"/>
      <c r="K239" s="1258"/>
      <c r="L239" s="1202"/>
      <c r="M239" s="1260"/>
      <c r="N239" s="1199"/>
      <c r="O239" s="1199"/>
      <c r="P239" s="1201"/>
      <c r="Q239" s="1199"/>
      <c r="R239" s="1200"/>
      <c r="S239" s="1210"/>
    </row>
    <row r="240" spans="1:19">
      <c r="A240" s="1179"/>
      <c r="B240" s="1163"/>
      <c r="C240" s="1172"/>
      <c r="D240" s="1178"/>
      <c r="E240" s="1175"/>
      <c r="F240" s="1176"/>
      <c r="G240" s="1174"/>
      <c r="H240" s="1161"/>
      <c r="I240" s="1177"/>
      <c r="J240" s="1187"/>
      <c r="K240" s="1258"/>
      <c r="L240" s="1202"/>
      <c r="M240" s="1260"/>
      <c r="N240" s="1199"/>
      <c r="O240" s="1199"/>
      <c r="P240" s="1201"/>
      <c r="Q240" s="1199"/>
      <c r="R240" s="1200"/>
      <c r="S240" s="1210"/>
    </row>
    <row r="241" spans="1:19">
      <c r="A241" s="1179"/>
      <c r="B241" s="1163"/>
      <c r="C241" s="1172"/>
      <c r="D241" s="1178"/>
      <c r="E241" s="1175"/>
      <c r="F241" s="1176"/>
      <c r="G241" s="1174"/>
      <c r="H241" s="1161"/>
      <c r="I241" s="1177"/>
      <c r="J241" s="1187"/>
      <c r="K241" s="1258"/>
      <c r="L241" s="1202"/>
      <c r="M241" s="1260"/>
      <c r="N241" s="1199"/>
      <c r="O241" s="1199"/>
      <c r="P241" s="1201"/>
      <c r="Q241" s="1199"/>
      <c r="R241" s="1200"/>
      <c r="S241" s="1210"/>
    </row>
    <row r="242" spans="1:19">
      <c r="A242" s="1179"/>
      <c r="B242" s="1163"/>
      <c r="C242" s="1172"/>
      <c r="D242" s="1178"/>
      <c r="E242" s="1175"/>
      <c r="F242" s="1176"/>
      <c r="G242" s="1174"/>
      <c r="H242" s="1161"/>
      <c r="I242" s="1177"/>
      <c r="J242" s="1187"/>
      <c r="K242" s="1258"/>
      <c r="L242" s="1259"/>
      <c r="M242" s="1260"/>
      <c r="N242" s="1199"/>
      <c r="O242" s="1199"/>
      <c r="P242" s="1201"/>
      <c r="Q242" s="1199"/>
      <c r="R242" s="1200"/>
      <c r="S242" s="1210"/>
    </row>
    <row r="243" spans="1:19">
      <c r="A243" s="1179"/>
      <c r="B243" s="1163"/>
      <c r="C243" s="1172"/>
      <c r="D243" s="1178"/>
      <c r="E243" s="1175"/>
      <c r="F243" s="1176"/>
      <c r="G243" s="1174"/>
      <c r="H243" s="1161"/>
      <c r="I243" s="1177"/>
      <c r="J243" s="1187"/>
      <c r="K243" s="1258"/>
      <c r="L243" s="1202"/>
      <c r="M243" s="1260"/>
      <c r="N243" s="1199"/>
      <c r="O243" s="1199"/>
      <c r="P243" s="1201"/>
      <c r="Q243" s="1199"/>
      <c r="R243" s="1200"/>
      <c r="S243" s="1210"/>
    </row>
    <row r="244" spans="1:19">
      <c r="A244" s="1179"/>
      <c r="B244" s="1163"/>
      <c r="C244" s="1172"/>
      <c r="D244" s="1178"/>
      <c r="E244" s="1175"/>
      <c r="F244" s="1176"/>
      <c r="G244" s="1174"/>
      <c r="H244" s="1161"/>
      <c r="I244" s="1177"/>
      <c r="J244" s="1187"/>
      <c r="K244" s="1258"/>
      <c r="L244" s="1202"/>
      <c r="M244" s="1260"/>
      <c r="N244" s="1199"/>
      <c r="O244" s="1199"/>
      <c r="P244" s="1201"/>
      <c r="Q244" s="1199"/>
      <c r="R244" s="1200"/>
      <c r="S244" s="1210"/>
    </row>
    <row r="245" spans="1:19">
      <c r="A245" s="1179"/>
      <c r="B245" s="1163"/>
      <c r="C245" s="1172"/>
      <c r="D245" s="1178"/>
      <c r="E245" s="1175"/>
      <c r="F245" s="1176"/>
      <c r="G245" s="1174"/>
      <c r="H245" s="1161"/>
      <c r="I245" s="1177"/>
      <c r="J245" s="1187"/>
      <c r="K245" s="1258"/>
      <c r="L245" s="1202"/>
      <c r="M245" s="1260"/>
      <c r="N245" s="1199"/>
      <c r="O245" s="1199"/>
      <c r="P245" s="1201"/>
      <c r="Q245" s="1199"/>
      <c r="R245" s="1200"/>
      <c r="S245" s="1210"/>
    </row>
    <row r="246" spans="1:19">
      <c r="A246" s="1179"/>
      <c r="B246" s="1163"/>
      <c r="C246" s="1172"/>
      <c r="D246" s="1178"/>
      <c r="E246" s="1175"/>
      <c r="F246" s="1176"/>
      <c r="G246" s="1174"/>
      <c r="H246" s="1161"/>
      <c r="I246" s="1177"/>
      <c r="J246" s="1187"/>
      <c r="K246" s="1258"/>
      <c r="L246" s="1259"/>
      <c r="M246" s="1260"/>
      <c r="N246" s="1199"/>
      <c r="O246" s="1199"/>
      <c r="P246" s="1201"/>
      <c r="Q246" s="1199"/>
      <c r="R246" s="1200"/>
      <c r="S246" s="1210"/>
    </row>
    <row r="247" spans="1:19">
      <c r="A247" s="1179"/>
      <c r="B247" s="1163"/>
      <c r="C247" s="1172"/>
      <c r="D247" s="1178"/>
      <c r="E247" s="1175"/>
      <c r="F247" s="1176"/>
      <c r="G247" s="1174"/>
      <c r="H247" s="1161"/>
      <c r="I247" s="1177"/>
      <c r="J247" s="1187"/>
      <c r="K247" s="1258"/>
      <c r="L247" s="1202"/>
      <c r="M247" s="1260"/>
      <c r="N247" s="1199"/>
      <c r="O247" s="1199"/>
      <c r="P247" s="1201"/>
      <c r="Q247" s="1199"/>
      <c r="R247" s="1200"/>
      <c r="S247" s="1210"/>
    </row>
    <row r="248" spans="1:19">
      <c r="A248" s="1179"/>
      <c r="B248" s="1163"/>
      <c r="C248" s="1172"/>
      <c r="D248" s="1178"/>
      <c r="E248" s="1175"/>
      <c r="F248" s="1176"/>
      <c r="G248" s="1174"/>
      <c r="H248" s="1161"/>
      <c r="I248" s="1177"/>
      <c r="J248" s="1187"/>
      <c r="K248" s="1258"/>
      <c r="L248" s="1202"/>
      <c r="M248" s="1260"/>
      <c r="N248" s="1199"/>
      <c r="O248" s="1199"/>
      <c r="P248" s="1201"/>
      <c r="Q248" s="1199"/>
      <c r="R248" s="1200"/>
      <c r="S248" s="1210"/>
    </row>
    <row r="249" spans="1:19">
      <c r="A249" s="1179"/>
      <c r="B249" s="1163"/>
      <c r="C249" s="1172"/>
      <c r="D249" s="1178"/>
      <c r="E249" s="1175"/>
      <c r="F249" s="1176"/>
      <c r="G249" s="1174"/>
      <c r="H249" s="1161"/>
      <c r="I249" s="1177"/>
      <c r="J249" s="1187"/>
      <c r="K249" s="1258"/>
      <c r="L249" s="1202"/>
      <c r="M249" s="1260"/>
      <c r="N249" s="1199"/>
      <c r="O249" s="1199"/>
      <c r="P249" s="1201"/>
      <c r="Q249" s="1199"/>
      <c r="R249" s="1200"/>
      <c r="S249" s="1210"/>
    </row>
    <row r="250" spans="1:19">
      <c r="A250" s="1179"/>
      <c r="B250" s="1163"/>
      <c r="C250" s="1172"/>
      <c r="D250" s="1178"/>
      <c r="E250" s="1175"/>
      <c r="F250" s="1176"/>
      <c r="G250" s="1174"/>
      <c r="H250" s="1161"/>
      <c r="I250" s="1177"/>
      <c r="J250" s="1187"/>
      <c r="K250" s="1258"/>
      <c r="L250" s="1202"/>
      <c r="M250" s="1260"/>
      <c r="N250" s="1199"/>
      <c r="O250" s="1199"/>
      <c r="P250" s="1201"/>
      <c r="Q250" s="1199"/>
      <c r="R250" s="1200"/>
      <c r="S250" s="1210"/>
    </row>
    <row r="251" spans="1:19">
      <c r="A251" s="1179"/>
      <c r="B251" s="1163"/>
      <c r="C251" s="1172"/>
      <c r="D251" s="1178"/>
      <c r="E251" s="1175"/>
      <c r="F251" s="1176"/>
      <c r="G251" s="1174"/>
      <c r="H251" s="1161"/>
      <c r="I251" s="1177"/>
      <c r="J251" s="1187"/>
      <c r="K251" s="1258"/>
      <c r="L251" s="1202"/>
      <c r="M251" s="1260"/>
      <c r="N251" s="1199"/>
      <c r="O251" s="1199"/>
      <c r="P251" s="1201"/>
      <c r="Q251" s="1199"/>
      <c r="R251" s="1200"/>
      <c r="S251" s="1210"/>
    </row>
    <row r="252" spans="1:19">
      <c r="A252" s="1179"/>
      <c r="B252" s="1163"/>
      <c r="C252" s="1172"/>
      <c r="D252" s="1178"/>
      <c r="E252" s="1175"/>
      <c r="F252" s="1176"/>
      <c r="G252" s="1174"/>
      <c r="H252" s="1161"/>
      <c r="I252" s="1177"/>
      <c r="J252" s="1187"/>
      <c r="K252" s="1258"/>
      <c r="L252" s="1202"/>
      <c r="M252" s="1260"/>
      <c r="N252" s="1199"/>
      <c r="O252" s="1199"/>
      <c r="P252" s="1201"/>
      <c r="Q252" s="1199"/>
      <c r="R252" s="1200"/>
      <c r="S252" s="1210"/>
    </row>
    <row r="253" spans="1:19">
      <c r="A253" s="1179"/>
      <c r="B253" s="1163"/>
      <c r="C253" s="1172"/>
      <c r="D253" s="1178"/>
      <c r="E253" s="1175"/>
      <c r="F253" s="1176"/>
      <c r="G253" s="1174"/>
      <c r="H253" s="1161"/>
      <c r="I253" s="1177"/>
      <c r="J253" s="1187"/>
      <c r="K253" s="1258"/>
      <c r="L253" s="1202"/>
      <c r="M253" s="1260"/>
      <c r="N253" s="1199"/>
      <c r="O253" s="1199"/>
      <c r="P253" s="1201"/>
      <c r="Q253" s="1199"/>
      <c r="R253" s="1200"/>
      <c r="S253" s="1210"/>
    </row>
    <row r="254" spans="1:19">
      <c r="A254" s="1179"/>
      <c r="B254" s="1163"/>
      <c r="C254" s="1172"/>
      <c r="D254" s="1178"/>
      <c r="E254" s="1175"/>
      <c r="F254" s="1176"/>
      <c r="G254" s="1174"/>
      <c r="H254" s="1161"/>
      <c r="I254" s="1177"/>
      <c r="J254" s="1187"/>
      <c r="K254" s="1258"/>
      <c r="L254" s="1202"/>
      <c r="M254" s="1260"/>
      <c r="N254" s="1199"/>
      <c r="O254" s="1199"/>
      <c r="P254" s="1201"/>
      <c r="Q254" s="1199"/>
      <c r="R254" s="1200"/>
      <c r="S254" s="1210"/>
    </row>
    <row r="255" spans="1:19">
      <c r="A255" s="1179"/>
      <c r="B255" s="1163"/>
      <c r="C255" s="1172"/>
      <c r="D255" s="1178"/>
      <c r="E255" s="1175"/>
      <c r="F255" s="1176"/>
      <c r="G255" s="1174"/>
      <c r="H255" s="1161"/>
      <c r="I255" s="1177"/>
      <c r="J255" s="1187"/>
      <c r="K255" s="1258"/>
      <c r="L255" s="1202"/>
      <c r="M255" s="1260"/>
      <c r="N255" s="1199"/>
      <c r="O255" s="1199"/>
      <c r="P255" s="1201"/>
      <c r="Q255" s="1199"/>
      <c r="R255" s="1200"/>
      <c r="S255" s="1210"/>
    </row>
    <row r="256" spans="1:19">
      <c r="A256" s="1179"/>
      <c r="B256" s="1163"/>
      <c r="C256" s="1172"/>
      <c r="D256" s="1178"/>
      <c r="E256" s="1175"/>
      <c r="F256" s="1176"/>
      <c r="G256" s="1174"/>
      <c r="H256" s="1161"/>
      <c r="I256" s="1177"/>
      <c r="J256" s="1187"/>
      <c r="K256" s="1258"/>
      <c r="L256" s="1202"/>
      <c r="M256" s="1260"/>
      <c r="N256" s="1199"/>
      <c r="O256" s="1199"/>
      <c r="P256" s="1201"/>
      <c r="Q256" s="1199"/>
      <c r="R256" s="1200"/>
      <c r="S256" s="1210"/>
    </row>
    <row r="257" spans="1:19">
      <c r="A257" s="1179"/>
      <c r="B257" s="1163"/>
      <c r="C257" s="1172"/>
      <c r="D257" s="1178"/>
      <c r="E257" s="1175"/>
      <c r="F257" s="1176"/>
      <c r="G257" s="1174"/>
      <c r="H257" s="1161"/>
      <c r="I257" s="1177"/>
      <c r="J257" s="1187"/>
      <c r="K257" s="1258"/>
      <c r="L257" s="1202"/>
      <c r="M257" s="1260"/>
      <c r="N257" s="1199"/>
      <c r="O257" s="1199"/>
      <c r="P257" s="1201"/>
      <c r="Q257" s="1199"/>
      <c r="R257" s="1200"/>
      <c r="S257" s="1210"/>
    </row>
    <row r="258" spans="1:19">
      <c r="A258" s="1179"/>
      <c r="B258" s="1163"/>
      <c r="C258" s="1172"/>
      <c r="D258" s="1178"/>
      <c r="E258" s="1175"/>
      <c r="F258" s="1176"/>
      <c r="G258" s="1174"/>
      <c r="H258" s="1161"/>
      <c r="I258" s="1177"/>
      <c r="J258" s="1187"/>
      <c r="K258" s="1258"/>
      <c r="L258" s="1202"/>
      <c r="M258" s="1260"/>
      <c r="N258" s="1199"/>
      <c r="O258" s="1199"/>
      <c r="P258" s="1201"/>
      <c r="Q258" s="1199"/>
      <c r="R258" s="1200"/>
      <c r="S258" s="1210"/>
    </row>
    <row r="259" spans="1:19">
      <c r="A259" s="1179"/>
      <c r="B259" s="1163"/>
      <c r="C259" s="1172"/>
      <c r="D259" s="1178"/>
      <c r="E259" s="1175"/>
      <c r="F259" s="1176"/>
      <c r="G259" s="1174"/>
      <c r="H259" s="1161"/>
      <c r="I259" s="1177"/>
      <c r="J259" s="1187"/>
      <c r="K259" s="1258"/>
      <c r="L259" s="1202"/>
      <c r="M259" s="1260"/>
      <c r="N259" s="1199"/>
      <c r="O259" s="1199"/>
      <c r="P259" s="1201"/>
      <c r="Q259" s="1199"/>
      <c r="R259" s="1200"/>
      <c r="S259" s="1210"/>
    </row>
    <row r="260" spans="1:19">
      <c r="A260" s="1179"/>
      <c r="B260" s="1163"/>
      <c r="C260" s="1172"/>
      <c r="D260" s="1178"/>
      <c r="E260" s="1175"/>
      <c r="F260" s="1176"/>
      <c r="G260" s="1174"/>
      <c r="H260" s="1161"/>
      <c r="I260" s="1177"/>
      <c r="J260" s="1187"/>
      <c r="K260" s="1258"/>
      <c r="L260" s="1202"/>
      <c r="M260" s="1260"/>
      <c r="N260" s="1199"/>
      <c r="O260" s="1199"/>
      <c r="P260" s="1201"/>
      <c r="Q260" s="1199"/>
      <c r="R260" s="1200"/>
      <c r="S260" s="1210"/>
    </row>
    <row r="261" spans="1:19">
      <c r="A261" s="1179"/>
      <c r="B261" s="1163"/>
      <c r="C261" s="1172"/>
      <c r="D261" s="1178"/>
      <c r="E261" s="1175"/>
      <c r="F261" s="1176"/>
      <c r="G261" s="1174"/>
      <c r="H261" s="1161"/>
      <c r="I261" s="1177"/>
      <c r="J261" s="1187"/>
      <c r="K261" s="1258"/>
      <c r="L261" s="1202"/>
      <c r="M261" s="1260"/>
      <c r="N261" s="1199"/>
      <c r="O261" s="1199"/>
      <c r="P261" s="1201"/>
      <c r="Q261" s="1199"/>
      <c r="R261" s="1200"/>
      <c r="S261" s="1210"/>
    </row>
    <row r="262" spans="1:19">
      <c r="A262" s="1179"/>
      <c r="B262" s="1163"/>
      <c r="C262" s="1172"/>
      <c r="D262" s="1178"/>
      <c r="E262" s="1175"/>
      <c r="F262" s="1176"/>
      <c r="G262" s="1174"/>
      <c r="H262" s="1161"/>
      <c r="I262" s="1177"/>
      <c r="J262" s="1187"/>
      <c r="K262" s="1258"/>
      <c r="L262" s="1202"/>
      <c r="M262" s="1260"/>
      <c r="N262" s="1199"/>
      <c r="O262" s="1199"/>
      <c r="P262" s="1201"/>
      <c r="Q262" s="1199"/>
      <c r="R262" s="1200"/>
      <c r="S262" s="1210"/>
    </row>
    <row r="263" spans="1:19">
      <c r="A263" s="1179"/>
      <c r="B263" s="1163"/>
      <c r="C263" s="1172"/>
      <c r="D263" s="1178"/>
      <c r="E263" s="1175"/>
      <c r="F263" s="1176"/>
      <c r="G263" s="1174"/>
      <c r="H263" s="1161"/>
      <c r="I263" s="1177"/>
      <c r="J263" s="1187"/>
      <c r="K263" s="1258"/>
      <c r="L263" s="1202"/>
      <c r="M263" s="1260"/>
      <c r="N263" s="1199"/>
      <c r="O263" s="1199"/>
      <c r="P263" s="1201"/>
      <c r="Q263" s="1199"/>
      <c r="R263" s="1200"/>
      <c r="S263" s="1210"/>
    </row>
    <row r="264" spans="1:19">
      <c r="A264" s="1179"/>
      <c r="B264" s="1163"/>
      <c r="C264" s="1172"/>
      <c r="D264" s="1178"/>
      <c r="E264" s="1175"/>
      <c r="F264" s="1176"/>
      <c r="G264" s="1174"/>
      <c r="H264" s="1161"/>
      <c r="I264" s="1177"/>
      <c r="J264" s="1187"/>
      <c r="K264" s="1258"/>
      <c r="L264" s="1259"/>
      <c r="M264" s="1260"/>
      <c r="N264" s="1199"/>
      <c r="O264" s="1199"/>
      <c r="P264" s="1201"/>
      <c r="Q264" s="1199"/>
      <c r="R264" s="1200"/>
      <c r="S264" s="1210"/>
    </row>
    <row r="265" spans="1:19">
      <c r="A265" s="1179"/>
      <c r="B265" s="1163"/>
      <c r="C265" s="1172"/>
      <c r="D265" s="1178"/>
      <c r="E265" s="1175"/>
      <c r="F265" s="1176"/>
      <c r="G265" s="1174"/>
      <c r="H265" s="1161"/>
      <c r="I265" s="1177"/>
      <c r="J265" s="1187"/>
      <c r="K265" s="1258"/>
      <c r="L265" s="1259"/>
      <c r="M265" s="1260"/>
      <c r="N265" s="1199"/>
      <c r="O265" s="1199"/>
      <c r="P265" s="1201"/>
      <c r="Q265" s="1199"/>
      <c r="R265" s="1200"/>
      <c r="S265" s="1210"/>
    </row>
    <row r="266" spans="1:19">
      <c r="A266" s="1179"/>
      <c r="B266" s="1163"/>
      <c r="C266" s="1172"/>
      <c r="D266" s="1178"/>
      <c r="E266" s="1175"/>
      <c r="F266" s="1176"/>
      <c r="G266" s="1174"/>
      <c r="H266" s="1161"/>
      <c r="I266" s="1177"/>
      <c r="J266" s="1187"/>
      <c r="K266" s="1258"/>
      <c r="L266" s="1259"/>
      <c r="M266" s="1260"/>
      <c r="N266" s="1199"/>
      <c r="O266" s="1199"/>
      <c r="P266" s="1201"/>
      <c r="Q266" s="1199"/>
      <c r="R266" s="1200"/>
      <c r="S266" s="1210"/>
    </row>
    <row r="267" spans="1:19">
      <c r="A267" s="1179"/>
      <c r="B267" s="1163"/>
      <c r="C267" s="1172"/>
      <c r="D267" s="1178"/>
      <c r="E267" s="1175"/>
      <c r="F267" s="1176"/>
      <c r="G267" s="1174"/>
      <c r="H267" s="1161"/>
      <c r="I267" s="1177"/>
      <c r="J267" s="1187"/>
      <c r="K267" s="1258"/>
      <c r="L267" s="1259"/>
      <c r="M267" s="1260"/>
      <c r="N267" s="1199"/>
      <c r="O267" s="1199"/>
      <c r="P267" s="1201"/>
      <c r="Q267" s="1199"/>
      <c r="R267" s="1200"/>
      <c r="S267" s="1210"/>
    </row>
    <row r="268" spans="1:19">
      <c r="A268" s="1179"/>
      <c r="B268" s="1163"/>
      <c r="C268" s="1172"/>
      <c r="D268" s="1178"/>
      <c r="E268" s="1175"/>
      <c r="F268" s="1176"/>
      <c r="G268" s="1174"/>
      <c r="H268" s="1161"/>
      <c r="I268" s="1177"/>
      <c r="J268" s="1187"/>
      <c r="K268" s="1258"/>
      <c r="L268" s="1202"/>
      <c r="M268" s="1260"/>
      <c r="N268" s="1199"/>
      <c r="O268" s="1199"/>
      <c r="P268" s="1201"/>
      <c r="Q268" s="1199"/>
      <c r="R268" s="1200"/>
      <c r="S268" s="1210"/>
    </row>
    <row r="269" spans="1:19">
      <c r="A269" s="1179"/>
      <c r="B269" s="1163"/>
      <c r="C269" s="1172"/>
      <c r="D269" s="1178"/>
      <c r="E269" s="1175"/>
      <c r="F269" s="1176"/>
      <c r="G269" s="1174"/>
      <c r="H269" s="1161"/>
      <c r="I269" s="1177"/>
      <c r="J269" s="1187"/>
      <c r="K269" s="1258"/>
      <c r="L269" s="1202"/>
      <c r="M269" s="1260"/>
      <c r="N269" s="1199"/>
      <c r="O269" s="1199"/>
      <c r="P269" s="1201"/>
      <c r="Q269" s="1199"/>
      <c r="R269" s="1200"/>
      <c r="S269" s="1210"/>
    </row>
    <row r="270" spans="1:19">
      <c r="A270" s="1179"/>
      <c r="B270" s="1163"/>
      <c r="C270" s="1172"/>
      <c r="D270" s="1178"/>
      <c r="E270" s="1175"/>
      <c r="F270" s="1176"/>
      <c r="G270" s="1174"/>
      <c r="H270" s="1161"/>
      <c r="I270" s="1177"/>
      <c r="J270" s="1187"/>
      <c r="K270" s="1258"/>
      <c r="L270" s="1259"/>
      <c r="M270" s="1260"/>
      <c r="N270" s="1199"/>
      <c r="O270" s="1199"/>
      <c r="P270" s="1201"/>
      <c r="Q270" s="1199"/>
      <c r="R270" s="1200"/>
      <c r="S270" s="1210"/>
    </row>
    <row r="271" spans="1:19">
      <c r="A271" s="1179"/>
      <c r="B271" s="1163"/>
      <c r="C271" s="1172"/>
      <c r="D271" s="1178"/>
      <c r="E271" s="1175"/>
      <c r="F271" s="1176"/>
      <c r="G271" s="1174"/>
      <c r="H271" s="1161"/>
      <c r="I271" s="1177"/>
      <c r="J271" s="1187"/>
      <c r="K271" s="1258"/>
      <c r="L271" s="1259"/>
      <c r="M271" s="1260"/>
      <c r="N271" s="1199"/>
      <c r="O271" s="1199"/>
      <c r="P271" s="1201"/>
      <c r="Q271" s="1199"/>
      <c r="R271" s="1200"/>
      <c r="S271" s="1210"/>
    </row>
    <row r="272" spans="1:19">
      <c r="A272" s="1179"/>
      <c r="B272" s="1163"/>
      <c r="C272" s="1172"/>
      <c r="D272" s="1178"/>
      <c r="E272" s="1175"/>
      <c r="F272" s="1176"/>
      <c r="G272" s="1174"/>
      <c r="H272" s="1161"/>
      <c r="I272" s="1177"/>
      <c r="J272" s="1187"/>
      <c r="K272" s="1258"/>
      <c r="L272" s="1259"/>
      <c r="M272" s="1260"/>
      <c r="N272" s="1199"/>
      <c r="O272" s="1199"/>
      <c r="P272" s="1201"/>
      <c r="Q272" s="1199"/>
      <c r="R272" s="1200"/>
      <c r="S272" s="1210"/>
    </row>
    <row r="273" spans="1:19">
      <c r="A273" s="1179"/>
      <c r="B273" s="1163"/>
      <c r="C273" s="1172"/>
      <c r="D273" s="1178"/>
      <c r="E273" s="1175"/>
      <c r="F273" s="1176"/>
      <c r="G273" s="1174"/>
      <c r="H273" s="1161"/>
      <c r="I273" s="1177"/>
      <c r="J273" s="1187"/>
      <c r="K273" s="1258"/>
      <c r="L273" s="1259"/>
      <c r="M273" s="1260"/>
      <c r="N273" s="1199"/>
      <c r="O273" s="1199"/>
      <c r="P273" s="1201"/>
      <c r="Q273" s="1199"/>
      <c r="R273" s="1200"/>
      <c r="S273" s="1210"/>
    </row>
    <row r="274" spans="1:19">
      <c r="A274" s="1179"/>
      <c r="B274" s="1163"/>
      <c r="C274" s="1172"/>
      <c r="D274" s="1178"/>
      <c r="E274" s="1175"/>
      <c r="F274" s="1176"/>
      <c r="G274" s="1174"/>
      <c r="H274" s="1161"/>
      <c r="I274" s="1177"/>
      <c r="J274" s="1187"/>
      <c r="K274" s="1258"/>
      <c r="L274" s="1259"/>
      <c r="M274" s="1192"/>
      <c r="N274" s="1199"/>
      <c r="O274" s="1199"/>
      <c r="P274" s="1201"/>
      <c r="Q274" s="1199"/>
      <c r="R274" s="1200"/>
      <c r="S274" s="1210"/>
    </row>
    <row r="275" spans="1:19">
      <c r="A275" s="1179"/>
      <c r="B275" s="1163"/>
      <c r="C275" s="1172"/>
      <c r="D275" s="1178"/>
      <c r="E275" s="1175"/>
      <c r="F275" s="1176"/>
      <c r="G275" s="1174"/>
      <c r="H275" s="1161"/>
      <c r="I275" s="1177"/>
      <c r="J275" s="1187"/>
      <c r="K275" s="1258"/>
      <c r="L275" s="1259"/>
      <c r="M275" s="1260"/>
      <c r="N275" s="1199"/>
      <c r="O275" s="1199"/>
      <c r="P275" s="1201"/>
      <c r="Q275" s="1199"/>
      <c r="R275" s="1200"/>
      <c r="S275" s="1210"/>
    </row>
    <row r="276" spans="1:19">
      <c r="A276" s="1179"/>
      <c r="B276" s="1163"/>
      <c r="C276" s="1172"/>
      <c r="D276" s="1178"/>
      <c r="E276" s="1175"/>
      <c r="F276" s="1176"/>
      <c r="G276" s="1174"/>
      <c r="H276" s="1161"/>
      <c r="I276" s="1177"/>
      <c r="J276" s="1187"/>
      <c r="K276" s="1258"/>
      <c r="L276" s="1259"/>
      <c r="M276" s="1260"/>
      <c r="N276" s="1199"/>
      <c r="O276" s="1199"/>
      <c r="P276" s="1201"/>
      <c r="Q276" s="1199"/>
      <c r="R276" s="1200"/>
      <c r="S276" s="1210"/>
    </row>
    <row r="277" spans="1:19">
      <c r="A277" s="1179"/>
      <c r="B277" s="1163"/>
      <c r="C277" s="1172"/>
      <c r="D277" s="1178"/>
      <c r="E277" s="1175"/>
      <c r="F277" s="1176"/>
      <c r="G277" s="1174"/>
      <c r="H277" s="1161"/>
      <c r="I277" s="1177"/>
      <c r="J277" s="1187"/>
      <c r="K277" s="1258"/>
      <c r="L277" s="1202"/>
      <c r="M277" s="1260"/>
      <c r="N277" s="1199"/>
      <c r="O277" s="1199"/>
      <c r="P277" s="1201"/>
      <c r="Q277" s="1199"/>
      <c r="R277" s="1200"/>
      <c r="S277" s="1210"/>
    </row>
    <row r="278" spans="1:19">
      <c r="A278" s="1179"/>
      <c r="B278" s="1163"/>
      <c r="C278" s="1172"/>
      <c r="D278" s="1178"/>
      <c r="E278" s="1175"/>
      <c r="F278" s="1176"/>
      <c r="G278" s="1174"/>
      <c r="H278" s="1161"/>
      <c r="I278" s="1177"/>
      <c r="J278" s="1187"/>
      <c r="K278" s="1258"/>
      <c r="L278" s="1259"/>
      <c r="M278" s="1260"/>
      <c r="N278" s="1199"/>
      <c r="O278" s="1199"/>
      <c r="P278" s="1201"/>
      <c r="Q278" s="1199"/>
      <c r="R278" s="1200"/>
      <c r="S278" s="1210"/>
    </row>
    <row r="279" spans="1:19">
      <c r="A279" s="1179"/>
      <c r="B279" s="1163"/>
      <c r="C279" s="1172"/>
      <c r="D279" s="1178"/>
      <c r="E279" s="1175"/>
      <c r="F279" s="1176"/>
      <c r="G279" s="1174"/>
      <c r="H279" s="1161"/>
      <c r="I279" s="1177"/>
      <c r="J279" s="1187"/>
      <c r="K279" s="1258"/>
      <c r="L279" s="1272"/>
      <c r="M279" s="1204"/>
      <c r="N279" s="1199"/>
      <c r="O279" s="1199"/>
      <c r="P279" s="1201"/>
      <c r="Q279" s="1199"/>
      <c r="R279" s="1200"/>
      <c r="S279" s="1210"/>
    </row>
    <row r="280" spans="1:19">
      <c r="A280" s="1179"/>
      <c r="B280" s="1163"/>
      <c r="C280" s="1172"/>
      <c r="D280" s="1178"/>
      <c r="E280" s="1175"/>
      <c r="F280" s="1176"/>
      <c r="G280" s="1174"/>
      <c r="H280" s="1161"/>
      <c r="I280" s="1177"/>
      <c r="J280" s="1187"/>
      <c r="K280" s="1258"/>
      <c r="L280" s="1272"/>
      <c r="M280" s="1204"/>
      <c r="N280" s="1199"/>
      <c r="O280" s="1199"/>
      <c r="P280" s="1201"/>
      <c r="Q280" s="1199"/>
      <c r="R280" s="1200"/>
      <c r="S280" s="1210"/>
    </row>
    <row r="281" spans="1:19">
      <c r="A281" s="1179"/>
      <c r="B281" s="1163"/>
      <c r="C281" s="1172"/>
      <c r="D281" s="1178"/>
      <c r="E281" s="1175"/>
      <c r="F281" s="1176"/>
      <c r="G281" s="1174"/>
      <c r="H281" s="1161"/>
      <c r="I281" s="1177"/>
      <c r="J281" s="1187"/>
      <c r="K281" s="1258"/>
      <c r="L281" s="1259"/>
      <c r="M281" s="1204"/>
      <c r="N281" s="1199"/>
      <c r="O281" s="1199"/>
      <c r="P281" s="1201"/>
      <c r="Q281" s="1199"/>
      <c r="R281" s="1200"/>
      <c r="S281" s="1210"/>
    </row>
    <row r="282" spans="1:19">
      <c r="A282" s="1179"/>
      <c r="B282" s="1163"/>
      <c r="C282" s="1172"/>
      <c r="D282" s="1178"/>
      <c r="E282" s="1175"/>
      <c r="F282" s="1176"/>
      <c r="G282" s="1174"/>
      <c r="H282" s="1161"/>
      <c r="I282" s="1177"/>
      <c r="J282" s="1187"/>
      <c r="K282" s="1258"/>
      <c r="L282" s="1259"/>
      <c r="M282" s="1260"/>
      <c r="N282" s="1199"/>
      <c r="O282" s="1199"/>
      <c r="P282" s="1201"/>
      <c r="Q282" s="1199"/>
      <c r="R282" s="1200"/>
      <c r="S282" s="1210"/>
    </row>
    <row r="283" spans="1:19">
      <c r="A283" s="1179"/>
      <c r="B283" s="1163"/>
      <c r="C283" s="1172"/>
      <c r="D283" s="1178"/>
      <c r="E283" s="1175"/>
      <c r="F283" s="1176"/>
      <c r="G283" s="1174"/>
      <c r="H283" s="1161"/>
      <c r="I283" s="1177"/>
      <c r="J283" s="1187"/>
      <c r="K283" s="1258"/>
      <c r="L283" s="1272"/>
      <c r="M283" s="1204"/>
      <c r="N283" s="1199"/>
      <c r="O283" s="1199"/>
      <c r="P283" s="1201"/>
      <c r="Q283" s="1199"/>
      <c r="R283" s="1200"/>
      <c r="S283" s="1210"/>
    </row>
    <row r="284" spans="1:19">
      <c r="A284" s="1179"/>
      <c r="B284" s="1163"/>
      <c r="C284" s="1172"/>
      <c r="D284" s="1178"/>
      <c r="E284" s="1175"/>
      <c r="F284" s="1176"/>
      <c r="G284" s="1174"/>
      <c r="H284" s="1161"/>
      <c r="I284" s="1177"/>
      <c r="J284" s="1187"/>
      <c r="K284" s="1258"/>
      <c r="L284" s="1272"/>
      <c r="M284" s="1204"/>
      <c r="N284" s="1199"/>
      <c r="O284" s="1199"/>
      <c r="P284" s="1201"/>
      <c r="Q284" s="1199"/>
      <c r="R284" s="1200"/>
      <c r="S284" s="1210"/>
    </row>
    <row r="285" spans="1:19">
      <c r="A285" s="1179"/>
      <c r="B285" s="1163"/>
      <c r="C285" s="1172"/>
      <c r="D285" s="1178"/>
      <c r="E285" s="1175"/>
      <c r="F285" s="1176"/>
      <c r="G285" s="1174"/>
      <c r="H285" s="1161"/>
      <c r="I285" s="1177"/>
      <c r="J285" s="1187"/>
      <c r="K285" s="1258"/>
      <c r="L285" s="1272"/>
      <c r="M285" s="1204"/>
      <c r="N285" s="1199"/>
      <c r="O285" s="1199"/>
      <c r="P285" s="1201"/>
      <c r="Q285" s="1199"/>
      <c r="R285" s="1200"/>
      <c r="S285" s="1210"/>
    </row>
    <row r="286" spans="1:19">
      <c r="A286" s="1179"/>
      <c r="B286" s="1163"/>
      <c r="C286" s="1172"/>
      <c r="D286" s="1178"/>
      <c r="E286" s="1175"/>
      <c r="F286" s="1176"/>
      <c r="G286" s="1174"/>
      <c r="H286" s="1161"/>
      <c r="I286" s="1177"/>
      <c r="J286" s="1187"/>
      <c r="K286" s="1258"/>
      <c r="L286" s="1272"/>
      <c r="M286" s="1204"/>
      <c r="N286" s="1199"/>
      <c r="O286" s="1199"/>
      <c r="P286" s="1201"/>
      <c r="Q286" s="1199"/>
      <c r="R286" s="1200"/>
      <c r="S286" s="1210"/>
    </row>
    <row r="287" spans="1:19">
      <c r="A287" s="1179"/>
      <c r="B287" s="1163"/>
      <c r="C287" s="1172"/>
      <c r="D287" s="1178"/>
      <c r="E287" s="1175"/>
      <c r="F287" s="1176"/>
      <c r="G287" s="1174"/>
      <c r="H287" s="1161"/>
      <c r="I287" s="1177"/>
      <c r="J287" s="1187"/>
      <c r="K287" s="1258"/>
      <c r="L287" s="1259"/>
      <c r="M287" s="1204"/>
      <c r="N287" s="1199"/>
      <c r="O287" s="1199"/>
      <c r="P287" s="1201"/>
      <c r="Q287" s="1199"/>
      <c r="R287" s="1200"/>
      <c r="S287" s="1210"/>
    </row>
    <row r="288" spans="1:19">
      <c r="A288" s="1179"/>
      <c r="B288" s="1163"/>
      <c r="C288" s="1172"/>
      <c r="D288" s="1178"/>
      <c r="E288" s="1175"/>
      <c r="F288" s="1176"/>
      <c r="G288" s="1174"/>
      <c r="H288" s="1161"/>
      <c r="I288" s="1177"/>
      <c r="J288" s="1187"/>
      <c r="K288" s="1258"/>
      <c r="L288" s="1259"/>
      <c r="M288" s="1260"/>
      <c r="N288" s="1199"/>
      <c r="O288" s="1199"/>
      <c r="P288" s="1201"/>
      <c r="Q288" s="1199"/>
      <c r="R288" s="1200"/>
      <c r="S288" s="1210"/>
    </row>
    <row r="289" spans="1:19">
      <c r="A289" s="1179"/>
      <c r="B289" s="1163"/>
      <c r="C289" s="1172"/>
      <c r="D289" s="1178"/>
      <c r="E289" s="1175"/>
      <c r="F289" s="1176"/>
      <c r="G289" s="1174"/>
      <c r="H289" s="1161"/>
      <c r="I289" s="1177"/>
      <c r="J289" s="1187"/>
      <c r="K289" s="1258"/>
      <c r="L289" s="1272"/>
      <c r="M289" s="1204"/>
      <c r="N289" s="1199"/>
      <c r="O289" s="1199"/>
      <c r="P289" s="1201"/>
      <c r="Q289" s="1199"/>
      <c r="R289" s="1256"/>
      <c r="S289" s="1210"/>
    </row>
    <row r="290" spans="1:19">
      <c r="A290" s="1179"/>
      <c r="B290" s="1163"/>
      <c r="C290" s="1172"/>
      <c r="D290" s="1178"/>
      <c r="E290" s="1175"/>
      <c r="F290" s="1176"/>
      <c r="G290" s="1174"/>
      <c r="H290" s="1161"/>
      <c r="I290" s="1177"/>
      <c r="J290" s="1187"/>
      <c r="K290" s="1258"/>
      <c r="L290" s="1272"/>
      <c r="M290" s="1204"/>
      <c r="N290" s="1199"/>
      <c r="P290" s="1199"/>
      <c r="Q290" s="1199"/>
      <c r="R290" s="1200"/>
      <c r="S290" s="1210"/>
    </row>
    <row r="291" spans="1:19">
      <c r="A291" s="1179"/>
      <c r="B291" s="1163"/>
      <c r="C291" s="1172"/>
      <c r="D291" s="1178"/>
      <c r="E291" s="1175"/>
      <c r="F291" s="1176"/>
      <c r="G291" s="1174"/>
      <c r="H291" s="1161"/>
      <c r="I291" s="1177"/>
      <c r="J291" s="1187"/>
      <c r="K291" s="1258"/>
      <c r="L291" s="1272"/>
      <c r="M291" s="1204"/>
      <c r="N291" s="1199"/>
      <c r="P291" s="1201"/>
      <c r="Q291" s="1199"/>
      <c r="R291" s="1200"/>
      <c r="S291" s="1210"/>
    </row>
    <row r="292" spans="1:19">
      <c r="A292" s="1179"/>
      <c r="B292" s="1163"/>
      <c r="C292" s="1172"/>
      <c r="D292" s="1178"/>
      <c r="E292" s="1175"/>
      <c r="F292" s="1176"/>
      <c r="G292" s="1174"/>
      <c r="H292" s="1161"/>
      <c r="I292" s="1177"/>
      <c r="J292" s="1187"/>
      <c r="K292" s="1258"/>
      <c r="L292" s="1272"/>
      <c r="M292" s="1204"/>
      <c r="N292" s="1199"/>
      <c r="O292" s="1199"/>
      <c r="P292" s="1201"/>
      <c r="Q292" s="1199"/>
      <c r="R292" s="1256"/>
      <c r="S292" s="1210"/>
    </row>
    <row r="293" spans="1:19">
      <c r="A293" s="1179"/>
      <c r="B293" s="1163"/>
      <c r="C293" s="1172"/>
      <c r="D293" s="1178"/>
      <c r="E293" s="1175"/>
      <c r="F293" s="1176"/>
      <c r="G293" s="1174"/>
      <c r="H293" s="1161"/>
      <c r="I293" s="1177"/>
      <c r="J293" s="1187"/>
      <c r="K293" s="1258"/>
      <c r="L293" s="1272"/>
      <c r="M293" s="1204"/>
      <c r="N293" s="1199"/>
      <c r="P293" s="1199"/>
      <c r="Q293" s="1199"/>
      <c r="R293" s="1200"/>
      <c r="S293" s="1210"/>
    </row>
    <row r="294" spans="1:19">
      <c r="A294" s="1179"/>
      <c r="B294" s="1163"/>
      <c r="C294" s="1172"/>
      <c r="D294" s="1178"/>
      <c r="E294" s="1175"/>
      <c r="F294" s="1176"/>
      <c r="G294" s="1174"/>
      <c r="H294" s="1161"/>
      <c r="I294" s="1177"/>
      <c r="J294" s="1187"/>
      <c r="K294" s="1258"/>
      <c r="L294" s="1272"/>
      <c r="M294" s="1204"/>
      <c r="N294" s="1199"/>
      <c r="P294" s="1201"/>
      <c r="Q294" s="1199"/>
      <c r="R294" s="1200"/>
      <c r="S294" s="1210"/>
    </row>
    <row r="295" spans="1:19">
      <c r="A295" s="1179"/>
      <c r="B295" s="1163"/>
      <c r="C295" s="1172"/>
      <c r="D295" s="1178"/>
      <c r="E295" s="1175"/>
      <c r="F295" s="1176"/>
      <c r="G295" s="1174"/>
      <c r="H295" s="1161"/>
      <c r="I295" s="1177"/>
      <c r="J295" s="1187"/>
      <c r="K295" s="1258"/>
      <c r="L295" s="1272"/>
      <c r="M295" s="1204"/>
      <c r="N295" s="1199"/>
      <c r="O295" s="1199"/>
      <c r="P295" s="1201"/>
      <c r="Q295" s="1199"/>
      <c r="R295" s="1200"/>
      <c r="S295" s="1210"/>
    </row>
    <row r="296" spans="1:19">
      <c r="A296" s="1179"/>
      <c r="B296" s="1163"/>
      <c r="C296" s="1172"/>
      <c r="D296" s="1178"/>
      <c r="E296" s="1175"/>
      <c r="F296" s="1176"/>
      <c r="G296" s="1174"/>
      <c r="H296" s="1161"/>
      <c r="I296" s="1177"/>
      <c r="J296" s="1187"/>
      <c r="K296" s="1317"/>
      <c r="L296" s="1257"/>
      <c r="M296" s="1261"/>
      <c r="N296" s="1199"/>
      <c r="O296" s="1199"/>
      <c r="P296" s="1201"/>
      <c r="Q296" s="1199"/>
      <c r="R296" s="1200"/>
      <c r="S296" s="1210"/>
    </row>
    <row r="297" spans="1:19">
      <c r="A297" s="1179"/>
      <c r="B297" s="1163"/>
      <c r="C297" s="1172"/>
      <c r="D297" s="1178"/>
      <c r="E297" s="1175"/>
      <c r="F297" s="1176"/>
      <c r="G297" s="1174"/>
      <c r="H297" s="1161"/>
      <c r="I297" s="1177"/>
      <c r="J297" s="1187"/>
      <c r="K297" s="1258"/>
      <c r="L297" s="1272"/>
      <c r="M297" s="1204"/>
      <c r="N297" s="1199"/>
      <c r="O297" s="1199"/>
      <c r="P297" s="1199"/>
      <c r="Q297" s="1199"/>
      <c r="R297" s="1200"/>
      <c r="S297" s="1210"/>
    </row>
    <row r="298" spans="1:19">
      <c r="A298" s="1179"/>
      <c r="B298" s="1163"/>
      <c r="C298" s="1172"/>
      <c r="D298" s="1178"/>
      <c r="E298" s="1175"/>
      <c r="F298" s="1176"/>
      <c r="G298" s="1174"/>
      <c r="H298" s="1161"/>
      <c r="I298" s="1177"/>
      <c r="J298" s="1187"/>
      <c r="K298" s="1258"/>
      <c r="L298" s="1272"/>
      <c r="M298" s="1204"/>
      <c r="N298" s="1199"/>
      <c r="O298" s="1199"/>
      <c r="P298" s="1199"/>
      <c r="Q298" s="1199"/>
      <c r="R298" s="1200"/>
      <c r="S298" s="1210"/>
    </row>
    <row r="299" spans="1:19">
      <c r="A299" s="1179"/>
      <c r="B299" s="1163"/>
      <c r="C299" s="1172"/>
      <c r="D299" s="1178"/>
      <c r="E299" s="1175"/>
      <c r="F299" s="1176"/>
      <c r="G299" s="1174"/>
      <c r="H299" s="1161"/>
      <c r="I299" s="1177"/>
      <c r="J299" s="1187"/>
      <c r="K299" s="1258"/>
      <c r="L299" s="1272"/>
      <c r="M299" s="1204"/>
      <c r="N299" s="1199"/>
      <c r="O299" s="1199"/>
      <c r="P299" s="1201"/>
      <c r="Q299" s="1199"/>
      <c r="R299" s="1200"/>
      <c r="S299" s="1210"/>
    </row>
    <row r="300" spans="1:19">
      <c r="A300" s="1179"/>
      <c r="B300" s="1163"/>
      <c r="C300" s="1172"/>
      <c r="D300" s="1178"/>
      <c r="E300" s="1175"/>
      <c r="F300" s="1176"/>
      <c r="G300" s="1174"/>
      <c r="H300" s="1161"/>
      <c r="I300" s="1177"/>
      <c r="J300" s="1187"/>
      <c r="K300" s="1317"/>
      <c r="L300" s="1257"/>
      <c r="M300" s="1261"/>
      <c r="N300" s="1199"/>
      <c r="O300" s="1199"/>
      <c r="P300" s="1201"/>
      <c r="Q300" s="1199"/>
      <c r="R300" s="1200"/>
      <c r="S300" s="1210"/>
    </row>
    <row r="301" spans="1:19">
      <c r="A301" s="1179"/>
      <c r="B301" s="1163"/>
      <c r="C301" s="1172"/>
      <c r="D301" s="1178"/>
      <c r="E301" s="1175"/>
      <c r="F301" s="1176"/>
      <c r="G301" s="1174"/>
      <c r="H301" s="1161"/>
      <c r="I301" s="1177"/>
      <c r="J301" s="1187"/>
      <c r="K301" s="1258"/>
      <c r="L301" s="1272"/>
      <c r="M301" s="1204"/>
      <c r="N301" s="1199"/>
      <c r="O301" s="1199"/>
      <c r="P301" s="1201"/>
      <c r="Q301" s="1199"/>
      <c r="R301" s="1200"/>
      <c r="S301" s="1210"/>
    </row>
    <row r="302" spans="1:19">
      <c r="A302" s="1179"/>
      <c r="B302" s="1163"/>
      <c r="C302" s="1172"/>
      <c r="D302" s="1178"/>
      <c r="E302" s="1175"/>
      <c r="F302" s="1176"/>
      <c r="G302" s="1174"/>
      <c r="H302" s="1161"/>
      <c r="I302" s="1177"/>
      <c r="J302" s="1187"/>
      <c r="K302" s="1317"/>
      <c r="L302" s="1257"/>
      <c r="M302" s="1261"/>
      <c r="N302" s="1199"/>
      <c r="O302" s="1199"/>
      <c r="P302" s="1201"/>
      <c r="Q302" s="1199"/>
      <c r="R302" s="1200"/>
      <c r="S302" s="1210"/>
    </row>
    <row r="303" spans="1:19">
      <c r="A303" s="1179"/>
      <c r="B303" s="1163"/>
      <c r="C303" s="1172"/>
      <c r="D303" s="1178"/>
      <c r="E303" s="1175"/>
      <c r="F303" s="1176"/>
      <c r="G303" s="1174"/>
      <c r="H303" s="1161"/>
      <c r="I303" s="1177"/>
      <c r="J303" s="1187"/>
      <c r="K303" s="1258"/>
      <c r="L303" s="1272"/>
      <c r="M303" s="1204"/>
      <c r="N303" s="1199"/>
      <c r="O303" s="1199"/>
      <c r="P303" s="1201"/>
      <c r="Q303" s="1199"/>
      <c r="R303" s="1200"/>
      <c r="S303" s="1210"/>
    </row>
    <row r="304" spans="1:19">
      <c r="A304" s="1179"/>
      <c r="B304" s="1163"/>
      <c r="C304" s="1172"/>
      <c r="D304" s="1178"/>
      <c r="E304" s="1175"/>
      <c r="F304" s="1176"/>
      <c r="G304" s="1174"/>
      <c r="H304" s="1161"/>
      <c r="I304" s="1177"/>
      <c r="J304" s="1187"/>
      <c r="K304" s="1258"/>
      <c r="L304" s="1272"/>
      <c r="M304" s="1204"/>
      <c r="N304" s="1199"/>
      <c r="O304" s="1199"/>
      <c r="P304" s="1201"/>
      <c r="Q304" s="1199"/>
      <c r="R304" s="1200"/>
      <c r="S304" s="1210"/>
    </row>
    <row r="305" spans="1:19">
      <c r="A305" s="1179"/>
      <c r="B305" s="1163"/>
      <c r="C305" s="1172"/>
      <c r="D305" s="1178"/>
      <c r="E305" s="1175"/>
      <c r="F305" s="1176"/>
      <c r="G305" s="1174"/>
      <c r="H305" s="1161"/>
      <c r="I305" s="1177"/>
      <c r="J305" s="1187"/>
      <c r="K305" s="1258"/>
      <c r="L305" s="1272"/>
      <c r="M305" s="1204"/>
      <c r="N305" s="1199"/>
      <c r="O305" s="1199"/>
      <c r="P305" s="1201"/>
      <c r="Q305" s="1199"/>
      <c r="R305" s="1200"/>
      <c r="S305" s="1210"/>
    </row>
    <row r="306" spans="1:19">
      <c r="A306" s="1179"/>
      <c r="B306" s="1163"/>
      <c r="C306" s="1172"/>
      <c r="D306" s="1178"/>
      <c r="E306" s="1175"/>
      <c r="F306" s="1176"/>
      <c r="G306" s="1174"/>
      <c r="H306" s="1161"/>
      <c r="I306" s="1177"/>
      <c r="J306" s="1187"/>
      <c r="K306" s="1317"/>
      <c r="L306" s="1257"/>
      <c r="M306" s="1261"/>
      <c r="N306" s="1199"/>
      <c r="O306" s="1199"/>
      <c r="P306" s="1201"/>
      <c r="Q306" s="1199"/>
      <c r="R306" s="1200"/>
      <c r="S306" s="1210"/>
    </row>
    <row r="307" spans="1:19">
      <c r="A307" s="1179"/>
      <c r="B307" s="1163"/>
      <c r="C307" s="1172"/>
      <c r="D307" s="1178"/>
      <c r="E307" s="1175"/>
      <c r="F307" s="1176"/>
      <c r="G307" s="1174"/>
      <c r="H307" s="1161"/>
      <c r="I307" s="1177"/>
      <c r="J307" s="1187"/>
      <c r="K307" s="1317"/>
      <c r="L307" s="1257"/>
      <c r="M307" s="1261"/>
      <c r="N307" s="1199"/>
      <c r="O307" s="1199"/>
      <c r="P307" s="1201"/>
      <c r="Q307" s="1199"/>
      <c r="R307" s="1200"/>
      <c r="S307" s="1210"/>
    </row>
    <row r="308" spans="1:19">
      <c r="A308" s="1179"/>
      <c r="B308" s="1163"/>
      <c r="C308" s="1172"/>
      <c r="D308" s="1178"/>
      <c r="E308" s="1175"/>
      <c r="F308" s="1176"/>
      <c r="G308" s="1174"/>
      <c r="H308" s="1161"/>
      <c r="I308" s="1177"/>
      <c r="J308" s="1187"/>
      <c r="K308" s="1318"/>
      <c r="L308" s="1232"/>
      <c r="M308" s="1233"/>
      <c r="N308" s="1199"/>
      <c r="P308" s="1199"/>
      <c r="Q308" s="1199"/>
      <c r="R308" s="1200"/>
      <c r="S308" s="1210"/>
    </row>
    <row r="309" spans="1:19">
      <c r="A309" s="1179"/>
      <c r="B309" s="1163"/>
      <c r="C309" s="1172"/>
      <c r="D309" s="1178"/>
      <c r="E309" s="1175"/>
      <c r="F309" s="1176"/>
      <c r="G309" s="1174"/>
      <c r="H309" s="1161"/>
      <c r="I309" s="1177"/>
      <c r="J309" s="1187"/>
      <c r="K309" s="1318"/>
      <c r="L309" s="1232"/>
      <c r="M309" s="1233"/>
      <c r="N309" s="1199"/>
      <c r="P309" s="1201"/>
      <c r="Q309" s="1199"/>
      <c r="R309" s="1200"/>
      <c r="S309" s="1210"/>
    </row>
    <row r="310" spans="1:19">
      <c r="A310" s="1179"/>
      <c r="B310" s="1163"/>
      <c r="C310" s="1172"/>
      <c r="D310" s="1178"/>
      <c r="E310" s="1175"/>
      <c r="F310" s="1176"/>
      <c r="G310" s="1174"/>
      <c r="H310" s="1161"/>
      <c r="I310" s="1177"/>
      <c r="J310" s="1187"/>
      <c r="K310" s="1318"/>
      <c r="L310" s="1232"/>
      <c r="M310" s="1233"/>
      <c r="N310" s="1199"/>
      <c r="O310" s="1199"/>
      <c r="P310" s="1201"/>
      <c r="Q310" s="1199"/>
      <c r="R310" s="1200"/>
      <c r="S310" s="1210"/>
    </row>
    <row r="311" spans="1:19">
      <c r="A311" s="1179"/>
      <c r="B311" s="1163"/>
      <c r="C311" s="1172"/>
      <c r="D311" s="1178"/>
      <c r="E311" s="1175"/>
      <c r="F311" s="1176"/>
      <c r="G311" s="1174"/>
      <c r="H311" s="1161"/>
      <c r="I311" s="1177"/>
      <c r="J311" s="1187"/>
      <c r="K311" s="1318"/>
      <c r="L311" s="1232"/>
      <c r="M311" s="1233"/>
      <c r="N311" s="1199"/>
      <c r="P311" s="1199"/>
      <c r="Q311" s="1199"/>
      <c r="R311" s="1200"/>
      <c r="S311" s="1210"/>
    </row>
    <row r="312" spans="1:19">
      <c r="A312" s="1179"/>
      <c r="B312" s="1163"/>
      <c r="C312" s="1172"/>
      <c r="D312" s="1178"/>
      <c r="E312" s="1175"/>
      <c r="F312" s="1176"/>
      <c r="G312" s="1174"/>
      <c r="H312" s="1161"/>
      <c r="I312" s="1177"/>
      <c r="J312" s="1187"/>
      <c r="K312" s="1318"/>
      <c r="L312" s="1232"/>
      <c r="M312" s="1233"/>
      <c r="N312" s="1199"/>
      <c r="P312" s="1201"/>
      <c r="Q312" s="1199"/>
      <c r="R312" s="1200"/>
      <c r="S312" s="1210"/>
    </row>
    <row r="313" spans="1:19">
      <c r="A313" s="1179"/>
      <c r="B313" s="1163"/>
      <c r="C313" s="1172"/>
      <c r="D313" s="1178"/>
      <c r="E313" s="1175"/>
      <c r="F313" s="1176"/>
      <c r="G313" s="1174"/>
      <c r="H313" s="1161"/>
      <c r="I313" s="1177"/>
      <c r="J313" s="1187"/>
      <c r="K313" s="1318"/>
      <c r="L313" s="1232"/>
      <c r="M313" s="1233"/>
      <c r="N313" s="1199"/>
      <c r="O313" s="1199"/>
      <c r="P313" s="1201"/>
      <c r="Q313" s="1199"/>
      <c r="R313" s="1200"/>
      <c r="S313" s="1210"/>
    </row>
    <row r="314" spans="1:19">
      <c r="A314" s="1179"/>
      <c r="B314" s="1163"/>
      <c r="C314" s="1172"/>
      <c r="D314" s="1178"/>
      <c r="E314" s="1175"/>
      <c r="F314" s="1176"/>
      <c r="G314" s="1174"/>
      <c r="H314" s="1161"/>
      <c r="I314" s="1177"/>
      <c r="J314" s="1187"/>
      <c r="K314" s="1317"/>
      <c r="L314" s="1257"/>
      <c r="M314" s="1261"/>
      <c r="N314" s="1199"/>
      <c r="O314" s="1199"/>
      <c r="P314" s="1201"/>
      <c r="Q314" s="1199"/>
      <c r="R314" s="1200"/>
      <c r="S314" s="1210"/>
    </row>
    <row r="315" spans="1:19">
      <c r="A315" s="1179"/>
      <c r="B315" s="1163"/>
      <c r="C315" s="1172"/>
      <c r="D315" s="1178"/>
      <c r="E315" s="1175"/>
      <c r="F315" s="1176"/>
      <c r="G315" s="1174"/>
      <c r="H315" s="1161"/>
      <c r="I315" s="1177"/>
      <c r="J315" s="1187"/>
      <c r="K315" s="1318"/>
      <c r="L315" s="1232"/>
      <c r="M315" s="1233"/>
      <c r="N315" s="1199"/>
      <c r="O315" s="1199"/>
      <c r="P315" s="1201"/>
      <c r="Q315" s="1199"/>
      <c r="R315" s="1200"/>
      <c r="S315" s="1210"/>
    </row>
    <row r="316" spans="1:19">
      <c r="A316" s="1179"/>
      <c r="B316" s="1163"/>
      <c r="C316" s="1172"/>
      <c r="D316" s="1178"/>
      <c r="E316" s="1175"/>
      <c r="F316" s="1176"/>
      <c r="G316" s="1174"/>
      <c r="H316" s="1161"/>
      <c r="I316" s="1177"/>
      <c r="J316" s="1187"/>
      <c r="K316" s="1318"/>
      <c r="L316" s="1232"/>
      <c r="M316" s="1233"/>
      <c r="N316" s="1199"/>
      <c r="O316" s="1199"/>
      <c r="P316" s="1201"/>
      <c r="Q316" s="1199"/>
      <c r="R316" s="1200"/>
      <c r="S316" s="1210"/>
    </row>
    <row r="317" spans="1:19">
      <c r="A317" s="1179"/>
      <c r="B317" s="1163"/>
      <c r="C317" s="1172"/>
      <c r="D317" s="1178"/>
      <c r="E317" s="1175"/>
      <c r="F317" s="1176"/>
      <c r="G317" s="1174"/>
      <c r="H317" s="1161"/>
      <c r="I317" s="1177"/>
      <c r="J317" s="1187"/>
      <c r="K317" s="1318"/>
      <c r="L317" s="1232"/>
      <c r="M317" s="1233"/>
      <c r="N317" s="1199"/>
      <c r="O317" s="1199"/>
      <c r="P317" s="1201"/>
      <c r="Q317" s="1199"/>
      <c r="R317" s="1200"/>
      <c r="S317" s="1210"/>
    </row>
    <row r="318" spans="1:19">
      <c r="A318" s="1179"/>
      <c r="B318" s="1163"/>
      <c r="C318" s="1172"/>
      <c r="D318" s="1178"/>
      <c r="E318" s="1175"/>
      <c r="F318" s="1176"/>
      <c r="G318" s="1174"/>
      <c r="H318" s="1161"/>
      <c r="I318" s="1177"/>
      <c r="J318" s="1187"/>
      <c r="K318" s="1318"/>
      <c r="L318" s="1232"/>
      <c r="M318" s="1233"/>
      <c r="N318" s="1199"/>
      <c r="O318" s="1199"/>
      <c r="P318" s="1201"/>
      <c r="Q318" s="1199"/>
      <c r="R318" s="1200"/>
      <c r="S318" s="1210"/>
    </row>
    <row r="319" spans="1:19">
      <c r="A319" s="1179"/>
      <c r="B319" s="1163"/>
      <c r="C319" s="1172"/>
      <c r="D319" s="1178"/>
      <c r="E319" s="1175"/>
      <c r="F319" s="1176"/>
      <c r="G319" s="1174"/>
      <c r="H319" s="1161"/>
      <c r="I319" s="1177"/>
      <c r="J319" s="1187"/>
      <c r="K319" s="1317"/>
      <c r="L319" s="1257"/>
      <c r="M319" s="1261"/>
      <c r="N319" s="1199"/>
      <c r="O319" s="1199"/>
      <c r="P319" s="1201"/>
      <c r="Q319" s="1199"/>
      <c r="R319" s="1200"/>
      <c r="S319" s="1210"/>
    </row>
    <row r="320" spans="1:19">
      <c r="A320" s="1179"/>
      <c r="B320" s="1163"/>
      <c r="C320" s="1172"/>
      <c r="D320" s="1178"/>
      <c r="E320" s="1175"/>
      <c r="F320" s="1176"/>
      <c r="G320" s="1174"/>
      <c r="H320" s="1161"/>
      <c r="I320" s="1177"/>
      <c r="J320" s="1187"/>
      <c r="K320" s="1318"/>
      <c r="L320" s="1232"/>
      <c r="M320" s="1233"/>
      <c r="N320" s="1199"/>
      <c r="O320" s="1199"/>
      <c r="P320" s="1201"/>
      <c r="Q320" s="1199"/>
      <c r="R320" s="1200"/>
      <c r="S320" s="1210"/>
    </row>
    <row r="321" spans="1:19">
      <c r="A321" s="1179"/>
      <c r="B321" s="1163"/>
      <c r="C321" s="1172"/>
      <c r="D321" s="1178"/>
      <c r="E321" s="1175"/>
      <c r="F321" s="1176"/>
      <c r="G321" s="1174"/>
      <c r="H321" s="1161"/>
      <c r="I321" s="1177"/>
      <c r="J321" s="1187"/>
      <c r="K321" s="1318"/>
      <c r="L321" s="1232"/>
      <c r="M321" s="1233"/>
      <c r="N321" s="1199"/>
      <c r="O321" s="1199"/>
      <c r="P321" s="1201"/>
      <c r="Q321" s="1199"/>
      <c r="R321" s="1200"/>
      <c r="S321" s="1210"/>
    </row>
    <row r="322" spans="1:19">
      <c r="A322" s="1179"/>
      <c r="B322" s="1163"/>
      <c r="C322" s="1172"/>
      <c r="D322" s="1178"/>
      <c r="E322" s="1175"/>
      <c r="F322" s="1176"/>
      <c r="G322" s="1174"/>
      <c r="H322" s="1161"/>
      <c r="I322" s="1177"/>
      <c r="J322" s="1187"/>
      <c r="K322" s="1317"/>
      <c r="L322" s="1257"/>
      <c r="M322" s="1261"/>
      <c r="N322" s="1199"/>
      <c r="O322" s="1199"/>
      <c r="P322" s="1201"/>
      <c r="Q322" s="1199"/>
      <c r="R322" s="1200"/>
      <c r="S322" s="1210"/>
    </row>
    <row r="323" spans="1:19">
      <c r="A323" s="1179"/>
      <c r="B323" s="1163"/>
      <c r="C323" s="1172"/>
      <c r="D323" s="1178"/>
      <c r="E323" s="1175"/>
      <c r="F323" s="1176"/>
      <c r="G323" s="1174"/>
      <c r="H323" s="1161"/>
      <c r="I323" s="1177"/>
      <c r="J323" s="1187"/>
      <c r="K323" s="1258"/>
      <c r="L323" s="1232"/>
      <c r="M323" s="1204"/>
      <c r="N323" s="1199"/>
      <c r="O323" s="1199"/>
      <c r="P323" s="1201"/>
      <c r="Q323" s="1199"/>
      <c r="R323" s="1200"/>
      <c r="S323" s="1210"/>
    </row>
    <row r="324" spans="1:19">
      <c r="A324" s="1179"/>
      <c r="B324" s="1163"/>
      <c r="C324" s="1172"/>
      <c r="D324" s="1178"/>
      <c r="E324" s="1175"/>
      <c r="F324" s="1176"/>
      <c r="G324" s="1174"/>
      <c r="H324" s="1161"/>
      <c r="I324" s="1177"/>
      <c r="J324" s="1187"/>
      <c r="K324" s="1258"/>
      <c r="L324" s="1232"/>
      <c r="M324" s="1204"/>
      <c r="N324" s="1199"/>
      <c r="O324" s="1199"/>
      <c r="P324" s="1201"/>
      <c r="Q324" s="1199"/>
      <c r="R324" s="1200"/>
      <c r="S324" s="1210"/>
    </row>
    <row r="325" spans="1:19">
      <c r="A325" s="1179"/>
      <c r="B325" s="1163"/>
      <c r="C325" s="1172"/>
      <c r="D325" s="1178"/>
      <c r="E325" s="1175"/>
      <c r="F325" s="1176"/>
      <c r="G325" s="1174"/>
      <c r="H325" s="1161"/>
      <c r="I325" s="1177"/>
      <c r="J325" s="1187"/>
      <c r="K325" s="1258"/>
      <c r="L325" s="1272"/>
      <c r="M325" s="1204"/>
      <c r="N325" s="1199"/>
      <c r="O325" s="1199"/>
      <c r="P325" s="1201"/>
      <c r="Q325" s="1199"/>
      <c r="R325" s="1200"/>
      <c r="S325" s="1210"/>
    </row>
    <row r="326" spans="1:19">
      <c r="A326" s="1179"/>
      <c r="B326" s="1163"/>
      <c r="C326" s="1172"/>
      <c r="D326" s="1178"/>
      <c r="E326" s="1175"/>
      <c r="F326" s="1176"/>
      <c r="G326" s="1174"/>
      <c r="H326" s="1161"/>
      <c r="I326" s="1177"/>
      <c r="J326" s="1187"/>
      <c r="K326" s="1258"/>
      <c r="L326" s="1259"/>
      <c r="M326" s="1260"/>
      <c r="N326" s="1199"/>
      <c r="O326" s="1199"/>
      <c r="P326" s="1201"/>
      <c r="Q326" s="1199"/>
      <c r="R326" s="1200"/>
      <c r="S326" s="1210"/>
    </row>
    <row r="327" spans="1:19">
      <c r="A327" s="1179"/>
      <c r="B327" s="1163"/>
      <c r="C327" s="1172"/>
      <c r="D327" s="1178"/>
      <c r="E327" s="1175"/>
      <c r="F327" s="1176"/>
      <c r="G327" s="1174"/>
      <c r="H327" s="1161"/>
      <c r="I327" s="1177"/>
      <c r="J327" s="1187"/>
      <c r="K327" s="1258"/>
      <c r="L327" s="1259"/>
      <c r="M327" s="1260"/>
      <c r="N327" s="1199"/>
      <c r="O327" s="1199"/>
      <c r="P327" s="1201"/>
      <c r="Q327" s="1199"/>
      <c r="R327" s="1200"/>
      <c r="S327" s="1210"/>
    </row>
    <row r="328" spans="1:19">
      <c r="A328" s="1179"/>
      <c r="B328" s="1163"/>
      <c r="C328" s="1172"/>
      <c r="D328" s="1178"/>
      <c r="E328" s="1175"/>
      <c r="F328" s="1176"/>
      <c r="G328" s="1174"/>
      <c r="H328" s="1161"/>
      <c r="I328" s="1177"/>
      <c r="J328" s="1187"/>
      <c r="K328" s="1258"/>
      <c r="L328" s="1259"/>
      <c r="M328" s="1260"/>
      <c r="N328" s="1199"/>
      <c r="O328" s="1199"/>
      <c r="P328" s="1201"/>
      <c r="Q328" s="1199"/>
      <c r="R328" s="1200"/>
      <c r="S328" s="1210"/>
    </row>
    <row r="329" spans="1:19">
      <c r="A329" s="1179"/>
      <c r="B329" s="1163"/>
      <c r="C329" s="1172"/>
      <c r="D329" s="1178"/>
      <c r="E329" s="1175"/>
      <c r="F329" s="1176"/>
      <c r="G329" s="1174"/>
      <c r="H329" s="1161"/>
      <c r="I329" s="1177"/>
      <c r="J329" s="1187"/>
      <c r="K329" s="1258"/>
      <c r="L329" s="1259"/>
      <c r="M329" s="1260"/>
      <c r="N329" s="1199"/>
      <c r="O329" s="1199"/>
      <c r="P329" s="1201"/>
      <c r="Q329" s="1199"/>
      <c r="R329" s="1200"/>
      <c r="S329" s="1210"/>
    </row>
    <row r="330" spans="1:19">
      <c r="A330" s="1179"/>
      <c r="B330" s="1163"/>
      <c r="C330" s="1172"/>
      <c r="D330" s="1178"/>
      <c r="E330" s="1175"/>
      <c r="F330" s="1176"/>
      <c r="G330" s="1174"/>
      <c r="H330" s="1161"/>
      <c r="I330" s="1177"/>
      <c r="J330" s="1187"/>
      <c r="K330" s="1258"/>
      <c r="L330" s="1202"/>
      <c r="M330" s="1274"/>
      <c r="N330" s="1275"/>
      <c r="O330" s="1275"/>
      <c r="P330" s="1276"/>
      <c r="Q330" s="1275"/>
      <c r="R330" s="1200"/>
      <c r="S330" s="1210"/>
    </row>
    <row r="331" spans="1:19">
      <c r="A331" s="1179"/>
      <c r="B331" s="1163"/>
      <c r="C331" s="1172"/>
      <c r="D331" s="1178"/>
      <c r="E331" s="1175"/>
      <c r="F331" s="1176"/>
      <c r="G331" s="1174"/>
      <c r="H331" s="1161"/>
      <c r="I331" s="1177"/>
      <c r="J331" s="1187"/>
      <c r="K331" s="1258"/>
      <c r="L331" s="1277"/>
      <c r="M331" s="1274"/>
      <c r="N331" s="1275"/>
      <c r="O331" s="1275"/>
      <c r="P331" s="1276"/>
      <c r="Q331" s="1275"/>
      <c r="R331" s="1275"/>
      <c r="S331" s="1210"/>
    </row>
    <row r="332" spans="1:19">
      <c r="A332" s="1179"/>
      <c r="B332" s="1163"/>
      <c r="C332" s="1172"/>
      <c r="D332" s="1178"/>
      <c r="E332" s="1175"/>
      <c r="F332" s="1176"/>
      <c r="G332" s="1174"/>
      <c r="H332" s="1161"/>
      <c r="I332" s="1177"/>
      <c r="J332" s="1187"/>
      <c r="K332" s="1258"/>
      <c r="L332" s="1277"/>
      <c r="M332" s="1274"/>
      <c r="N332" s="1275"/>
      <c r="O332" s="1278"/>
      <c r="P332" s="1276"/>
      <c r="Q332" s="1275"/>
      <c r="R332" s="1200"/>
      <c r="S332" s="1210"/>
    </row>
    <row r="333" spans="1:19">
      <c r="A333" s="1179"/>
      <c r="B333" s="1163"/>
      <c r="C333" s="1172"/>
      <c r="D333" s="1178"/>
      <c r="E333" s="1175"/>
      <c r="F333" s="1176"/>
      <c r="G333" s="1174"/>
      <c r="H333" s="1161"/>
      <c r="I333" s="1177"/>
      <c r="J333" s="1187"/>
      <c r="K333" s="1258"/>
      <c r="L333" s="1277"/>
      <c r="M333" s="1274"/>
      <c r="N333" s="1275"/>
      <c r="O333" s="1278"/>
      <c r="P333" s="1276"/>
      <c r="Q333" s="1275"/>
      <c r="R333" s="1200"/>
      <c r="S333" s="1210"/>
    </row>
    <row r="334" spans="1:19">
      <c r="A334" s="1179"/>
      <c r="B334" s="1163"/>
      <c r="C334" s="1172"/>
      <c r="D334" s="1178"/>
      <c r="E334" s="1175"/>
      <c r="F334" s="1176"/>
      <c r="G334" s="1174"/>
      <c r="H334" s="1161"/>
      <c r="I334" s="1177"/>
      <c r="J334" s="1187"/>
      <c r="K334" s="1258"/>
      <c r="L334" s="1259"/>
      <c r="M334" s="1260"/>
      <c r="N334" s="1199"/>
      <c r="O334" s="1199"/>
      <c r="P334" s="1201"/>
      <c r="Q334" s="1199"/>
      <c r="R334" s="1200"/>
      <c r="S334" s="1210"/>
    </row>
    <row r="335" spans="1:19">
      <c r="A335" s="1179"/>
      <c r="B335" s="1163"/>
      <c r="C335" s="1172"/>
      <c r="D335" s="1178"/>
      <c r="E335" s="1175"/>
      <c r="F335" s="1176"/>
      <c r="G335" s="1174"/>
      <c r="H335" s="1161"/>
      <c r="I335" s="1177"/>
      <c r="J335" s="1187"/>
      <c r="K335" s="1258"/>
      <c r="L335" s="1259"/>
      <c r="M335" s="1260"/>
      <c r="N335" s="1199"/>
      <c r="O335" s="1199"/>
      <c r="P335" s="1201"/>
      <c r="Q335" s="1199"/>
      <c r="R335" s="1200"/>
      <c r="S335" s="1210"/>
    </row>
    <row r="336" spans="1:19">
      <c r="A336" s="1179"/>
      <c r="B336" s="1163"/>
      <c r="C336" s="1172"/>
      <c r="D336" s="1178"/>
      <c r="E336" s="1175"/>
      <c r="F336" s="1176"/>
      <c r="G336" s="1174"/>
      <c r="H336" s="1161"/>
      <c r="I336" s="1177"/>
      <c r="J336" s="1187"/>
      <c r="K336" s="1258"/>
      <c r="L336" s="1202"/>
      <c r="M336" s="1260"/>
      <c r="N336" s="1199"/>
      <c r="O336" s="1199"/>
      <c r="P336" s="1201"/>
      <c r="Q336" s="1199"/>
      <c r="R336" s="1200"/>
      <c r="S336" s="1210"/>
    </row>
    <row r="337" spans="1:19">
      <c r="A337" s="1179"/>
      <c r="B337" s="1163"/>
      <c r="C337" s="1172"/>
      <c r="D337" s="1178"/>
      <c r="E337" s="1175"/>
      <c r="F337" s="1176"/>
      <c r="G337" s="1174"/>
      <c r="H337" s="1161"/>
      <c r="I337" s="1177"/>
      <c r="J337" s="1187"/>
      <c r="K337" s="1258"/>
      <c r="L337" s="1259"/>
      <c r="M337" s="1260"/>
      <c r="N337" s="1199"/>
      <c r="O337" s="1199"/>
      <c r="P337" s="1201"/>
      <c r="Q337" s="1199"/>
      <c r="R337" s="1200"/>
      <c r="S337" s="1210"/>
    </row>
    <row r="338" spans="1:19">
      <c r="A338" s="1179"/>
      <c r="B338" s="1163"/>
      <c r="C338" s="1172"/>
      <c r="D338" s="1178"/>
      <c r="E338" s="1175"/>
      <c r="F338" s="1176"/>
      <c r="G338" s="1174"/>
      <c r="H338" s="1161"/>
      <c r="I338" s="1177"/>
      <c r="J338" s="1187"/>
      <c r="K338" s="1258"/>
      <c r="L338" s="1279"/>
      <c r="M338" s="1273"/>
      <c r="N338" s="1273"/>
      <c r="O338" s="1273"/>
      <c r="P338" s="1273"/>
      <c r="Q338" s="1280"/>
      <c r="R338" s="1273"/>
      <c r="S338" s="1210"/>
    </row>
    <row r="339" spans="1:19">
      <c r="A339" s="1179"/>
      <c r="B339" s="1163"/>
      <c r="C339" s="1172"/>
      <c r="D339" s="1178"/>
      <c r="E339" s="1175"/>
      <c r="F339" s="1176"/>
      <c r="G339" s="1174"/>
      <c r="H339" s="1161"/>
      <c r="I339" s="1177"/>
      <c r="J339" s="1187"/>
      <c r="K339" s="1258"/>
      <c r="L339" s="1259"/>
      <c r="M339" s="1260"/>
      <c r="N339" s="1199"/>
      <c r="O339" s="1199"/>
      <c r="P339" s="1201"/>
      <c r="Q339" s="1199"/>
      <c r="R339" s="1200"/>
      <c r="S339" s="1210"/>
    </row>
    <row r="340" spans="1:19">
      <c r="A340" s="1179"/>
      <c r="B340" s="1163"/>
      <c r="C340" s="1172"/>
      <c r="D340" s="1178"/>
      <c r="E340" s="1175"/>
      <c r="F340" s="1176"/>
      <c r="G340" s="1174"/>
      <c r="H340" s="1161"/>
      <c r="I340" s="1177"/>
      <c r="J340" s="1187"/>
      <c r="K340" s="1258"/>
      <c r="L340" s="1279"/>
      <c r="M340" s="1273"/>
      <c r="N340" s="1273"/>
      <c r="O340" s="1273"/>
      <c r="P340" s="1273"/>
      <c r="Q340" s="1280"/>
      <c r="R340" s="1273"/>
      <c r="S340" s="1210"/>
    </row>
    <row r="341" spans="1:19">
      <c r="A341" s="1179"/>
      <c r="B341" s="1163"/>
      <c r="C341" s="1172"/>
      <c r="D341" s="1178"/>
      <c r="E341" s="1175"/>
      <c r="F341" s="1176"/>
      <c r="G341" s="1174"/>
      <c r="H341" s="1161"/>
      <c r="I341" s="1177"/>
      <c r="J341" s="1187"/>
      <c r="K341" s="1258"/>
      <c r="L341" s="1259"/>
      <c r="M341" s="1273"/>
      <c r="N341" s="1273"/>
      <c r="O341" s="1273"/>
      <c r="P341" s="1273"/>
      <c r="Q341" s="1280"/>
      <c r="R341" s="1273"/>
      <c r="S341" s="1210"/>
    </row>
    <row r="342" spans="1:19">
      <c r="A342" s="1179"/>
      <c r="B342" s="1163"/>
      <c r="C342" s="1172"/>
      <c r="D342" s="1178"/>
      <c r="E342" s="1175"/>
      <c r="F342" s="1176"/>
      <c r="G342" s="1174"/>
      <c r="H342" s="1161"/>
      <c r="I342" s="1177"/>
      <c r="J342" s="1187"/>
      <c r="K342" s="1258"/>
      <c r="L342" s="1279"/>
      <c r="M342" s="1273"/>
      <c r="N342" s="1273"/>
      <c r="O342" s="1273"/>
      <c r="P342" s="1273"/>
      <c r="Q342" s="1280"/>
      <c r="R342" s="1273"/>
      <c r="S342" s="1210"/>
    </row>
    <row r="343" spans="1:19">
      <c r="A343" s="1179"/>
      <c r="B343" s="1163"/>
      <c r="C343" s="1172"/>
      <c r="D343" s="1178"/>
      <c r="E343" s="1175"/>
      <c r="F343" s="1176"/>
      <c r="G343" s="1174"/>
      <c r="H343" s="1161"/>
      <c r="I343" s="1177"/>
      <c r="J343" s="1187"/>
      <c r="K343" s="1258"/>
      <c r="L343" s="1259"/>
      <c r="M343" s="1260"/>
      <c r="N343" s="1199"/>
      <c r="O343" s="1199"/>
      <c r="P343" s="1201"/>
      <c r="Q343" s="1199"/>
      <c r="R343" s="1200"/>
      <c r="S343" s="1210"/>
    </row>
    <row r="344" spans="1:19">
      <c r="A344" s="1179"/>
      <c r="B344" s="1163"/>
      <c r="C344" s="1172"/>
      <c r="D344" s="1178"/>
      <c r="E344" s="1175"/>
      <c r="F344" s="1176"/>
      <c r="G344" s="1174"/>
      <c r="H344" s="1161"/>
      <c r="I344" s="1177"/>
      <c r="J344" s="1187"/>
      <c r="K344" s="1258"/>
      <c r="L344" s="1259"/>
      <c r="M344" s="1260"/>
      <c r="N344" s="1199"/>
      <c r="O344" s="1199"/>
      <c r="P344" s="1201"/>
      <c r="Q344" s="1199"/>
      <c r="R344" s="1200"/>
      <c r="S344" s="1210"/>
    </row>
    <row r="345" spans="1:19">
      <c r="A345" s="1179"/>
      <c r="B345" s="1163"/>
      <c r="C345" s="1172"/>
      <c r="D345" s="1178"/>
      <c r="E345" s="1175"/>
      <c r="F345" s="1176"/>
      <c r="G345" s="1174"/>
      <c r="H345" s="1161"/>
      <c r="I345" s="1177"/>
      <c r="J345" s="1187"/>
      <c r="K345" s="1258"/>
      <c r="L345" s="1259"/>
      <c r="M345" s="1260"/>
      <c r="N345" s="1199"/>
      <c r="O345" s="1199"/>
      <c r="P345" s="1201"/>
      <c r="Q345" s="1199"/>
      <c r="R345" s="1200"/>
      <c r="S345" s="1210"/>
    </row>
    <row r="346" spans="1:19">
      <c r="A346" s="1179"/>
      <c r="B346" s="1163"/>
      <c r="C346" s="1172"/>
      <c r="D346" s="1178"/>
      <c r="E346" s="1175"/>
      <c r="F346" s="1176"/>
      <c r="G346" s="1174"/>
      <c r="H346" s="1161"/>
      <c r="I346" s="1177"/>
      <c r="J346" s="1187"/>
      <c r="K346" s="1258"/>
      <c r="L346" s="1259"/>
      <c r="M346" s="1260"/>
      <c r="N346" s="1199"/>
      <c r="O346" s="1199"/>
      <c r="P346" s="1201"/>
      <c r="Q346" s="1199"/>
      <c r="R346" s="1200"/>
      <c r="S346" s="1210"/>
    </row>
    <row r="347" spans="1:19">
      <c r="A347" s="1179"/>
      <c r="B347" s="1163"/>
      <c r="C347" s="1172"/>
      <c r="D347" s="1178"/>
      <c r="E347" s="1175"/>
      <c r="F347" s="1176"/>
      <c r="G347" s="1174"/>
      <c r="H347" s="1161"/>
      <c r="I347" s="1177"/>
      <c r="J347" s="1187"/>
      <c r="K347" s="1258"/>
      <c r="L347" s="1259"/>
      <c r="M347" s="1260"/>
      <c r="N347" s="1199"/>
      <c r="O347" s="1199"/>
      <c r="P347" s="1201"/>
      <c r="Q347" s="1199"/>
      <c r="R347" s="1200"/>
      <c r="S347" s="1210"/>
    </row>
    <row r="348" spans="1:19">
      <c r="A348" s="1179"/>
      <c r="B348" s="1163"/>
      <c r="C348" s="1172"/>
      <c r="D348" s="1178"/>
      <c r="E348" s="1175"/>
      <c r="F348" s="1176"/>
      <c r="G348" s="1174"/>
      <c r="H348" s="1161"/>
      <c r="I348" s="1177"/>
      <c r="J348" s="1187"/>
      <c r="K348" s="1258"/>
      <c r="L348" s="1202"/>
      <c r="M348" s="1260"/>
      <c r="N348" s="1199"/>
      <c r="O348" s="1199"/>
      <c r="P348" s="1201"/>
      <c r="Q348" s="1199"/>
      <c r="R348" s="1200"/>
      <c r="S348" s="1281"/>
    </row>
    <row r="349" spans="1:19">
      <c r="A349" s="1179"/>
      <c r="B349" s="1163"/>
      <c r="C349" s="1172"/>
      <c r="D349" s="1178"/>
      <c r="E349" s="1175"/>
      <c r="F349" s="1176"/>
      <c r="G349" s="1174"/>
      <c r="H349" s="1161"/>
      <c r="I349" s="1177"/>
      <c r="J349" s="1187"/>
      <c r="K349" s="1258"/>
      <c r="L349" s="1259"/>
      <c r="M349" s="1260"/>
      <c r="N349" s="1199"/>
      <c r="O349" s="1199"/>
      <c r="P349" s="1201"/>
      <c r="Q349" s="1199"/>
      <c r="R349" s="1200"/>
      <c r="S349" s="1281"/>
    </row>
    <row r="350" spans="1:19">
      <c r="A350" s="1179"/>
      <c r="B350" s="1163"/>
      <c r="C350" s="1172"/>
      <c r="D350" s="1178"/>
      <c r="E350" s="1175"/>
      <c r="F350" s="1176"/>
      <c r="G350" s="1174"/>
      <c r="H350" s="1161"/>
      <c r="I350" s="1177"/>
      <c r="J350" s="1187"/>
      <c r="K350" s="1258"/>
      <c r="L350" s="1279"/>
      <c r="M350" s="1273"/>
      <c r="N350" s="1273"/>
      <c r="O350" s="1273"/>
      <c r="P350" s="1273"/>
      <c r="Q350" s="1280"/>
      <c r="R350" s="1273"/>
      <c r="S350" s="1281"/>
    </row>
    <row r="351" spans="1:19">
      <c r="A351" s="1179"/>
      <c r="B351" s="1163"/>
      <c r="C351" s="1172"/>
      <c r="D351" s="1178"/>
      <c r="E351" s="1175"/>
      <c r="F351" s="1176"/>
      <c r="G351" s="1174"/>
      <c r="H351" s="1161"/>
      <c r="I351" s="1177"/>
      <c r="J351" s="1187"/>
      <c r="K351" s="1258"/>
      <c r="L351" s="1259"/>
      <c r="M351" s="1260"/>
      <c r="N351" s="1199"/>
      <c r="O351" s="1199"/>
      <c r="P351" s="1201"/>
      <c r="Q351" s="1199"/>
      <c r="R351" s="1200"/>
      <c r="S351" s="1281"/>
    </row>
    <row r="352" spans="1:19">
      <c r="A352" s="1179"/>
      <c r="B352" s="1163"/>
      <c r="C352" s="1172"/>
      <c r="D352" s="1178"/>
      <c r="E352" s="1175"/>
      <c r="F352" s="1176"/>
      <c r="G352" s="1174"/>
      <c r="H352" s="1161"/>
      <c r="I352" s="1177"/>
      <c r="J352" s="1187"/>
      <c r="K352" s="1258"/>
      <c r="L352" s="1279"/>
      <c r="M352" s="1273"/>
      <c r="N352" s="1273"/>
      <c r="O352" s="1273"/>
      <c r="P352" s="1273"/>
      <c r="Q352" s="1280"/>
      <c r="R352" s="1273"/>
      <c r="S352" s="1281"/>
    </row>
    <row r="353" spans="1:19">
      <c r="A353" s="1179"/>
      <c r="B353" s="1163"/>
      <c r="C353" s="1172"/>
      <c r="D353" s="1178"/>
      <c r="E353" s="1175"/>
      <c r="F353" s="1176"/>
      <c r="G353" s="1174"/>
      <c r="H353" s="1161"/>
      <c r="I353" s="1177"/>
      <c r="J353" s="1187"/>
      <c r="K353" s="1258"/>
      <c r="L353" s="1259"/>
      <c r="M353" s="1273"/>
      <c r="N353" s="1273"/>
      <c r="O353" s="1273"/>
      <c r="P353" s="1273"/>
      <c r="Q353" s="1280"/>
      <c r="R353" s="1273"/>
      <c r="S353" s="1281"/>
    </row>
    <row r="354" spans="1:19">
      <c r="A354" s="1179"/>
      <c r="B354" s="1163"/>
      <c r="C354" s="1172"/>
      <c r="D354" s="1178"/>
      <c r="E354" s="1175"/>
      <c r="F354" s="1176"/>
      <c r="G354" s="1174"/>
      <c r="H354" s="1161"/>
      <c r="I354" s="1177"/>
      <c r="J354" s="1187"/>
      <c r="K354" s="1258"/>
      <c r="L354" s="1279"/>
      <c r="M354" s="1273"/>
      <c r="N354" s="1273"/>
      <c r="O354" s="1273"/>
      <c r="P354" s="1273"/>
      <c r="Q354" s="1280"/>
      <c r="R354" s="1273"/>
      <c r="S354" s="1281"/>
    </row>
    <row r="355" spans="1:19">
      <c r="A355" s="1179"/>
      <c r="B355" s="1163"/>
      <c r="C355" s="1172"/>
      <c r="D355" s="1178"/>
      <c r="E355" s="1175"/>
      <c r="F355" s="1176"/>
      <c r="G355" s="1174"/>
      <c r="H355" s="1161"/>
      <c r="I355" s="1177"/>
      <c r="J355" s="1187"/>
      <c r="K355" s="1258"/>
      <c r="L355" s="1259"/>
      <c r="M355" s="1273"/>
      <c r="N355" s="1273"/>
      <c r="O355" s="1273"/>
      <c r="P355" s="1273"/>
      <c r="Q355" s="1280"/>
      <c r="R355" s="1273"/>
      <c r="S355" s="1281"/>
    </row>
    <row r="356" spans="1:19">
      <c r="A356" s="1179"/>
      <c r="B356" s="1163"/>
      <c r="C356" s="1172"/>
      <c r="D356" s="1178"/>
      <c r="E356" s="1175"/>
      <c r="F356" s="1176"/>
      <c r="G356" s="1174"/>
      <c r="H356" s="1161"/>
      <c r="I356" s="1177"/>
      <c r="J356" s="1187"/>
      <c r="K356" s="1258"/>
      <c r="L356" s="1279"/>
      <c r="M356" s="1273"/>
      <c r="N356" s="1273"/>
      <c r="O356" s="1273"/>
      <c r="P356" s="1273"/>
      <c r="Q356" s="1280"/>
      <c r="R356" s="1273"/>
      <c r="S356" s="1281"/>
    </row>
    <row r="357" spans="1:19">
      <c r="A357" s="1179"/>
      <c r="B357" s="1163"/>
      <c r="C357" s="1172"/>
      <c r="D357" s="1178"/>
      <c r="E357" s="1175"/>
      <c r="F357" s="1176"/>
      <c r="G357" s="1174"/>
      <c r="H357" s="1161"/>
      <c r="I357" s="1177"/>
      <c r="J357" s="1187"/>
      <c r="K357" s="1258"/>
      <c r="L357" s="1259"/>
      <c r="M357" s="1260"/>
      <c r="N357" s="1199"/>
      <c r="O357" s="1199"/>
      <c r="P357" s="1201"/>
      <c r="Q357" s="1199"/>
      <c r="R357" s="1200"/>
      <c r="S357" s="1210"/>
    </row>
    <row r="358" spans="1:19">
      <c r="A358" s="1179"/>
      <c r="B358" s="1163"/>
      <c r="C358" s="1172"/>
      <c r="D358" s="1178"/>
      <c r="E358" s="1175"/>
      <c r="F358" s="1176"/>
      <c r="G358" s="1174"/>
      <c r="H358" s="1161"/>
      <c r="I358" s="1177"/>
      <c r="J358" s="1187"/>
      <c r="K358" s="1271"/>
      <c r="L358" s="1259"/>
      <c r="M358" s="1192"/>
      <c r="N358" s="1199"/>
      <c r="O358" s="1199"/>
      <c r="P358" s="1201"/>
      <c r="Q358" s="1199"/>
      <c r="R358" s="1200"/>
      <c r="S358" s="1210"/>
    </row>
    <row r="359" spans="1:19">
      <c r="A359" s="1179"/>
      <c r="B359" s="1163"/>
      <c r="C359" s="1172"/>
      <c r="D359" s="1178"/>
      <c r="E359" s="1175"/>
      <c r="F359" s="1176"/>
      <c r="G359" s="1174"/>
      <c r="H359" s="1161"/>
      <c r="I359" s="1177"/>
      <c r="J359" s="1187"/>
      <c r="K359" s="1271"/>
      <c r="L359" s="1259"/>
      <c r="M359" s="1260"/>
      <c r="N359" s="1199"/>
      <c r="O359" s="1199"/>
      <c r="P359" s="1201"/>
      <c r="Q359" s="1199"/>
      <c r="R359" s="1200"/>
      <c r="S359" s="1210"/>
    </row>
    <row r="360" spans="1:19">
      <c r="A360" s="1179"/>
      <c r="B360" s="1163"/>
      <c r="C360" s="1172"/>
      <c r="D360" s="1178"/>
      <c r="E360" s="1175"/>
      <c r="F360" s="1176"/>
      <c r="G360" s="1174"/>
      <c r="H360" s="1161"/>
      <c r="I360" s="1177"/>
      <c r="J360" s="1187"/>
      <c r="K360" s="1271"/>
      <c r="L360" s="1259"/>
      <c r="M360" s="1260"/>
      <c r="N360" s="1199"/>
      <c r="O360" s="1199"/>
      <c r="P360" s="1201"/>
      <c r="Q360" s="1199"/>
      <c r="R360" s="1200"/>
      <c r="S360" s="1210"/>
    </row>
    <row r="361" spans="1:19">
      <c r="A361" s="1179"/>
      <c r="B361" s="1163"/>
      <c r="C361" s="1172"/>
      <c r="D361" s="1178"/>
      <c r="E361" s="1175"/>
      <c r="F361" s="1176"/>
      <c r="G361" s="1174"/>
      <c r="H361" s="1161"/>
      <c r="I361" s="1177"/>
      <c r="J361" s="1187"/>
      <c r="K361" s="1258"/>
      <c r="L361" s="1202"/>
      <c r="M361" s="1260"/>
      <c r="N361" s="1199"/>
      <c r="O361" s="1199"/>
      <c r="P361" s="1201"/>
      <c r="Q361" s="1199"/>
      <c r="R361" s="1200"/>
      <c r="S361" s="1281"/>
    </row>
    <row r="362" spans="1:19">
      <c r="A362" s="1179"/>
      <c r="B362" s="1163"/>
      <c r="C362" s="1172"/>
      <c r="D362" s="1178"/>
      <c r="E362" s="1175"/>
      <c r="F362" s="1176"/>
      <c r="G362" s="1174"/>
      <c r="H362" s="1161"/>
      <c r="I362" s="1177"/>
      <c r="J362" s="1187"/>
      <c r="K362" s="1258"/>
      <c r="L362" s="1202"/>
      <c r="M362" s="1260"/>
      <c r="N362" s="1199"/>
      <c r="O362" s="1199"/>
      <c r="P362" s="1201"/>
      <c r="Q362" s="1199"/>
      <c r="R362" s="1200"/>
      <c r="S362" s="1281"/>
    </row>
    <row r="363" spans="1:19">
      <c r="A363" s="1179"/>
      <c r="B363" s="1163"/>
      <c r="C363" s="1172"/>
      <c r="D363" s="1178"/>
      <c r="E363" s="1175"/>
      <c r="F363" s="1176"/>
      <c r="G363" s="1174"/>
      <c r="H363" s="1161"/>
      <c r="I363" s="1177"/>
      <c r="J363" s="1187"/>
      <c r="K363" s="1258"/>
      <c r="L363" s="1202"/>
      <c r="M363" s="1260"/>
      <c r="N363" s="1199"/>
      <c r="O363" s="1199"/>
      <c r="P363" s="1201"/>
      <c r="Q363" s="1199"/>
      <c r="R363" s="1200"/>
      <c r="S363" s="1281"/>
    </row>
    <row r="364" spans="1:19">
      <c r="A364" s="1179"/>
      <c r="B364" s="1163"/>
      <c r="C364" s="1172"/>
      <c r="D364" s="1178"/>
      <c r="E364" s="1175"/>
      <c r="F364" s="1176"/>
      <c r="G364" s="1174"/>
      <c r="H364" s="1161"/>
      <c r="I364" s="1177"/>
      <c r="J364" s="1187"/>
      <c r="K364" s="1258"/>
      <c r="L364" s="1202"/>
      <c r="M364" s="1260"/>
      <c r="N364" s="1199"/>
      <c r="O364" s="1199"/>
      <c r="P364" s="1201"/>
      <c r="Q364" s="1199"/>
      <c r="R364" s="1200"/>
      <c r="S364" s="1281"/>
    </row>
    <row r="365" spans="1:19">
      <c r="A365" s="1179"/>
      <c r="B365" s="1163"/>
      <c r="C365" s="1172"/>
      <c r="D365" s="1178"/>
      <c r="E365" s="1175"/>
      <c r="F365" s="1176"/>
      <c r="G365" s="1174"/>
      <c r="H365" s="1161"/>
      <c r="I365" s="1177"/>
      <c r="J365" s="1187"/>
      <c r="K365" s="1258"/>
      <c r="L365" s="1202"/>
      <c r="M365" s="1260"/>
      <c r="N365" s="1199"/>
      <c r="O365" s="1199"/>
      <c r="P365" s="1201"/>
      <c r="Q365" s="1199"/>
      <c r="R365" s="1200"/>
      <c r="S365" s="1281"/>
    </row>
    <row r="366" spans="1:19">
      <c r="A366" s="1179"/>
      <c r="B366" s="1163"/>
      <c r="C366" s="1172"/>
      <c r="D366" s="1178"/>
      <c r="E366" s="1175"/>
      <c r="F366" s="1176"/>
      <c r="G366" s="1174"/>
      <c r="H366" s="1161"/>
      <c r="I366" s="1177"/>
      <c r="J366" s="1187"/>
      <c r="K366" s="1258"/>
      <c r="L366" s="1202"/>
      <c r="M366" s="1260"/>
      <c r="N366" s="1199"/>
      <c r="O366" s="1199"/>
      <c r="P366" s="1201"/>
      <c r="Q366" s="1199"/>
      <c r="R366" s="1200"/>
      <c r="S366" s="1281"/>
    </row>
    <row r="367" spans="1:19">
      <c r="A367" s="1179"/>
      <c r="B367" s="1163"/>
      <c r="C367" s="1172"/>
      <c r="D367" s="1178"/>
      <c r="E367" s="1175"/>
      <c r="F367" s="1176"/>
      <c r="G367" s="1174"/>
      <c r="H367" s="1161"/>
      <c r="I367" s="1177"/>
      <c r="J367" s="1187"/>
      <c r="K367" s="1258"/>
      <c r="L367" s="1202"/>
      <c r="M367" s="1260"/>
      <c r="N367" s="1199"/>
      <c r="O367" s="1199"/>
      <c r="P367" s="1201"/>
      <c r="Q367" s="1199"/>
      <c r="R367" s="1200"/>
      <c r="S367" s="1281"/>
    </row>
    <row r="368" spans="1:19">
      <c r="A368" s="1179"/>
      <c r="B368" s="1163"/>
      <c r="C368" s="1172"/>
      <c r="D368" s="1178"/>
      <c r="E368" s="1175"/>
      <c r="F368" s="1176"/>
      <c r="G368" s="1174"/>
      <c r="H368" s="1161"/>
      <c r="I368" s="1177"/>
      <c r="J368" s="1187"/>
      <c r="K368" s="1258"/>
      <c r="L368" s="1202"/>
      <c r="M368" s="1260"/>
      <c r="N368" s="1199"/>
      <c r="O368" s="1199"/>
      <c r="P368" s="1201"/>
      <c r="Q368" s="1199"/>
      <c r="R368" s="1200"/>
      <c r="S368" s="1281"/>
    </row>
    <row r="369" spans="1:19">
      <c r="A369" s="1179"/>
      <c r="B369" s="1163"/>
      <c r="C369" s="1172"/>
      <c r="D369" s="1178"/>
      <c r="E369" s="1175"/>
      <c r="F369" s="1176"/>
      <c r="G369" s="1174"/>
      <c r="H369" s="1161"/>
      <c r="I369" s="1177"/>
      <c r="J369" s="1187"/>
      <c r="K369" s="1258"/>
      <c r="L369" s="1202"/>
      <c r="M369" s="1260"/>
      <c r="N369" s="1199"/>
      <c r="O369" s="1199"/>
      <c r="P369" s="1201"/>
      <c r="Q369" s="1199"/>
      <c r="R369" s="1200"/>
      <c r="S369" s="1281"/>
    </row>
    <row r="370" spans="1:19">
      <c r="A370" s="1179"/>
      <c r="B370" s="1163"/>
      <c r="C370" s="1172"/>
      <c r="D370" s="1178"/>
      <c r="E370" s="1175"/>
      <c r="F370" s="1176"/>
      <c r="G370" s="1174"/>
      <c r="H370" s="1161"/>
      <c r="I370" s="1177"/>
      <c r="J370" s="1187"/>
      <c r="K370" s="1258"/>
      <c r="L370" s="1202"/>
      <c r="M370" s="1260"/>
      <c r="N370" s="1199"/>
      <c r="O370" s="1199"/>
      <c r="P370" s="1201"/>
      <c r="Q370" s="1199"/>
      <c r="R370" s="1200"/>
      <c r="S370" s="1281"/>
    </row>
    <row r="371" spans="1:19">
      <c r="A371" s="1179"/>
      <c r="B371" s="1163"/>
      <c r="C371" s="1172"/>
      <c r="D371" s="1178"/>
      <c r="E371" s="1175"/>
      <c r="F371" s="1176"/>
      <c r="G371" s="1174"/>
      <c r="H371" s="1161"/>
      <c r="I371" s="1177"/>
      <c r="J371" s="1187"/>
      <c r="K371" s="1258"/>
      <c r="L371" s="1202"/>
      <c r="M371" s="1260"/>
      <c r="N371" s="1199"/>
      <c r="O371" s="1199"/>
      <c r="P371" s="1201"/>
      <c r="Q371" s="1199"/>
      <c r="R371" s="1200"/>
      <c r="S371" s="1281"/>
    </row>
    <row r="372" spans="1:19">
      <c r="A372" s="1179"/>
      <c r="B372" s="1163"/>
      <c r="C372" s="1172"/>
      <c r="D372" s="1178"/>
      <c r="E372" s="1175"/>
      <c r="F372" s="1176"/>
      <c r="G372" s="1174"/>
      <c r="H372" s="1161"/>
      <c r="I372" s="1177"/>
      <c r="J372" s="1187"/>
      <c r="K372" s="1258"/>
      <c r="L372" s="1202"/>
      <c r="M372" s="1260"/>
      <c r="N372" s="1199"/>
      <c r="O372" s="1199"/>
      <c r="P372" s="1201"/>
      <c r="Q372" s="1199"/>
      <c r="R372" s="1200"/>
      <c r="S372" s="1281"/>
    </row>
    <row r="373" spans="1:19">
      <c r="A373" s="1179"/>
      <c r="B373" s="1163"/>
      <c r="C373" s="1172"/>
      <c r="D373" s="1178"/>
      <c r="E373" s="1175"/>
      <c r="F373" s="1176"/>
      <c r="G373" s="1174"/>
      <c r="H373" s="1161"/>
      <c r="I373" s="1177"/>
      <c r="J373" s="1187"/>
      <c r="K373" s="1258"/>
      <c r="L373" s="1202"/>
      <c r="M373" s="1260"/>
      <c r="N373" s="1199"/>
      <c r="O373" s="1199"/>
      <c r="P373" s="1201"/>
      <c r="Q373" s="1199"/>
      <c r="R373" s="1200"/>
      <c r="S373" s="1281"/>
    </row>
    <row r="374" spans="1:19">
      <c r="A374" s="1179"/>
      <c r="B374" s="1163"/>
      <c r="C374" s="1172"/>
      <c r="D374" s="1178"/>
      <c r="E374" s="1175"/>
      <c r="F374" s="1176"/>
      <c r="G374" s="1174"/>
      <c r="H374" s="1161"/>
      <c r="I374" s="1177"/>
      <c r="J374" s="1187"/>
      <c r="K374" s="1258"/>
      <c r="L374" s="1202"/>
      <c r="M374" s="1260"/>
      <c r="N374" s="1199"/>
      <c r="O374" s="1199"/>
      <c r="P374" s="1201"/>
      <c r="Q374" s="1199"/>
      <c r="R374" s="1200"/>
      <c r="S374" s="1281"/>
    </row>
    <row r="375" spans="1:19">
      <c r="A375" s="1179"/>
      <c r="B375" s="1163"/>
      <c r="C375" s="1172"/>
      <c r="D375" s="1178"/>
      <c r="E375" s="1175"/>
      <c r="F375" s="1176"/>
      <c r="G375" s="1174"/>
      <c r="H375" s="1161"/>
      <c r="I375" s="1177"/>
      <c r="J375" s="1187"/>
      <c r="K375" s="1258"/>
      <c r="L375" s="1202"/>
      <c r="M375" s="1260"/>
      <c r="N375" s="1199"/>
      <c r="O375" s="1199"/>
      <c r="P375" s="1201"/>
      <c r="Q375" s="1199"/>
      <c r="R375" s="1200"/>
      <c r="S375" s="1281"/>
    </row>
    <row r="376" spans="1:19">
      <c r="A376" s="1179"/>
      <c r="B376" s="1163"/>
      <c r="C376" s="1172"/>
      <c r="D376" s="1178"/>
      <c r="E376" s="1175"/>
      <c r="F376" s="1176"/>
      <c r="G376" s="1174"/>
      <c r="H376" s="1161"/>
      <c r="I376" s="1177"/>
      <c r="J376" s="1187"/>
      <c r="K376" s="1258"/>
      <c r="L376" s="1202"/>
      <c r="M376" s="1260"/>
      <c r="N376" s="1199"/>
      <c r="O376" s="1199"/>
      <c r="P376" s="1201"/>
      <c r="Q376" s="1199"/>
      <c r="R376" s="1200"/>
      <c r="S376" s="1281"/>
    </row>
    <row r="377" spans="1:19">
      <c r="A377" s="1179"/>
      <c r="B377" s="1163"/>
      <c r="C377" s="1172"/>
      <c r="D377" s="1178"/>
      <c r="E377" s="1175"/>
      <c r="F377" s="1176"/>
      <c r="G377" s="1174"/>
      <c r="H377" s="1161"/>
      <c r="I377" s="1177"/>
      <c r="J377" s="1187"/>
      <c r="K377" s="1258"/>
      <c r="L377" s="1202"/>
      <c r="M377" s="1260"/>
      <c r="N377" s="1199"/>
      <c r="O377" s="1199"/>
      <c r="P377" s="1201"/>
      <c r="Q377" s="1199"/>
      <c r="R377" s="1200"/>
      <c r="S377" s="1281"/>
    </row>
    <row r="378" spans="1:19">
      <c r="A378" s="1179"/>
      <c r="B378" s="1163"/>
      <c r="C378" s="1172"/>
      <c r="D378" s="1178"/>
      <c r="E378" s="1175"/>
      <c r="F378" s="1176"/>
      <c r="G378" s="1174"/>
      <c r="H378" s="1161"/>
      <c r="I378" s="1177"/>
      <c r="J378" s="1187"/>
      <c r="K378" s="1258"/>
      <c r="L378" s="1202"/>
      <c r="M378" s="1260"/>
      <c r="N378" s="1199"/>
      <c r="O378" s="1199"/>
      <c r="P378" s="1201"/>
      <c r="Q378" s="1199"/>
      <c r="R378" s="1200"/>
      <c r="S378" s="1281"/>
    </row>
    <row r="379" spans="1:19">
      <c r="A379" s="1179"/>
      <c r="B379" s="1163"/>
      <c r="C379" s="1172"/>
      <c r="D379" s="1178"/>
      <c r="E379" s="1175"/>
      <c r="F379" s="1176"/>
      <c r="G379" s="1174"/>
      <c r="H379" s="1161"/>
      <c r="I379" s="1177"/>
      <c r="J379" s="1187"/>
      <c r="K379" s="1258"/>
      <c r="L379" s="1202"/>
      <c r="M379" s="1260"/>
      <c r="N379" s="1199"/>
      <c r="O379" s="1199"/>
      <c r="P379" s="1201"/>
      <c r="Q379" s="1199"/>
      <c r="R379" s="1200"/>
      <c r="S379" s="1281"/>
    </row>
    <row r="380" spans="1:19">
      <c r="A380" s="1179"/>
      <c r="B380" s="1163"/>
      <c r="C380" s="1172"/>
      <c r="D380" s="1178"/>
      <c r="E380" s="1175"/>
      <c r="F380" s="1176"/>
      <c r="G380" s="1174"/>
      <c r="H380" s="1161"/>
      <c r="I380" s="1177"/>
      <c r="J380" s="1187"/>
      <c r="K380" s="1258"/>
      <c r="L380" s="1202"/>
      <c r="M380" s="1260"/>
      <c r="N380" s="1199"/>
      <c r="O380" s="1199"/>
      <c r="P380" s="1201"/>
      <c r="Q380" s="1199"/>
      <c r="R380" s="1200"/>
      <c r="S380" s="1281"/>
    </row>
    <row r="381" spans="1:19">
      <c r="A381" s="1179"/>
      <c r="B381" s="1163"/>
      <c r="C381" s="1172"/>
      <c r="D381" s="1178"/>
      <c r="E381" s="1175"/>
      <c r="F381" s="1176"/>
      <c r="G381" s="1174"/>
      <c r="H381" s="1161"/>
      <c r="I381" s="1177"/>
      <c r="J381" s="1187"/>
      <c r="K381" s="1258"/>
      <c r="L381" s="1202"/>
      <c r="M381" s="1260"/>
      <c r="N381" s="1199"/>
      <c r="O381" s="1199"/>
      <c r="P381" s="1201"/>
      <c r="Q381" s="1199"/>
      <c r="R381" s="1200"/>
      <c r="S381" s="1281"/>
    </row>
    <row r="382" spans="1:19">
      <c r="A382" s="1179"/>
      <c r="B382" s="1163"/>
      <c r="C382" s="1172"/>
      <c r="D382" s="1178"/>
      <c r="E382" s="1175"/>
      <c r="F382" s="1176"/>
      <c r="G382" s="1174"/>
      <c r="H382" s="1161"/>
      <c r="I382" s="1177"/>
      <c r="J382" s="1187"/>
      <c r="K382" s="1258"/>
      <c r="L382" s="1202"/>
      <c r="M382" s="1260"/>
      <c r="N382" s="1199"/>
      <c r="O382" s="1199"/>
      <c r="P382" s="1201"/>
      <c r="Q382" s="1199"/>
      <c r="R382" s="1200"/>
      <c r="S382" s="1281"/>
    </row>
    <row r="383" spans="1:19">
      <c r="A383" s="1179"/>
      <c r="B383" s="1163"/>
      <c r="C383" s="1172"/>
      <c r="D383" s="1178"/>
      <c r="E383" s="1175"/>
      <c r="F383" s="1176"/>
      <c r="G383" s="1174"/>
      <c r="H383" s="1161"/>
      <c r="I383" s="1177"/>
      <c r="J383" s="1187"/>
      <c r="K383" s="1258"/>
      <c r="L383" s="1202"/>
      <c r="M383" s="1260"/>
      <c r="N383" s="1199"/>
      <c r="O383" s="1199"/>
      <c r="P383" s="1201"/>
      <c r="Q383" s="1199"/>
      <c r="R383" s="1200"/>
      <c r="S383" s="1281"/>
    </row>
    <row r="384" spans="1:19">
      <c r="A384" s="1179"/>
      <c r="B384" s="1163"/>
      <c r="C384" s="1172"/>
      <c r="D384" s="1178"/>
      <c r="E384" s="1175"/>
      <c r="F384" s="1176"/>
      <c r="G384" s="1174"/>
      <c r="H384" s="1161"/>
      <c r="I384" s="1177"/>
      <c r="J384" s="1187"/>
      <c r="K384" s="1271"/>
      <c r="L384" s="1259"/>
      <c r="M384" s="1260"/>
      <c r="N384" s="1199"/>
      <c r="O384" s="1199"/>
      <c r="P384" s="1201"/>
      <c r="Q384" s="1199"/>
      <c r="R384" s="1200"/>
      <c r="S384" s="1210"/>
    </row>
    <row r="385" spans="1:19">
      <c r="A385" s="1179"/>
      <c r="B385" s="1163"/>
      <c r="C385" s="1172"/>
      <c r="D385" s="1178"/>
      <c r="E385" s="1175"/>
      <c r="F385" s="1176"/>
      <c r="G385" s="1174"/>
      <c r="H385" s="1161"/>
      <c r="I385" s="1177"/>
      <c r="J385" s="1187"/>
      <c r="K385" s="1271"/>
      <c r="L385" s="1259"/>
      <c r="M385" s="1260"/>
      <c r="N385" s="1199"/>
      <c r="O385" s="1199"/>
      <c r="P385" s="1201"/>
      <c r="Q385" s="1199"/>
      <c r="R385" s="1200"/>
      <c r="S385" s="1210"/>
    </row>
    <row r="386" spans="1:19">
      <c r="A386" s="1179"/>
      <c r="B386" s="1163"/>
      <c r="C386" s="1172"/>
      <c r="D386" s="1178"/>
      <c r="E386" s="1175"/>
      <c r="F386" s="1176"/>
      <c r="G386" s="1174"/>
      <c r="H386" s="1161"/>
      <c r="I386" s="1177"/>
      <c r="J386" s="1187"/>
      <c r="K386" s="1271"/>
      <c r="L386" s="1289"/>
      <c r="M386" s="1236"/>
      <c r="N386" s="1236"/>
      <c r="O386" s="1236"/>
      <c r="P386" s="1236"/>
      <c r="Q386" s="1290"/>
      <c r="R386" s="1236"/>
      <c r="S386" s="1210"/>
    </row>
    <row r="387" spans="1:19">
      <c r="A387" s="1179"/>
      <c r="B387" s="1163"/>
      <c r="C387" s="1172"/>
      <c r="D387" s="1178"/>
      <c r="E387" s="1175"/>
      <c r="F387" s="1176"/>
      <c r="G387" s="1174"/>
      <c r="H387" s="1161"/>
      <c r="I387" s="1177"/>
      <c r="J387" s="1187"/>
      <c r="K387" s="1271"/>
      <c r="L387" s="1165"/>
      <c r="M387" s="1236"/>
      <c r="N387" s="1199"/>
      <c r="O387" s="1199"/>
      <c r="P387" s="1201"/>
      <c r="Q387" s="1199"/>
      <c r="R387" s="1200"/>
      <c r="S387" s="1210"/>
    </row>
    <row r="388" spans="1:19">
      <c r="A388" s="1179"/>
      <c r="B388" s="1163"/>
      <c r="C388" s="1172"/>
      <c r="D388" s="1178"/>
      <c r="E388" s="1175"/>
      <c r="F388" s="1176"/>
      <c r="G388" s="1174"/>
      <c r="H388" s="1161"/>
      <c r="I388" s="1177"/>
      <c r="J388" s="1187"/>
      <c r="K388" s="1271"/>
      <c r="L388" s="1165"/>
      <c r="M388" s="1236"/>
      <c r="N388" s="1199"/>
      <c r="O388" s="1199"/>
      <c r="P388" s="1201"/>
      <c r="Q388" s="1199"/>
      <c r="R388" s="1200"/>
      <c r="S388" s="1210"/>
    </row>
    <row r="389" spans="1:19">
      <c r="A389" s="1179"/>
      <c r="B389" s="1163"/>
      <c r="C389" s="1172"/>
      <c r="D389" s="1178"/>
      <c r="E389" s="1175"/>
      <c r="F389" s="1176"/>
      <c r="G389" s="1174"/>
      <c r="H389" s="1161"/>
      <c r="I389" s="1177"/>
      <c r="J389" s="1187"/>
      <c r="K389" s="1271"/>
      <c r="L389" s="1165"/>
      <c r="M389" s="1236"/>
      <c r="N389" s="1199"/>
      <c r="O389" s="1199"/>
      <c r="P389" s="1201"/>
      <c r="Q389" s="1199"/>
      <c r="R389" s="1200"/>
      <c r="S389" s="1210"/>
    </row>
    <row r="390" spans="1:19">
      <c r="A390" s="1179"/>
      <c r="B390" s="1163"/>
      <c r="C390" s="1172"/>
      <c r="D390" s="1178"/>
      <c r="E390" s="1175"/>
      <c r="F390" s="1176"/>
      <c r="G390" s="1174"/>
      <c r="H390" s="1161"/>
      <c r="I390" s="1177"/>
      <c r="J390" s="1187"/>
      <c r="K390" s="1271"/>
      <c r="L390" s="1289"/>
      <c r="M390" s="1236"/>
      <c r="N390" s="1199"/>
      <c r="O390" s="1199"/>
      <c r="P390" s="1201"/>
      <c r="Q390" s="1199"/>
      <c r="R390" s="1200"/>
      <c r="S390" s="1210"/>
    </row>
    <row r="391" spans="1:19">
      <c r="A391" s="1179"/>
      <c r="B391" s="1163"/>
      <c r="C391" s="1172"/>
      <c r="D391" s="1178"/>
      <c r="E391" s="1175"/>
      <c r="F391" s="1176"/>
      <c r="G391" s="1174"/>
      <c r="H391" s="1161"/>
      <c r="I391" s="1177"/>
      <c r="J391" s="1187"/>
      <c r="K391" s="1271"/>
      <c r="L391" s="1165"/>
      <c r="M391" s="1236"/>
      <c r="N391" s="1199"/>
      <c r="O391" s="1199"/>
      <c r="P391" s="1201"/>
      <c r="Q391" s="1199"/>
      <c r="R391" s="1200"/>
      <c r="S391" s="1210"/>
    </row>
    <row r="392" spans="1:19">
      <c r="A392" s="1179"/>
      <c r="B392" s="1163"/>
      <c r="C392" s="1172"/>
      <c r="D392" s="1178"/>
      <c r="E392" s="1175"/>
      <c r="F392" s="1176"/>
      <c r="G392" s="1174"/>
      <c r="H392" s="1161"/>
      <c r="I392" s="1177"/>
      <c r="J392" s="1187"/>
      <c r="K392" s="1271"/>
      <c r="L392" s="1165"/>
      <c r="M392" s="1236"/>
      <c r="N392" s="1199"/>
      <c r="O392" s="1199"/>
      <c r="P392" s="1201"/>
      <c r="Q392" s="1199"/>
      <c r="R392" s="1200"/>
      <c r="S392" s="1210"/>
    </row>
    <row r="393" spans="1:19">
      <c r="A393" s="1179"/>
      <c r="B393" s="1163"/>
      <c r="C393" s="1172"/>
      <c r="D393" s="1178"/>
      <c r="E393" s="1175"/>
      <c r="F393" s="1176"/>
      <c r="G393" s="1174"/>
      <c r="H393" s="1161"/>
      <c r="I393" s="1177"/>
      <c r="J393" s="1187"/>
      <c r="K393" s="1271"/>
      <c r="L393" s="1289"/>
      <c r="M393" s="1236"/>
      <c r="N393" s="1199"/>
      <c r="O393" s="1199"/>
      <c r="P393" s="1201"/>
      <c r="Q393" s="1199"/>
      <c r="R393" s="1200"/>
      <c r="S393" s="1210"/>
    </row>
    <row r="394" spans="1:19">
      <c r="A394" s="1179"/>
      <c r="B394" s="1163"/>
      <c r="C394" s="1172"/>
      <c r="D394" s="1178"/>
      <c r="E394" s="1175"/>
      <c r="F394" s="1176"/>
      <c r="G394" s="1174"/>
      <c r="H394" s="1161"/>
      <c r="I394" s="1177"/>
      <c r="J394" s="1187"/>
      <c r="K394" s="1271"/>
      <c r="L394" s="1165"/>
      <c r="M394" s="1236"/>
      <c r="N394" s="1199"/>
      <c r="O394" s="1199"/>
      <c r="P394" s="1201"/>
      <c r="Q394" s="1199"/>
      <c r="R394" s="1200"/>
      <c r="S394" s="1210"/>
    </row>
    <row r="395" spans="1:19">
      <c r="A395" s="1179"/>
      <c r="B395" s="1163"/>
      <c r="C395" s="1172"/>
      <c r="D395" s="1178"/>
      <c r="E395" s="1175"/>
      <c r="F395" s="1176"/>
      <c r="G395" s="1174"/>
      <c r="H395" s="1161"/>
      <c r="I395" s="1177"/>
      <c r="J395" s="1187"/>
      <c r="K395" s="1271"/>
      <c r="L395" s="1165"/>
      <c r="M395" s="1236"/>
      <c r="N395" s="1199"/>
      <c r="O395" s="1199"/>
      <c r="P395" s="1201"/>
      <c r="Q395" s="1199"/>
      <c r="R395" s="1200"/>
      <c r="S395" s="1210"/>
    </row>
    <row r="396" spans="1:19">
      <c r="A396" s="1179"/>
      <c r="B396" s="1163"/>
      <c r="C396" s="1172"/>
      <c r="D396" s="1178"/>
      <c r="E396" s="1175"/>
      <c r="F396" s="1176"/>
      <c r="G396" s="1174"/>
      <c r="H396" s="1161"/>
      <c r="I396" s="1177"/>
      <c r="J396" s="1187"/>
      <c r="K396" s="1271"/>
      <c r="L396" s="1165"/>
      <c r="M396" s="1236"/>
      <c r="N396" s="1199"/>
      <c r="O396" s="1199"/>
      <c r="P396" s="1201"/>
      <c r="Q396" s="1199"/>
      <c r="R396" s="1200"/>
      <c r="S396" s="1210"/>
    </row>
    <row r="397" spans="1:19">
      <c r="A397" s="1179"/>
      <c r="B397" s="1163"/>
      <c r="C397" s="1172"/>
      <c r="D397" s="1178"/>
      <c r="E397" s="1175"/>
      <c r="F397" s="1176"/>
      <c r="G397" s="1174"/>
      <c r="H397" s="1161"/>
      <c r="I397" s="1177"/>
      <c r="J397" s="1187"/>
      <c r="K397" s="1271"/>
      <c r="L397" s="1259"/>
      <c r="M397" s="1260"/>
      <c r="N397" s="1199"/>
      <c r="O397" s="1199"/>
      <c r="P397" s="1201"/>
      <c r="Q397" s="1199"/>
      <c r="R397" s="1200"/>
      <c r="S397" s="1210"/>
    </row>
    <row r="398" spans="1:19">
      <c r="A398" s="1179"/>
      <c r="B398" s="1163"/>
      <c r="C398" s="1172"/>
      <c r="D398" s="1178"/>
      <c r="E398" s="1175"/>
      <c r="F398" s="1176"/>
      <c r="G398" s="1174"/>
      <c r="H398" s="1161"/>
      <c r="I398" s="1177"/>
      <c r="J398" s="1187"/>
      <c r="K398" s="1271"/>
      <c r="L398" s="1259"/>
      <c r="M398" s="1260"/>
      <c r="N398" s="1199"/>
      <c r="O398" s="1199"/>
      <c r="P398" s="1201"/>
      <c r="Q398" s="1199"/>
      <c r="R398" s="1200"/>
      <c r="S398" s="1210"/>
    </row>
    <row r="399" spans="1:19">
      <c r="A399" s="1179"/>
      <c r="B399" s="1163"/>
      <c r="C399" s="1172"/>
      <c r="D399" s="1178"/>
      <c r="E399" s="1175"/>
      <c r="F399" s="1176"/>
      <c r="G399" s="1174"/>
      <c r="H399" s="1161"/>
      <c r="I399" s="1177"/>
      <c r="J399" s="1187"/>
      <c r="K399" s="1258"/>
      <c r="L399" s="1202"/>
      <c r="M399" s="1260"/>
      <c r="N399" s="1199"/>
      <c r="O399" s="1199"/>
      <c r="P399" s="1201"/>
      <c r="Q399" s="1199"/>
      <c r="R399" s="1200"/>
      <c r="S399" s="1281"/>
    </row>
    <row r="400" spans="1:19">
      <c r="A400" s="1179"/>
      <c r="B400" s="1163"/>
      <c r="C400" s="1172"/>
      <c r="D400" s="1178"/>
      <c r="E400" s="1175"/>
      <c r="F400" s="1176"/>
      <c r="G400" s="1174"/>
      <c r="H400" s="1161"/>
      <c r="I400" s="1177"/>
      <c r="J400" s="1187"/>
      <c r="K400" s="1258"/>
      <c r="L400" s="1202"/>
      <c r="M400" s="1260"/>
      <c r="N400" s="1199"/>
      <c r="O400" s="1199"/>
      <c r="P400" s="1201"/>
      <c r="Q400" s="1199"/>
      <c r="R400" s="1200"/>
      <c r="S400" s="1281"/>
    </row>
    <row r="401" spans="1:19">
      <c r="A401" s="1179"/>
      <c r="B401" s="1163"/>
      <c r="C401" s="1172"/>
      <c r="D401" s="1178"/>
      <c r="E401" s="1175"/>
      <c r="F401" s="1176"/>
      <c r="G401" s="1174"/>
      <c r="H401" s="1161"/>
      <c r="I401" s="1177"/>
      <c r="J401" s="1187"/>
      <c r="K401" s="1258"/>
      <c r="L401" s="1202"/>
      <c r="M401" s="1260"/>
      <c r="N401" s="1199"/>
      <c r="O401" s="1199"/>
      <c r="P401" s="1201"/>
      <c r="Q401" s="1199"/>
      <c r="R401" s="1200"/>
      <c r="S401" s="1281"/>
    </row>
    <row r="402" spans="1:19">
      <c r="A402" s="1179"/>
      <c r="B402" s="1163"/>
      <c r="C402" s="1172"/>
      <c r="D402" s="1178"/>
      <c r="E402" s="1175"/>
      <c r="F402" s="1176"/>
      <c r="G402" s="1174"/>
      <c r="H402" s="1161"/>
      <c r="I402" s="1177"/>
      <c r="J402" s="1187"/>
      <c r="K402" s="1258"/>
      <c r="L402" s="1202"/>
      <c r="M402" s="1260"/>
      <c r="N402" s="1199"/>
      <c r="O402" s="1199"/>
      <c r="P402" s="1201"/>
      <c r="Q402" s="1199"/>
      <c r="R402" s="1200"/>
      <c r="S402" s="1281"/>
    </row>
    <row r="403" spans="1:19">
      <c r="A403" s="1179"/>
      <c r="B403" s="1163"/>
      <c r="C403" s="1172"/>
      <c r="D403" s="1178"/>
      <c r="E403" s="1175"/>
      <c r="F403" s="1176"/>
      <c r="G403" s="1174"/>
      <c r="H403" s="1161"/>
      <c r="I403" s="1177"/>
      <c r="J403" s="1187"/>
      <c r="K403" s="1258"/>
      <c r="L403" s="1202"/>
      <c r="M403" s="1260"/>
      <c r="N403" s="1199"/>
      <c r="O403" s="1199"/>
      <c r="P403" s="1201"/>
      <c r="Q403" s="1199"/>
      <c r="R403" s="1200"/>
      <c r="S403" s="1281"/>
    </row>
    <row r="404" spans="1:19">
      <c r="A404" s="1179"/>
      <c r="B404" s="1163"/>
      <c r="C404" s="1172"/>
      <c r="D404" s="1178"/>
      <c r="E404" s="1175"/>
      <c r="F404" s="1176"/>
      <c r="G404" s="1174"/>
      <c r="H404" s="1161"/>
      <c r="I404" s="1177"/>
      <c r="J404" s="1187"/>
      <c r="K404" s="1258"/>
      <c r="L404" s="1202"/>
      <c r="M404" s="1260"/>
      <c r="N404" s="1199"/>
      <c r="O404" s="1199"/>
      <c r="P404" s="1201"/>
      <c r="Q404" s="1199"/>
      <c r="R404" s="1200"/>
      <c r="S404" s="1281"/>
    </row>
    <row r="405" spans="1:19">
      <c r="A405" s="1179"/>
      <c r="B405" s="1163"/>
      <c r="C405" s="1172"/>
      <c r="D405" s="1178"/>
      <c r="E405" s="1175"/>
      <c r="F405" s="1176"/>
      <c r="G405" s="1174"/>
      <c r="H405" s="1161"/>
      <c r="I405" s="1177"/>
      <c r="J405" s="1187"/>
      <c r="K405" s="1258"/>
      <c r="L405" s="1202"/>
      <c r="M405" s="1260"/>
      <c r="N405" s="1199"/>
      <c r="O405" s="1199"/>
      <c r="P405" s="1201"/>
      <c r="Q405" s="1199"/>
      <c r="R405" s="1200"/>
      <c r="S405" s="1281"/>
    </row>
    <row r="406" spans="1:19">
      <c r="A406" s="1179"/>
      <c r="B406" s="1163"/>
      <c r="C406" s="1172"/>
      <c r="D406" s="1178"/>
      <c r="E406" s="1175"/>
      <c r="F406" s="1176"/>
      <c r="G406" s="1174"/>
      <c r="H406" s="1161"/>
      <c r="I406" s="1177"/>
      <c r="J406" s="1187"/>
      <c r="K406" s="1258"/>
      <c r="L406" s="1202"/>
      <c r="M406" s="1260"/>
      <c r="N406" s="1199"/>
      <c r="O406" s="1199"/>
      <c r="P406" s="1201"/>
      <c r="Q406" s="1199"/>
      <c r="R406" s="1200"/>
      <c r="S406" s="1281"/>
    </row>
    <row r="407" spans="1:19">
      <c r="A407" s="1179"/>
      <c r="B407" s="1163"/>
      <c r="C407" s="1172"/>
      <c r="D407" s="1178"/>
      <c r="E407" s="1175"/>
      <c r="F407" s="1176"/>
      <c r="G407" s="1174"/>
      <c r="H407" s="1161"/>
      <c r="I407" s="1177"/>
      <c r="J407" s="1187"/>
      <c r="K407" s="1258"/>
      <c r="L407" s="1202"/>
      <c r="M407" s="1260"/>
      <c r="N407" s="1199"/>
      <c r="O407" s="1199"/>
      <c r="P407" s="1201"/>
      <c r="Q407" s="1199"/>
      <c r="R407" s="1200"/>
      <c r="S407" s="1281"/>
    </row>
    <row r="408" spans="1:19">
      <c r="A408" s="1179"/>
      <c r="B408" s="1163"/>
      <c r="C408" s="1172"/>
      <c r="D408" s="1178"/>
      <c r="E408" s="1175"/>
      <c r="F408" s="1176"/>
      <c r="G408" s="1174"/>
      <c r="H408" s="1161"/>
      <c r="I408" s="1177"/>
      <c r="J408" s="1187"/>
      <c r="K408" s="1258"/>
      <c r="L408" s="1202"/>
      <c r="M408" s="1260"/>
      <c r="N408" s="1199"/>
      <c r="O408" s="1199"/>
      <c r="P408" s="1201"/>
      <c r="Q408" s="1199"/>
      <c r="R408" s="1200"/>
      <c r="S408" s="1281"/>
    </row>
    <row r="409" spans="1:19">
      <c r="A409" s="1179"/>
      <c r="B409" s="1163"/>
      <c r="C409" s="1172"/>
      <c r="D409" s="1178"/>
      <c r="E409" s="1175"/>
      <c r="F409" s="1176"/>
      <c r="G409" s="1174"/>
      <c r="H409" s="1161"/>
      <c r="I409" s="1177"/>
      <c r="J409" s="1187"/>
      <c r="K409" s="1258"/>
      <c r="L409" s="1202"/>
      <c r="M409" s="1260"/>
      <c r="N409" s="1199"/>
      <c r="O409" s="1199"/>
      <c r="P409" s="1201"/>
      <c r="Q409" s="1199"/>
      <c r="R409" s="1200"/>
      <c r="S409" s="1281"/>
    </row>
    <row r="410" spans="1:19">
      <c r="A410" s="1179"/>
      <c r="B410" s="1163"/>
      <c r="C410" s="1172"/>
      <c r="D410" s="1178"/>
      <c r="E410" s="1175"/>
      <c r="F410" s="1176"/>
      <c r="G410" s="1174"/>
      <c r="H410" s="1161"/>
      <c r="I410" s="1177"/>
      <c r="J410" s="1187"/>
      <c r="K410" s="1258"/>
      <c r="L410" s="1202"/>
      <c r="M410" s="1260"/>
      <c r="N410" s="1199"/>
      <c r="O410" s="1199"/>
      <c r="P410" s="1201"/>
      <c r="Q410" s="1199"/>
      <c r="R410" s="1200"/>
      <c r="S410" s="1281"/>
    </row>
    <row r="411" spans="1:19">
      <c r="A411" s="1179"/>
      <c r="B411" s="1163"/>
      <c r="C411" s="1172"/>
      <c r="D411" s="1178"/>
      <c r="E411" s="1175"/>
      <c r="F411" s="1176"/>
      <c r="G411" s="1174"/>
      <c r="H411" s="1161"/>
      <c r="I411" s="1177"/>
      <c r="J411" s="1187"/>
      <c r="K411" s="1258"/>
      <c r="L411" s="1202"/>
      <c r="M411" s="1260"/>
      <c r="N411" s="1199"/>
      <c r="O411" s="1199"/>
      <c r="P411" s="1201"/>
      <c r="Q411" s="1199"/>
      <c r="R411" s="1200"/>
      <c r="S411" s="1281"/>
    </row>
    <row r="412" spans="1:19">
      <c r="A412" s="1179"/>
      <c r="B412" s="1163"/>
      <c r="C412" s="1172"/>
      <c r="D412" s="1178"/>
      <c r="E412" s="1175"/>
      <c r="F412" s="1176"/>
      <c r="G412" s="1174"/>
      <c r="H412" s="1161"/>
      <c r="I412" s="1177"/>
      <c r="J412" s="1187"/>
      <c r="K412" s="1258"/>
      <c r="L412" s="1202"/>
      <c r="M412" s="1260"/>
      <c r="N412" s="1199"/>
      <c r="O412" s="1199"/>
      <c r="P412" s="1201"/>
      <c r="Q412" s="1199"/>
      <c r="R412" s="1200"/>
      <c r="S412" s="1281"/>
    </row>
    <row r="413" spans="1:19">
      <c r="A413" s="1179"/>
      <c r="B413" s="1163"/>
      <c r="C413" s="1172"/>
      <c r="D413" s="1178"/>
      <c r="E413" s="1175"/>
      <c r="F413" s="1176"/>
      <c r="G413" s="1174"/>
      <c r="H413" s="1161"/>
      <c r="I413" s="1177"/>
      <c r="J413" s="1187"/>
      <c r="K413" s="1258"/>
      <c r="L413" s="1202"/>
      <c r="M413" s="1260"/>
      <c r="N413" s="1199"/>
      <c r="O413" s="1199"/>
      <c r="P413" s="1201"/>
      <c r="Q413" s="1199"/>
      <c r="R413" s="1200"/>
      <c r="S413" s="1281"/>
    </row>
    <row r="414" spans="1:19">
      <c r="A414" s="1179"/>
      <c r="B414" s="1163"/>
      <c r="C414" s="1172"/>
      <c r="D414" s="1178"/>
      <c r="E414" s="1175"/>
      <c r="F414" s="1176"/>
      <c r="G414" s="1174"/>
      <c r="H414" s="1161"/>
      <c r="I414" s="1177"/>
      <c r="J414" s="1187"/>
      <c r="K414" s="1258"/>
      <c r="L414" s="1202"/>
      <c r="M414" s="1260"/>
      <c r="N414" s="1199"/>
      <c r="O414" s="1199"/>
      <c r="P414" s="1201"/>
      <c r="Q414" s="1199"/>
      <c r="R414" s="1200"/>
      <c r="S414" s="1281"/>
    </row>
    <row r="415" spans="1:19">
      <c r="A415" s="1179"/>
      <c r="B415" s="1163"/>
      <c r="C415" s="1172"/>
      <c r="D415" s="1178"/>
      <c r="E415" s="1175"/>
      <c r="F415" s="1176"/>
      <c r="G415" s="1174"/>
      <c r="H415" s="1161"/>
      <c r="I415" s="1177"/>
      <c r="J415" s="1187"/>
      <c r="K415" s="1258"/>
      <c r="L415" s="1202"/>
      <c r="M415" s="1260"/>
      <c r="N415" s="1199"/>
      <c r="O415" s="1199"/>
      <c r="P415" s="1201"/>
      <c r="Q415" s="1199"/>
      <c r="R415" s="1200"/>
      <c r="S415" s="1281"/>
    </row>
    <row r="416" spans="1:19">
      <c r="A416" s="1179"/>
      <c r="B416" s="1163"/>
      <c r="C416" s="1172"/>
      <c r="D416" s="1178"/>
      <c r="E416" s="1175"/>
      <c r="F416" s="1176"/>
      <c r="G416" s="1174"/>
      <c r="H416" s="1161"/>
      <c r="I416" s="1177"/>
      <c r="J416" s="1187"/>
      <c r="K416" s="1258"/>
      <c r="L416" s="1202"/>
      <c r="M416" s="1260"/>
      <c r="N416" s="1199"/>
      <c r="O416" s="1199"/>
      <c r="P416" s="1201"/>
      <c r="Q416" s="1199"/>
      <c r="R416" s="1200"/>
      <c r="S416" s="1281"/>
    </row>
    <row r="417" spans="1:19">
      <c r="A417" s="1179"/>
      <c r="B417" s="1163"/>
      <c r="C417" s="1172"/>
      <c r="D417" s="1178"/>
      <c r="E417" s="1175"/>
      <c r="F417" s="1176"/>
      <c r="G417" s="1174"/>
      <c r="H417" s="1161"/>
      <c r="I417" s="1177"/>
      <c r="J417" s="1187"/>
      <c r="K417" s="1258"/>
      <c r="L417" s="1202"/>
      <c r="M417" s="1260"/>
      <c r="N417" s="1199"/>
      <c r="O417" s="1199"/>
      <c r="P417" s="1201"/>
      <c r="Q417" s="1199"/>
      <c r="R417" s="1200"/>
      <c r="S417" s="1281"/>
    </row>
    <row r="418" spans="1:19">
      <c r="A418" s="1179"/>
      <c r="B418" s="1163"/>
      <c r="C418" s="1172"/>
      <c r="D418" s="1178"/>
      <c r="E418" s="1175"/>
      <c r="F418" s="1176"/>
      <c r="G418" s="1174"/>
      <c r="H418" s="1161"/>
      <c r="I418" s="1177"/>
      <c r="J418" s="1187"/>
      <c r="K418" s="1258"/>
      <c r="L418" s="1202"/>
      <c r="M418" s="1260"/>
      <c r="N418" s="1199"/>
      <c r="O418" s="1199"/>
      <c r="P418" s="1201"/>
      <c r="Q418" s="1199"/>
      <c r="R418" s="1200"/>
      <c r="S418" s="1281"/>
    </row>
    <row r="419" spans="1:19">
      <c r="A419" s="1179"/>
      <c r="B419" s="1163"/>
      <c r="C419" s="1172"/>
      <c r="D419" s="1178"/>
      <c r="E419" s="1175"/>
      <c r="F419" s="1176"/>
      <c r="G419" s="1174"/>
      <c r="H419" s="1161"/>
      <c r="I419" s="1177"/>
      <c r="J419" s="1187"/>
      <c r="K419" s="1258"/>
      <c r="L419" s="1202"/>
      <c r="M419" s="1260"/>
      <c r="N419" s="1199"/>
      <c r="O419" s="1199"/>
      <c r="P419" s="1201"/>
      <c r="Q419" s="1199"/>
      <c r="R419" s="1200"/>
      <c r="S419" s="1281"/>
    </row>
    <row r="420" spans="1:19">
      <c r="A420" s="1179"/>
      <c r="B420" s="1163"/>
      <c r="C420" s="1172"/>
      <c r="D420" s="1178"/>
      <c r="E420" s="1175"/>
      <c r="F420" s="1176"/>
      <c r="G420" s="1174"/>
      <c r="H420" s="1161"/>
      <c r="I420" s="1177"/>
      <c r="J420" s="1187"/>
      <c r="K420" s="1258"/>
      <c r="L420" s="1202"/>
      <c r="M420" s="1260"/>
      <c r="N420" s="1199"/>
      <c r="O420" s="1199"/>
      <c r="P420" s="1201"/>
      <c r="Q420" s="1199"/>
      <c r="R420" s="1200"/>
      <c r="S420" s="1281"/>
    </row>
    <row r="421" spans="1:19">
      <c r="A421" s="1179"/>
      <c r="B421" s="1163"/>
      <c r="C421" s="1172"/>
      <c r="D421" s="1178"/>
      <c r="E421" s="1175"/>
      <c r="F421" s="1176"/>
      <c r="G421" s="1174"/>
      <c r="H421" s="1161"/>
      <c r="I421" s="1177"/>
      <c r="J421" s="1187"/>
      <c r="K421" s="1258"/>
      <c r="L421" s="1202"/>
      <c r="M421" s="1260"/>
      <c r="N421" s="1199"/>
      <c r="O421" s="1199"/>
      <c r="P421" s="1201"/>
      <c r="Q421" s="1199"/>
      <c r="R421" s="1200"/>
      <c r="S421" s="1281"/>
    </row>
    <row r="422" spans="1:19">
      <c r="A422" s="1179"/>
      <c r="B422" s="1163"/>
      <c r="C422" s="1172"/>
      <c r="D422" s="1178"/>
      <c r="E422" s="1175"/>
      <c r="F422" s="1176"/>
      <c r="G422" s="1174"/>
      <c r="H422" s="1161"/>
      <c r="I422" s="1177"/>
      <c r="J422" s="1187"/>
      <c r="K422" s="1258"/>
      <c r="L422" s="1202"/>
      <c r="M422" s="1260"/>
      <c r="N422" s="1199"/>
      <c r="O422" s="1199"/>
      <c r="P422" s="1201"/>
      <c r="Q422" s="1199"/>
      <c r="R422" s="1200"/>
      <c r="S422" s="1281"/>
    </row>
    <row r="423" spans="1:19">
      <c r="A423" s="1179"/>
      <c r="B423" s="1163"/>
      <c r="C423" s="1172"/>
      <c r="D423" s="1178"/>
      <c r="E423" s="1175"/>
      <c r="F423" s="1176"/>
      <c r="G423" s="1174"/>
      <c r="H423" s="1161"/>
      <c r="I423" s="1177"/>
      <c r="J423" s="1187"/>
      <c r="K423" s="1258"/>
      <c r="L423" s="1202"/>
      <c r="M423" s="1260"/>
      <c r="N423" s="1199"/>
      <c r="O423" s="1199"/>
      <c r="P423" s="1201"/>
      <c r="Q423" s="1199"/>
      <c r="R423" s="1200"/>
      <c r="S423" s="1281"/>
    </row>
    <row r="424" spans="1:19">
      <c r="A424" s="1179"/>
      <c r="B424" s="1163"/>
      <c r="C424" s="1172"/>
      <c r="D424" s="1178"/>
      <c r="E424" s="1175"/>
      <c r="F424" s="1176"/>
      <c r="G424" s="1174"/>
      <c r="H424" s="1161"/>
      <c r="I424" s="1177"/>
      <c r="J424" s="1187"/>
      <c r="K424" s="1258"/>
      <c r="L424" s="1202"/>
      <c r="M424" s="1260"/>
      <c r="N424" s="1199"/>
      <c r="O424" s="1199"/>
      <c r="P424" s="1201"/>
      <c r="Q424" s="1199"/>
      <c r="R424" s="1200"/>
      <c r="S424" s="1281"/>
    </row>
    <row r="425" spans="1:19">
      <c r="A425" s="1179"/>
      <c r="B425" s="1163"/>
      <c r="C425" s="1172"/>
      <c r="D425" s="1178"/>
      <c r="E425" s="1175"/>
      <c r="F425" s="1176"/>
      <c r="G425" s="1174"/>
      <c r="H425" s="1161"/>
      <c r="I425" s="1177"/>
      <c r="J425" s="1187"/>
      <c r="K425" s="1258"/>
      <c r="L425" s="1202"/>
      <c r="M425" s="1260"/>
      <c r="N425" s="1199"/>
      <c r="O425" s="1199"/>
      <c r="P425" s="1201"/>
      <c r="Q425" s="1199"/>
      <c r="R425" s="1200"/>
      <c r="S425" s="1281"/>
    </row>
    <row r="426" spans="1:19">
      <c r="A426" s="1179"/>
      <c r="B426" s="1163"/>
      <c r="C426" s="1172"/>
      <c r="D426" s="1178"/>
      <c r="E426" s="1175"/>
      <c r="F426" s="1176"/>
      <c r="G426" s="1174"/>
      <c r="H426" s="1161"/>
      <c r="I426" s="1177"/>
      <c r="J426" s="1187"/>
      <c r="K426" s="1258"/>
      <c r="L426" s="1202"/>
      <c r="M426" s="1260"/>
      <c r="N426" s="1199"/>
      <c r="O426" s="1199"/>
      <c r="P426" s="1201"/>
      <c r="Q426" s="1199"/>
      <c r="R426" s="1200"/>
      <c r="S426" s="1281"/>
    </row>
    <row r="427" spans="1:19">
      <c r="A427" s="1179"/>
      <c r="B427" s="1163"/>
      <c r="C427" s="1172"/>
      <c r="D427" s="1178"/>
      <c r="E427" s="1175"/>
      <c r="F427" s="1176"/>
      <c r="G427" s="1174"/>
      <c r="H427" s="1161"/>
      <c r="I427" s="1177"/>
      <c r="J427" s="1187"/>
      <c r="K427" s="1258"/>
      <c r="L427" s="1202"/>
      <c r="M427" s="1260"/>
      <c r="N427" s="1199"/>
      <c r="O427" s="1199"/>
      <c r="P427" s="1201"/>
      <c r="Q427" s="1199"/>
      <c r="R427" s="1200"/>
      <c r="S427" s="1281"/>
    </row>
    <row r="428" spans="1:19">
      <c r="A428" s="1179"/>
      <c r="B428" s="1163"/>
      <c r="C428" s="1172"/>
      <c r="D428" s="1178"/>
      <c r="E428" s="1175"/>
      <c r="F428" s="1176"/>
      <c r="G428" s="1174"/>
      <c r="H428" s="1161"/>
      <c r="I428" s="1177"/>
      <c r="J428" s="1187"/>
      <c r="K428" s="1258"/>
      <c r="L428" s="1202"/>
      <c r="M428" s="1260"/>
      <c r="N428" s="1199"/>
      <c r="O428" s="1199"/>
      <c r="P428" s="1201"/>
      <c r="Q428" s="1199"/>
      <c r="R428" s="1200"/>
      <c r="S428" s="1281"/>
    </row>
    <row r="429" spans="1:19">
      <c r="A429" s="1179"/>
      <c r="B429" s="1163"/>
      <c r="C429" s="1172"/>
      <c r="D429" s="1178"/>
      <c r="E429" s="1175"/>
      <c r="F429" s="1176"/>
      <c r="G429" s="1174"/>
      <c r="H429" s="1161"/>
      <c r="I429" s="1177"/>
      <c r="J429" s="1187"/>
      <c r="K429" s="1258"/>
      <c r="L429" s="1202"/>
      <c r="M429" s="1260"/>
      <c r="N429" s="1199"/>
      <c r="O429" s="1199"/>
      <c r="P429" s="1201"/>
      <c r="Q429" s="1199"/>
      <c r="R429" s="1200"/>
      <c r="S429" s="1281"/>
    </row>
    <row r="430" spans="1:19">
      <c r="A430" s="1179"/>
      <c r="B430" s="1163"/>
      <c r="C430" s="1172"/>
      <c r="D430" s="1178"/>
      <c r="E430" s="1175"/>
      <c r="F430" s="1176"/>
      <c r="G430" s="1174"/>
      <c r="H430" s="1161"/>
      <c r="I430" s="1177"/>
      <c r="J430" s="1187"/>
      <c r="K430" s="1258"/>
      <c r="L430" s="1202"/>
      <c r="M430" s="1260"/>
      <c r="N430" s="1199"/>
      <c r="O430" s="1199"/>
      <c r="P430" s="1201"/>
      <c r="Q430" s="1199"/>
      <c r="R430" s="1200"/>
      <c r="S430" s="1281"/>
    </row>
    <row r="431" spans="1:19">
      <c r="A431" s="1179"/>
      <c r="B431" s="1163"/>
      <c r="C431" s="1172"/>
      <c r="D431" s="1178"/>
      <c r="E431" s="1175"/>
      <c r="F431" s="1176"/>
      <c r="G431" s="1174"/>
      <c r="H431" s="1161"/>
      <c r="I431" s="1177"/>
      <c r="J431" s="1187"/>
      <c r="K431" s="1258"/>
      <c r="L431" s="1202"/>
      <c r="M431" s="1260"/>
      <c r="N431" s="1199"/>
      <c r="O431" s="1199"/>
      <c r="P431" s="1201"/>
      <c r="Q431" s="1199"/>
      <c r="R431" s="1200"/>
      <c r="S431" s="1281"/>
    </row>
    <row r="432" spans="1:19">
      <c r="A432" s="1179"/>
      <c r="B432" s="1163"/>
      <c r="C432" s="1172"/>
      <c r="D432" s="1178"/>
      <c r="E432" s="1175"/>
      <c r="F432" s="1176"/>
      <c r="G432" s="1174"/>
      <c r="H432" s="1161"/>
      <c r="I432" s="1177"/>
      <c r="J432" s="1187"/>
      <c r="K432" s="1258"/>
      <c r="L432" s="1202"/>
      <c r="M432" s="1260"/>
      <c r="N432" s="1199"/>
      <c r="O432" s="1199"/>
      <c r="P432" s="1201"/>
      <c r="Q432" s="1199"/>
      <c r="R432" s="1200"/>
      <c r="S432" s="1281"/>
    </row>
    <row r="433" spans="1:19">
      <c r="A433" s="1179"/>
      <c r="B433" s="1163"/>
      <c r="C433" s="1172"/>
      <c r="D433" s="1178"/>
      <c r="E433" s="1175"/>
      <c r="F433" s="1176"/>
      <c r="G433" s="1174"/>
      <c r="H433" s="1161"/>
      <c r="I433" s="1177"/>
      <c r="J433" s="1187"/>
      <c r="K433" s="1258"/>
      <c r="L433" s="1202"/>
      <c r="M433" s="1260"/>
      <c r="N433" s="1199"/>
      <c r="O433" s="1199"/>
      <c r="P433" s="1201"/>
      <c r="Q433" s="1199"/>
      <c r="R433" s="1200"/>
      <c r="S433" s="1281"/>
    </row>
    <row r="434" spans="1:19">
      <c r="A434" s="1179"/>
      <c r="B434" s="1163"/>
      <c r="C434" s="1172"/>
      <c r="D434" s="1178"/>
      <c r="E434" s="1175"/>
      <c r="F434" s="1176"/>
      <c r="G434" s="1174"/>
      <c r="H434" s="1161"/>
      <c r="I434" s="1177"/>
      <c r="J434" s="1187"/>
      <c r="K434" s="1258"/>
      <c r="L434" s="1202"/>
      <c r="M434" s="1260"/>
      <c r="N434" s="1199"/>
      <c r="O434" s="1199"/>
      <c r="P434" s="1201"/>
      <c r="Q434" s="1199"/>
      <c r="R434" s="1200"/>
      <c r="S434" s="1281"/>
    </row>
    <row r="435" spans="1:19">
      <c r="A435" s="1179"/>
      <c r="B435" s="1163"/>
      <c r="C435" s="1172"/>
      <c r="D435" s="1178"/>
      <c r="E435" s="1175"/>
      <c r="F435" s="1176"/>
      <c r="G435" s="1174"/>
      <c r="H435" s="1161"/>
      <c r="I435" s="1177"/>
      <c r="J435" s="1187"/>
      <c r="K435" s="1258"/>
      <c r="L435" s="1202"/>
      <c r="M435" s="1260"/>
      <c r="N435" s="1199"/>
      <c r="O435" s="1199"/>
      <c r="P435" s="1201"/>
      <c r="Q435" s="1199"/>
      <c r="R435" s="1200"/>
      <c r="S435" s="1281"/>
    </row>
    <row r="436" spans="1:19">
      <c r="A436" s="1179"/>
      <c r="B436" s="1163"/>
      <c r="C436" s="1172"/>
      <c r="D436" s="1178"/>
      <c r="E436" s="1175"/>
      <c r="F436" s="1176"/>
      <c r="G436" s="1174"/>
      <c r="H436" s="1161"/>
      <c r="I436" s="1177"/>
      <c r="J436" s="1187"/>
      <c r="K436" s="1258"/>
      <c r="L436" s="1202"/>
      <c r="M436" s="1260"/>
      <c r="N436" s="1199"/>
      <c r="O436" s="1199"/>
      <c r="P436" s="1201"/>
      <c r="Q436" s="1199"/>
      <c r="R436" s="1200"/>
      <c r="S436" s="1281"/>
    </row>
    <row r="437" spans="1:19">
      <c r="A437" s="1179"/>
      <c r="B437" s="1163"/>
      <c r="C437" s="1172"/>
      <c r="D437" s="1178"/>
      <c r="E437" s="1175"/>
      <c r="F437" s="1176"/>
      <c r="G437" s="1174"/>
      <c r="H437" s="1161"/>
      <c r="I437" s="1177"/>
      <c r="J437" s="1187"/>
      <c r="K437" s="1258"/>
      <c r="L437" s="1202"/>
      <c r="M437" s="1260"/>
      <c r="N437" s="1199"/>
      <c r="O437" s="1199"/>
      <c r="P437" s="1201"/>
      <c r="Q437" s="1199"/>
      <c r="R437" s="1200"/>
      <c r="S437" s="1281"/>
    </row>
    <row r="438" spans="1:19">
      <c r="A438" s="1179"/>
      <c r="B438" s="1163"/>
      <c r="C438" s="1172"/>
      <c r="D438" s="1178"/>
      <c r="E438" s="1175"/>
      <c r="F438" s="1176"/>
      <c r="G438" s="1174"/>
      <c r="H438" s="1161"/>
      <c r="I438" s="1177"/>
      <c r="J438" s="1187"/>
      <c r="K438" s="1258"/>
      <c r="L438" s="1202"/>
      <c r="M438" s="1260"/>
      <c r="N438" s="1199"/>
      <c r="O438" s="1199"/>
      <c r="P438" s="1201"/>
      <c r="Q438" s="1199"/>
      <c r="R438" s="1200"/>
      <c r="S438" s="1281"/>
    </row>
    <row r="439" spans="1:19">
      <c r="A439" s="1179"/>
      <c r="B439" s="1163"/>
      <c r="C439" s="1172"/>
      <c r="D439" s="1178"/>
      <c r="E439" s="1175"/>
      <c r="F439" s="1176"/>
      <c r="G439" s="1174"/>
      <c r="H439" s="1161"/>
      <c r="I439" s="1177"/>
      <c r="J439" s="1187"/>
      <c r="K439" s="1258"/>
      <c r="L439" s="1202"/>
      <c r="M439" s="1260"/>
      <c r="N439" s="1199"/>
      <c r="O439" s="1199"/>
      <c r="P439" s="1201"/>
      <c r="Q439" s="1199"/>
      <c r="R439" s="1200"/>
      <c r="S439" s="1281"/>
    </row>
    <row r="440" spans="1:19">
      <c r="A440" s="1179"/>
      <c r="B440" s="1163"/>
      <c r="C440" s="1172"/>
      <c r="D440" s="1178"/>
      <c r="E440" s="1175"/>
      <c r="F440" s="1176"/>
      <c r="G440" s="1174"/>
      <c r="H440" s="1161"/>
      <c r="I440" s="1177"/>
      <c r="J440" s="1187"/>
      <c r="K440" s="1258"/>
      <c r="L440" s="1202"/>
      <c r="M440" s="1260"/>
      <c r="N440" s="1199"/>
      <c r="O440" s="1199"/>
      <c r="P440" s="1201"/>
      <c r="Q440" s="1199"/>
      <c r="R440" s="1200"/>
      <c r="S440" s="1281"/>
    </row>
    <row r="441" spans="1:19">
      <c r="A441" s="1179"/>
      <c r="B441" s="1163"/>
      <c r="C441" s="1172"/>
      <c r="D441" s="1178"/>
      <c r="E441" s="1175"/>
      <c r="F441" s="1176"/>
      <c r="G441" s="1174"/>
      <c r="H441" s="1161"/>
      <c r="I441" s="1177"/>
      <c r="J441" s="1187"/>
      <c r="K441" s="1258"/>
      <c r="L441" s="1202"/>
      <c r="M441" s="1260"/>
      <c r="N441" s="1199"/>
      <c r="O441" s="1199"/>
      <c r="P441" s="1201"/>
      <c r="Q441" s="1199"/>
      <c r="R441" s="1200"/>
      <c r="S441" s="1281"/>
    </row>
    <row r="442" spans="1:19">
      <c r="A442" s="1179"/>
      <c r="B442" s="1163"/>
      <c r="C442" s="1172"/>
      <c r="D442" s="1178"/>
      <c r="E442" s="1175"/>
      <c r="F442" s="1176"/>
      <c r="G442" s="1174"/>
      <c r="H442" s="1161"/>
      <c r="I442" s="1177"/>
      <c r="J442" s="1187"/>
      <c r="K442" s="1258"/>
      <c r="L442" s="1202"/>
      <c r="M442" s="1260"/>
      <c r="N442" s="1199"/>
      <c r="O442" s="1199"/>
      <c r="P442" s="1201"/>
      <c r="Q442" s="1199"/>
      <c r="R442" s="1200"/>
      <c r="S442" s="1281"/>
    </row>
    <row r="443" spans="1:19">
      <c r="A443" s="1179"/>
      <c r="B443" s="1163"/>
      <c r="C443" s="1172"/>
      <c r="D443" s="1178"/>
      <c r="E443" s="1175"/>
      <c r="F443" s="1176"/>
      <c r="G443" s="1174"/>
      <c r="H443" s="1161"/>
      <c r="I443" s="1177"/>
      <c r="J443" s="1187"/>
      <c r="K443" s="1258"/>
      <c r="L443" s="1202"/>
      <c r="M443" s="1260"/>
      <c r="N443" s="1199"/>
      <c r="O443" s="1199"/>
      <c r="P443" s="1201"/>
      <c r="Q443" s="1199"/>
      <c r="R443" s="1200"/>
      <c r="S443" s="1281"/>
    </row>
    <row r="444" spans="1:19">
      <c r="A444" s="1179"/>
      <c r="B444" s="1163"/>
      <c r="C444" s="1172"/>
      <c r="D444" s="1178"/>
      <c r="E444" s="1175"/>
      <c r="F444" s="1176"/>
      <c r="G444" s="1174"/>
      <c r="H444" s="1161"/>
      <c r="I444" s="1177"/>
      <c r="J444" s="1187"/>
      <c r="K444" s="1258"/>
      <c r="L444" s="1202"/>
      <c r="M444" s="1260"/>
      <c r="N444" s="1199"/>
      <c r="O444" s="1199"/>
      <c r="P444" s="1201"/>
      <c r="Q444" s="1199"/>
      <c r="R444" s="1200"/>
      <c r="S444" s="1281"/>
    </row>
    <row r="445" spans="1:19">
      <c r="A445" s="1179"/>
      <c r="B445" s="1163"/>
      <c r="C445" s="1172"/>
      <c r="D445" s="1178"/>
      <c r="E445" s="1175"/>
      <c r="F445" s="1176"/>
      <c r="G445" s="1174"/>
      <c r="H445" s="1161"/>
      <c r="I445" s="1177"/>
      <c r="J445" s="1187"/>
      <c r="K445" s="1258"/>
      <c r="L445" s="1202"/>
      <c r="M445" s="1260"/>
      <c r="N445" s="1199"/>
      <c r="O445" s="1199"/>
      <c r="P445" s="1201"/>
      <c r="Q445" s="1199"/>
      <c r="R445" s="1200"/>
      <c r="S445" s="1281"/>
    </row>
    <row r="446" spans="1:19">
      <c r="A446" s="1179"/>
      <c r="B446" s="1163"/>
      <c r="C446" s="1172"/>
      <c r="D446" s="1178"/>
      <c r="E446" s="1175"/>
      <c r="F446" s="1176"/>
      <c r="G446" s="1174"/>
      <c r="H446" s="1161"/>
      <c r="I446" s="1177"/>
      <c r="J446" s="1187"/>
      <c r="K446" s="1258"/>
      <c r="L446" s="1202"/>
      <c r="M446" s="1260"/>
      <c r="N446" s="1199"/>
      <c r="O446" s="1199"/>
      <c r="P446" s="1201"/>
      <c r="Q446" s="1199"/>
      <c r="R446" s="1200"/>
      <c r="S446" s="1210"/>
    </row>
    <row r="447" spans="1:19">
      <c r="A447" s="1179"/>
      <c r="B447" s="1163"/>
      <c r="C447" s="1172"/>
      <c r="D447" s="1178"/>
      <c r="E447" s="1175"/>
      <c r="F447" s="1176"/>
      <c r="G447" s="1174"/>
      <c r="H447" s="1161"/>
      <c r="I447" s="1177"/>
      <c r="J447" s="1187"/>
      <c r="K447" s="1271"/>
      <c r="L447" s="1259"/>
      <c r="M447" s="1260"/>
      <c r="N447" s="1199"/>
      <c r="O447" s="1199"/>
      <c r="P447" s="1201"/>
      <c r="Q447" s="1199"/>
      <c r="R447" s="1200"/>
      <c r="S447" s="1210"/>
    </row>
    <row r="448" spans="1:19">
      <c r="A448" s="1179"/>
      <c r="B448" s="1163"/>
      <c r="C448" s="1172"/>
      <c r="D448" s="1178"/>
      <c r="E448" s="1175"/>
      <c r="F448" s="1176"/>
      <c r="G448" s="1174"/>
      <c r="H448" s="1161"/>
      <c r="I448" s="1177"/>
      <c r="J448" s="1187"/>
      <c r="K448" s="1271"/>
      <c r="L448" s="1289"/>
      <c r="M448" s="1236"/>
      <c r="N448" s="1236"/>
      <c r="O448" s="1236"/>
      <c r="P448" s="1236"/>
      <c r="Q448" s="1290"/>
      <c r="R448" s="1236"/>
      <c r="S448" s="1210"/>
    </row>
    <row r="449" spans="1:19">
      <c r="A449" s="1179"/>
      <c r="B449" s="1163"/>
      <c r="C449" s="1172"/>
      <c r="D449" s="1178"/>
      <c r="E449" s="1175"/>
      <c r="F449" s="1176"/>
      <c r="G449" s="1174"/>
      <c r="H449" s="1161"/>
      <c r="I449" s="1177"/>
      <c r="J449" s="1187"/>
      <c r="K449" s="1258"/>
      <c r="L449" s="1202"/>
      <c r="M449" s="1236"/>
      <c r="N449" s="1199"/>
      <c r="O449" s="1199"/>
      <c r="P449" s="1201"/>
      <c r="Q449" s="1199"/>
      <c r="R449" s="1200"/>
      <c r="S449" s="1210"/>
    </row>
    <row r="450" spans="1:19">
      <c r="A450" s="1179"/>
      <c r="B450" s="1163"/>
      <c r="C450" s="1172"/>
      <c r="D450" s="1178"/>
      <c r="E450" s="1175"/>
      <c r="F450" s="1176"/>
      <c r="G450" s="1174"/>
      <c r="H450" s="1161"/>
      <c r="I450" s="1177"/>
      <c r="J450" s="1187"/>
      <c r="K450" s="1258"/>
      <c r="L450" s="1202"/>
      <c r="M450" s="1236"/>
      <c r="N450" s="1199"/>
      <c r="O450" s="1199"/>
      <c r="P450" s="1201"/>
      <c r="Q450" s="1199"/>
      <c r="R450" s="1200"/>
      <c r="S450" s="1210"/>
    </row>
    <row r="451" spans="1:19">
      <c r="A451" s="1179"/>
      <c r="B451" s="1163"/>
      <c r="C451" s="1172"/>
      <c r="D451" s="1178"/>
      <c r="E451" s="1175"/>
      <c r="F451" s="1176"/>
      <c r="G451" s="1174"/>
      <c r="H451" s="1161"/>
      <c r="I451" s="1177"/>
      <c r="J451" s="1187"/>
      <c r="K451" s="1258"/>
      <c r="L451" s="1202"/>
      <c r="M451" s="1236"/>
      <c r="N451" s="1199"/>
      <c r="O451" s="1199"/>
      <c r="P451" s="1201"/>
      <c r="Q451" s="1199"/>
      <c r="R451" s="1200"/>
      <c r="S451" s="1210"/>
    </row>
    <row r="452" spans="1:19">
      <c r="A452" s="1179"/>
      <c r="B452" s="1163"/>
      <c r="C452" s="1172"/>
      <c r="D452" s="1178"/>
      <c r="E452" s="1175"/>
      <c r="F452" s="1176"/>
      <c r="G452" s="1174"/>
      <c r="H452" s="1161"/>
      <c r="I452" s="1177"/>
      <c r="J452" s="1187"/>
      <c r="K452" s="1258"/>
      <c r="L452" s="1202"/>
      <c r="M452" s="1236"/>
      <c r="N452" s="1199"/>
      <c r="O452" s="1199"/>
      <c r="P452" s="1201"/>
      <c r="Q452" s="1199"/>
      <c r="R452" s="1200"/>
      <c r="S452" s="1210"/>
    </row>
    <row r="453" spans="1:19">
      <c r="A453" s="1179"/>
      <c r="B453" s="1163"/>
      <c r="C453" s="1172"/>
      <c r="D453" s="1178"/>
      <c r="E453" s="1175"/>
      <c r="F453" s="1176"/>
      <c r="G453" s="1174"/>
      <c r="H453" s="1161"/>
      <c r="I453" s="1177"/>
      <c r="J453" s="1187"/>
      <c r="K453" s="1271"/>
      <c r="L453" s="1289"/>
      <c r="M453" s="1236"/>
      <c r="N453" s="1199"/>
      <c r="O453" s="1199"/>
      <c r="P453" s="1201"/>
      <c r="Q453" s="1199"/>
      <c r="R453" s="1200"/>
      <c r="S453" s="1210"/>
    </row>
    <row r="454" spans="1:19">
      <c r="A454" s="1179"/>
      <c r="B454" s="1163"/>
      <c r="C454" s="1172"/>
      <c r="D454" s="1178"/>
      <c r="E454" s="1175"/>
      <c r="F454" s="1176"/>
      <c r="G454" s="1174"/>
      <c r="H454" s="1161"/>
      <c r="I454" s="1177"/>
      <c r="J454" s="1187"/>
      <c r="K454" s="1271"/>
      <c r="L454" s="1165"/>
      <c r="M454" s="1236"/>
      <c r="N454" s="1199"/>
      <c r="O454" s="1199"/>
      <c r="P454" s="1201"/>
      <c r="Q454" s="1199"/>
      <c r="R454" s="1200"/>
      <c r="S454" s="1210"/>
    </row>
    <row r="455" spans="1:19">
      <c r="A455" s="1179"/>
      <c r="B455" s="1163"/>
      <c r="C455" s="1172"/>
      <c r="D455" s="1178"/>
      <c r="E455" s="1175"/>
      <c r="F455" s="1176"/>
      <c r="G455" s="1174"/>
      <c r="H455" s="1161"/>
      <c r="I455" s="1177"/>
      <c r="J455" s="1187"/>
      <c r="K455" s="1271"/>
      <c r="L455" s="1165"/>
      <c r="M455" s="1236"/>
      <c r="N455" s="1199"/>
      <c r="O455" s="1199"/>
      <c r="P455" s="1201"/>
      <c r="Q455" s="1199"/>
      <c r="R455" s="1200"/>
      <c r="S455" s="1210"/>
    </row>
    <row r="456" spans="1:19">
      <c r="A456" s="1179"/>
      <c r="B456" s="1163"/>
      <c r="C456" s="1172"/>
      <c r="D456" s="1178"/>
      <c r="E456" s="1175"/>
      <c r="F456" s="1176"/>
      <c r="G456" s="1174"/>
      <c r="H456" s="1161"/>
      <c r="I456" s="1177"/>
      <c r="J456" s="1187"/>
      <c r="K456" s="1271"/>
      <c r="L456" s="1165"/>
      <c r="M456" s="1236"/>
      <c r="N456" s="1199"/>
      <c r="O456" s="1199"/>
      <c r="P456" s="1201"/>
      <c r="Q456" s="1199"/>
      <c r="R456" s="1200"/>
      <c r="S456" s="1210"/>
    </row>
    <row r="457" spans="1:19">
      <c r="A457" s="1179"/>
      <c r="B457" s="1163"/>
      <c r="C457" s="1172"/>
      <c r="D457" s="1178"/>
      <c r="E457" s="1175"/>
      <c r="F457" s="1176"/>
      <c r="G457" s="1174"/>
      <c r="H457" s="1161"/>
      <c r="I457" s="1177"/>
      <c r="J457" s="1187"/>
      <c r="K457" s="1271"/>
      <c r="L457" s="1165"/>
      <c r="M457" s="1236"/>
      <c r="N457" s="1199"/>
      <c r="O457" s="1199"/>
      <c r="P457" s="1201"/>
      <c r="Q457" s="1199"/>
      <c r="R457" s="1200"/>
      <c r="S457" s="1210"/>
    </row>
    <row r="458" spans="1:19">
      <c r="A458" s="1179"/>
      <c r="B458" s="1163"/>
      <c r="C458" s="1172"/>
      <c r="D458" s="1178"/>
      <c r="E458" s="1175"/>
      <c r="F458" s="1176"/>
      <c r="G458" s="1174"/>
      <c r="H458" s="1161"/>
      <c r="I458" s="1177"/>
      <c r="J458" s="1187"/>
      <c r="K458" s="1271"/>
      <c r="L458" s="1289"/>
      <c r="M458" s="1236"/>
      <c r="N458" s="1199"/>
      <c r="O458" s="1199"/>
      <c r="P458" s="1201"/>
      <c r="Q458" s="1199"/>
      <c r="R458" s="1200"/>
      <c r="S458" s="1210"/>
    </row>
    <row r="459" spans="1:19">
      <c r="A459" s="1179"/>
      <c r="B459" s="1163"/>
      <c r="C459" s="1172"/>
      <c r="D459" s="1178"/>
      <c r="E459" s="1175"/>
      <c r="F459" s="1176"/>
      <c r="G459" s="1174"/>
      <c r="H459" s="1161"/>
      <c r="I459" s="1177"/>
      <c r="J459" s="1187"/>
      <c r="K459" s="1271"/>
      <c r="L459" s="1165"/>
      <c r="M459" s="1236"/>
      <c r="N459" s="1199"/>
      <c r="O459" s="1199"/>
      <c r="P459" s="1201"/>
      <c r="Q459" s="1199"/>
      <c r="R459" s="1200"/>
      <c r="S459" s="1210"/>
    </row>
    <row r="460" spans="1:19">
      <c r="A460" s="1179"/>
      <c r="B460" s="1163"/>
      <c r="C460" s="1172"/>
      <c r="D460" s="1178"/>
      <c r="E460" s="1175"/>
      <c r="F460" s="1176"/>
      <c r="G460" s="1174"/>
      <c r="H460" s="1161"/>
      <c r="I460" s="1177"/>
      <c r="J460" s="1187"/>
      <c r="K460" s="1271"/>
      <c r="L460" s="1165"/>
      <c r="M460" s="1236"/>
      <c r="N460" s="1199"/>
      <c r="O460" s="1199"/>
      <c r="P460" s="1201"/>
      <c r="Q460" s="1199"/>
      <c r="R460" s="1200"/>
      <c r="S460" s="1210"/>
    </row>
    <row r="461" spans="1:19">
      <c r="A461" s="1179"/>
      <c r="B461" s="1163"/>
      <c r="C461" s="1172"/>
      <c r="D461" s="1178"/>
      <c r="E461" s="1175"/>
      <c r="F461" s="1176"/>
      <c r="G461" s="1174"/>
      <c r="H461" s="1161"/>
      <c r="I461" s="1177"/>
      <c r="J461" s="1187"/>
      <c r="K461" s="1258"/>
      <c r="L461" s="1202"/>
      <c r="M461" s="1236"/>
      <c r="N461" s="1199"/>
      <c r="O461" s="1199"/>
      <c r="P461" s="1201"/>
      <c r="Q461" s="1199"/>
      <c r="R461" s="1200"/>
      <c r="S461" s="1210"/>
    </row>
    <row r="462" spans="1:19">
      <c r="A462" s="1179"/>
      <c r="B462" s="1163"/>
      <c r="C462" s="1172"/>
      <c r="D462" s="1178"/>
      <c r="E462" s="1175"/>
      <c r="F462" s="1176"/>
      <c r="G462" s="1174"/>
      <c r="H462" s="1161"/>
      <c r="I462" s="1177"/>
      <c r="J462" s="1187"/>
      <c r="K462" s="1271"/>
      <c r="L462" s="1259"/>
      <c r="M462" s="1260"/>
      <c r="N462" s="1199"/>
      <c r="O462" s="1199"/>
      <c r="P462" s="1201"/>
      <c r="Q462" s="1199"/>
      <c r="R462" s="1200"/>
      <c r="S462" s="1210"/>
    </row>
    <row r="463" spans="1:19">
      <c r="A463" s="1179"/>
      <c r="B463" s="1163"/>
      <c r="C463" s="1172"/>
      <c r="D463" s="1178"/>
      <c r="E463" s="1175"/>
      <c r="F463" s="1176"/>
      <c r="G463" s="1174"/>
      <c r="H463" s="1161"/>
      <c r="I463" s="1177"/>
      <c r="J463" s="1187"/>
      <c r="K463" s="1258"/>
      <c r="L463" s="1202"/>
      <c r="M463" s="1236"/>
      <c r="N463" s="1199"/>
      <c r="O463" s="1199"/>
      <c r="P463" s="1201"/>
      <c r="Q463" s="1199"/>
      <c r="R463" s="1200"/>
      <c r="S463" s="1210"/>
    </row>
    <row r="464" spans="1:19">
      <c r="A464" s="1179"/>
      <c r="B464" s="1163"/>
      <c r="C464" s="1172"/>
      <c r="D464" s="1178"/>
      <c r="E464" s="1175"/>
      <c r="F464" s="1176"/>
      <c r="G464" s="1174"/>
      <c r="H464" s="1161"/>
      <c r="I464" s="1177"/>
      <c r="J464" s="1187"/>
      <c r="K464" s="1258"/>
      <c r="L464" s="1202"/>
      <c r="M464" s="1260"/>
      <c r="N464" s="1199"/>
      <c r="O464" s="1199"/>
      <c r="P464" s="1201"/>
      <c r="Q464" s="1199"/>
      <c r="R464" s="1200"/>
      <c r="S464" s="1210"/>
    </row>
    <row r="465" spans="1:19">
      <c r="A465" s="1179"/>
      <c r="B465" s="1163"/>
      <c r="C465" s="1172"/>
      <c r="D465" s="1178"/>
      <c r="E465" s="1175"/>
      <c r="F465" s="1176"/>
      <c r="G465" s="1174"/>
      <c r="H465" s="1161"/>
      <c r="I465" s="1177"/>
      <c r="J465" s="1187"/>
      <c r="K465" s="1258"/>
      <c r="L465" s="1259"/>
      <c r="M465" s="1260"/>
      <c r="N465" s="1199"/>
      <c r="O465" s="1199"/>
      <c r="P465" s="1201"/>
      <c r="Q465" s="1199"/>
      <c r="R465" s="1200"/>
      <c r="S465" s="1210"/>
    </row>
    <row r="466" spans="1:19">
      <c r="A466" s="1179"/>
      <c r="B466" s="1163"/>
      <c r="C466" s="1172"/>
      <c r="D466" s="1178"/>
      <c r="E466" s="1175"/>
      <c r="F466" s="1176"/>
      <c r="G466" s="1174"/>
      <c r="H466" s="1161"/>
      <c r="I466" s="1177"/>
      <c r="J466" s="1187"/>
      <c r="K466" s="1258"/>
      <c r="L466" s="1259"/>
      <c r="M466" s="1260"/>
      <c r="N466" s="1199"/>
      <c r="O466" s="1199"/>
      <c r="P466" s="1201"/>
      <c r="Q466" s="1199"/>
      <c r="R466" s="1200"/>
      <c r="S466" s="1210"/>
    </row>
    <row r="467" spans="1:19">
      <c r="A467" s="1179"/>
      <c r="B467" s="1163"/>
      <c r="C467" s="1172"/>
      <c r="D467" s="1178"/>
      <c r="E467" s="1175"/>
      <c r="F467" s="1176"/>
      <c r="G467" s="1174"/>
      <c r="H467" s="1161"/>
      <c r="I467" s="1177"/>
      <c r="J467" s="1187"/>
      <c r="K467" s="1258"/>
      <c r="L467" s="1259"/>
      <c r="M467" s="1260"/>
      <c r="N467" s="1199"/>
      <c r="O467" s="1199"/>
      <c r="P467" s="1201"/>
      <c r="Q467" s="1199"/>
      <c r="R467" s="1200"/>
      <c r="S467" s="1210"/>
    </row>
    <row r="468" spans="1:19">
      <c r="A468" s="1179"/>
      <c r="B468" s="1163"/>
      <c r="C468" s="1172"/>
      <c r="D468" s="1178"/>
      <c r="E468" s="1175"/>
      <c r="F468" s="1176"/>
      <c r="G468" s="1174"/>
      <c r="H468" s="1161"/>
      <c r="I468" s="1177"/>
      <c r="J468" s="1187"/>
      <c r="K468" s="1258"/>
      <c r="L468" s="1289"/>
      <c r="M468" s="1236"/>
      <c r="N468" s="1236"/>
      <c r="O468" s="1236"/>
      <c r="P468" s="1236"/>
      <c r="Q468" s="1290"/>
      <c r="R468" s="1236"/>
      <c r="S468" s="1210"/>
    </row>
    <row r="469" spans="1:19">
      <c r="A469" s="1179"/>
      <c r="B469" s="1163"/>
      <c r="C469" s="1172"/>
      <c r="D469" s="1178"/>
      <c r="E469" s="1175"/>
      <c r="F469" s="1176"/>
      <c r="G469" s="1174"/>
      <c r="H469" s="1161"/>
      <c r="I469" s="1177"/>
      <c r="J469" s="1187"/>
      <c r="K469" s="1258"/>
      <c r="L469" s="1165"/>
      <c r="M469" s="1236"/>
      <c r="N469" s="1236"/>
      <c r="O469" s="1236"/>
      <c r="P469" s="1236"/>
      <c r="Q469" s="1236"/>
      <c r="R469" s="1236"/>
      <c r="S469" s="1210"/>
    </row>
    <row r="470" spans="1:19">
      <c r="A470" s="1179"/>
      <c r="B470" s="1163"/>
      <c r="C470" s="1172"/>
      <c r="D470" s="1178"/>
      <c r="E470" s="1175"/>
      <c r="F470" s="1176"/>
      <c r="G470" s="1174"/>
      <c r="H470" s="1161"/>
      <c r="I470" s="1177"/>
      <c r="J470" s="1187"/>
      <c r="K470" s="1258"/>
      <c r="L470" s="1165"/>
      <c r="M470" s="1236"/>
      <c r="N470" s="1236"/>
      <c r="O470" s="1236"/>
      <c r="P470" s="1236"/>
      <c r="Q470" s="1236"/>
      <c r="R470" s="1236"/>
      <c r="S470" s="1210"/>
    </row>
    <row r="471" spans="1:19">
      <c r="A471" s="1179"/>
      <c r="B471" s="1163"/>
      <c r="C471" s="1172"/>
      <c r="D471" s="1178"/>
      <c r="E471" s="1175"/>
      <c r="F471" s="1176"/>
      <c r="G471" s="1174"/>
      <c r="H471" s="1161"/>
      <c r="I471" s="1177"/>
      <c r="J471" s="1187"/>
      <c r="K471" s="1258"/>
      <c r="L471" s="1165"/>
      <c r="M471" s="1236"/>
      <c r="N471" s="1236"/>
      <c r="O471" s="1236"/>
      <c r="P471" s="1236"/>
      <c r="Q471" s="1236"/>
      <c r="R471" s="1236"/>
      <c r="S471" s="1210"/>
    </row>
    <row r="472" spans="1:19">
      <c r="A472" s="1179"/>
      <c r="B472" s="1163"/>
      <c r="C472" s="1172"/>
      <c r="D472" s="1178"/>
      <c r="E472" s="1175"/>
      <c r="F472" s="1176"/>
      <c r="G472" s="1174"/>
      <c r="H472" s="1161"/>
      <c r="I472" s="1177"/>
      <c r="J472" s="1187"/>
      <c r="K472" s="1258"/>
      <c r="L472" s="1259"/>
      <c r="M472" s="1260"/>
      <c r="N472" s="1199"/>
      <c r="O472" s="1199"/>
      <c r="P472" s="1201"/>
      <c r="Q472" s="1199"/>
      <c r="R472" s="1200"/>
      <c r="S472" s="1210"/>
    </row>
    <row r="473" spans="1:19">
      <c r="A473" s="1179"/>
      <c r="B473" s="1163"/>
      <c r="C473" s="1172"/>
      <c r="D473" s="1178"/>
      <c r="E473" s="1175"/>
      <c r="F473" s="1176"/>
      <c r="G473" s="1174"/>
      <c r="H473" s="1161"/>
      <c r="I473" s="1177"/>
      <c r="J473" s="1187"/>
      <c r="K473" s="1258"/>
      <c r="L473" s="1289"/>
      <c r="M473" s="1236"/>
      <c r="N473" s="1236"/>
      <c r="O473" s="1236"/>
      <c r="P473" s="1236"/>
      <c r="Q473" s="1290"/>
      <c r="R473" s="1236"/>
      <c r="S473" s="1210"/>
    </row>
    <row r="474" spans="1:19">
      <c r="A474" s="1179"/>
      <c r="B474" s="1163"/>
      <c r="C474" s="1172"/>
      <c r="D474" s="1178"/>
      <c r="E474" s="1175"/>
      <c r="F474" s="1176"/>
      <c r="G474" s="1174"/>
      <c r="H474" s="1161"/>
      <c r="I474" s="1177"/>
      <c r="J474" s="1187"/>
      <c r="K474" s="1258"/>
      <c r="L474" s="1165"/>
      <c r="M474" s="1236"/>
      <c r="N474" s="1236"/>
      <c r="O474" s="1236"/>
      <c r="P474" s="1236"/>
      <c r="Q474" s="1236"/>
      <c r="R474" s="1236"/>
      <c r="S474" s="1210"/>
    </row>
    <row r="475" spans="1:19">
      <c r="A475" s="1179"/>
      <c r="B475" s="1163"/>
      <c r="C475" s="1172"/>
      <c r="D475" s="1178"/>
      <c r="E475" s="1175"/>
      <c r="F475" s="1176"/>
      <c r="G475" s="1174"/>
      <c r="H475" s="1161"/>
      <c r="I475" s="1177"/>
      <c r="J475" s="1187"/>
      <c r="K475" s="1258"/>
      <c r="L475" s="1165"/>
      <c r="M475" s="1236"/>
      <c r="N475" s="1236"/>
      <c r="O475" s="1236"/>
      <c r="P475" s="1236"/>
      <c r="Q475" s="1236"/>
      <c r="R475" s="1236"/>
      <c r="S475" s="1210"/>
    </row>
    <row r="476" spans="1:19">
      <c r="A476" s="1179"/>
      <c r="B476" s="1163"/>
      <c r="C476" s="1172"/>
      <c r="D476" s="1178"/>
      <c r="E476" s="1175"/>
      <c r="F476" s="1176"/>
      <c r="G476" s="1174"/>
      <c r="H476" s="1161"/>
      <c r="I476" s="1177"/>
      <c r="J476" s="1187"/>
      <c r="K476" s="1258"/>
      <c r="L476" s="1165"/>
      <c r="M476" s="1236"/>
      <c r="N476" s="1236"/>
      <c r="O476" s="1236"/>
      <c r="P476" s="1236"/>
      <c r="Q476" s="1236"/>
      <c r="R476" s="1236"/>
      <c r="S476" s="1210"/>
    </row>
    <row r="477" spans="1:19">
      <c r="A477" s="1179"/>
      <c r="B477" s="1163"/>
      <c r="C477" s="1172"/>
      <c r="D477" s="1178"/>
      <c r="E477" s="1175"/>
      <c r="F477" s="1176"/>
      <c r="G477" s="1174"/>
      <c r="H477" s="1161"/>
      <c r="I477" s="1177"/>
      <c r="J477" s="1187"/>
      <c r="K477" s="1258"/>
      <c r="L477" s="1259"/>
      <c r="M477" s="1260"/>
      <c r="N477" s="1199"/>
      <c r="O477" s="1199"/>
      <c r="P477" s="1201"/>
      <c r="Q477" s="1199"/>
      <c r="R477" s="1200"/>
      <c r="S477" s="1210"/>
    </row>
    <row r="478" spans="1:19">
      <c r="A478" s="1179"/>
      <c r="B478" s="1163"/>
      <c r="C478" s="1172"/>
      <c r="D478" s="1178"/>
      <c r="E478" s="1175"/>
      <c r="F478" s="1176"/>
      <c r="G478" s="1174"/>
      <c r="H478" s="1161"/>
      <c r="I478" s="1177"/>
      <c r="J478" s="1187"/>
      <c r="K478" s="1258"/>
      <c r="L478" s="1259"/>
      <c r="M478" s="1260"/>
      <c r="N478" s="1199"/>
      <c r="O478" s="1199"/>
      <c r="P478" s="1201"/>
      <c r="Q478" s="1199"/>
      <c r="R478" s="1200"/>
      <c r="S478" s="1210"/>
    </row>
    <row r="479" spans="1:19">
      <c r="A479" s="1179"/>
      <c r="B479" s="1163"/>
      <c r="C479" s="1172"/>
      <c r="D479" s="1178"/>
      <c r="E479" s="1175"/>
      <c r="F479" s="1176"/>
      <c r="G479" s="1174"/>
      <c r="H479" s="1161"/>
      <c r="I479" s="1177"/>
      <c r="J479" s="1187"/>
      <c r="K479" s="1258"/>
      <c r="L479" s="1259"/>
      <c r="M479" s="1260"/>
      <c r="N479" s="1199"/>
      <c r="O479" s="1199"/>
      <c r="P479" s="1201"/>
      <c r="Q479" s="1199"/>
      <c r="R479" s="1256"/>
      <c r="S479" s="1210"/>
    </row>
    <row r="480" spans="1:19">
      <c r="A480" s="1179"/>
      <c r="B480" s="1163"/>
      <c r="C480" s="1172"/>
      <c r="D480" s="1178"/>
      <c r="E480" s="1175"/>
      <c r="F480" s="1176"/>
      <c r="G480" s="1174"/>
      <c r="H480" s="1161"/>
      <c r="I480" s="1177"/>
      <c r="J480" s="1187"/>
      <c r="K480" s="1258"/>
      <c r="L480" s="1259"/>
      <c r="M480" s="1260"/>
      <c r="N480" s="1199"/>
      <c r="O480" s="1199"/>
      <c r="P480" s="1201"/>
      <c r="Q480" s="1199"/>
      <c r="R480" s="1200"/>
      <c r="S480" s="1210"/>
    </row>
    <row r="481" spans="1:19">
      <c r="A481" s="1179"/>
      <c r="B481" s="1163"/>
      <c r="C481" s="1172"/>
      <c r="D481" s="1178"/>
      <c r="E481" s="1175"/>
      <c r="F481" s="1176"/>
      <c r="G481" s="1174"/>
      <c r="H481" s="1161"/>
      <c r="I481" s="1177"/>
      <c r="J481" s="1187"/>
      <c r="K481" s="1258"/>
      <c r="L481" s="1202"/>
      <c r="M481" s="1260"/>
      <c r="N481" s="1199"/>
      <c r="O481" s="1199"/>
      <c r="P481" s="1201"/>
      <c r="Q481" s="1199"/>
      <c r="R481" s="1200"/>
      <c r="S481" s="1281"/>
    </row>
    <row r="482" spans="1:19">
      <c r="A482" s="1179"/>
      <c r="B482" s="1163"/>
      <c r="C482" s="1172"/>
      <c r="D482" s="1178"/>
      <c r="E482" s="1175"/>
      <c r="F482" s="1176"/>
      <c r="G482" s="1174"/>
      <c r="H482" s="1161"/>
      <c r="I482" s="1177"/>
      <c r="J482" s="1187"/>
      <c r="K482" s="1258"/>
      <c r="L482" s="1202"/>
      <c r="M482" s="1260"/>
      <c r="N482" s="1199"/>
      <c r="O482" s="1199"/>
      <c r="P482" s="1201"/>
      <c r="Q482" s="1199"/>
      <c r="R482" s="1200"/>
      <c r="S482" s="1281"/>
    </row>
    <row r="483" spans="1:19">
      <c r="A483" s="1179"/>
      <c r="B483" s="1163"/>
      <c r="C483" s="1172"/>
      <c r="D483" s="1178"/>
      <c r="E483" s="1175"/>
      <c r="F483" s="1176"/>
      <c r="G483" s="1174"/>
      <c r="H483" s="1161"/>
      <c r="I483" s="1177"/>
      <c r="J483" s="1187"/>
      <c r="K483" s="1258"/>
      <c r="L483" s="1202"/>
      <c r="M483" s="1260"/>
      <c r="N483" s="1199"/>
      <c r="O483" s="1199"/>
      <c r="P483" s="1201"/>
      <c r="Q483" s="1199"/>
      <c r="R483" s="1200"/>
      <c r="S483" s="1281"/>
    </row>
    <row r="484" spans="1:19">
      <c r="A484" s="1179"/>
      <c r="B484" s="1163"/>
      <c r="C484" s="1172"/>
      <c r="D484" s="1178"/>
      <c r="E484" s="1175"/>
      <c r="F484" s="1176"/>
      <c r="G484" s="1174"/>
      <c r="H484" s="1161"/>
      <c r="I484" s="1177"/>
      <c r="J484" s="1187"/>
      <c r="K484" s="1258"/>
      <c r="L484" s="1202"/>
      <c r="M484" s="1260"/>
      <c r="N484" s="1199"/>
      <c r="O484" s="1199"/>
      <c r="P484" s="1201"/>
      <c r="Q484" s="1199"/>
      <c r="R484" s="1200"/>
      <c r="S484" s="1210"/>
    </row>
    <row r="485" spans="1:19">
      <c r="A485" s="1179"/>
      <c r="B485" s="1163"/>
      <c r="C485" s="1172"/>
      <c r="D485" s="1178"/>
      <c r="E485" s="1175"/>
      <c r="F485" s="1176"/>
      <c r="G485" s="1174"/>
      <c r="H485" s="1161"/>
      <c r="I485" s="1177"/>
      <c r="J485" s="1187"/>
      <c r="K485" s="1258"/>
      <c r="L485" s="1202"/>
      <c r="M485" s="1260"/>
      <c r="N485" s="1199"/>
      <c r="O485" s="1199"/>
      <c r="P485" s="1201"/>
      <c r="Q485" s="1199"/>
      <c r="R485" s="1200"/>
      <c r="S485" s="1210"/>
    </row>
    <row r="486" spans="1:19">
      <c r="A486" s="1179"/>
      <c r="B486" s="1163"/>
      <c r="C486" s="1172"/>
      <c r="D486" s="1178"/>
      <c r="E486" s="1175"/>
      <c r="F486" s="1176"/>
      <c r="G486" s="1174"/>
      <c r="H486" s="1161"/>
      <c r="I486" s="1177"/>
      <c r="J486" s="1187"/>
      <c r="K486" s="1258"/>
      <c r="L486" s="1202"/>
      <c r="M486" s="1260"/>
      <c r="N486" s="1199"/>
      <c r="O486" s="1199"/>
      <c r="P486" s="1201"/>
      <c r="Q486" s="1199"/>
      <c r="R486" s="1200"/>
      <c r="S486" s="1210"/>
    </row>
    <row r="487" spans="1:19">
      <c r="A487" s="1179"/>
      <c r="B487" s="1163"/>
      <c r="C487" s="1172"/>
      <c r="D487" s="1178"/>
      <c r="E487" s="1175"/>
      <c r="F487" s="1176"/>
      <c r="G487" s="1174"/>
      <c r="H487" s="1161"/>
      <c r="I487" s="1177"/>
      <c r="J487" s="1187"/>
      <c r="K487" s="1258"/>
      <c r="L487" s="1202"/>
      <c r="M487" s="1260"/>
      <c r="N487" s="1199"/>
      <c r="O487" s="1199"/>
      <c r="P487" s="1201"/>
      <c r="Q487" s="1199"/>
      <c r="R487" s="1200"/>
      <c r="S487" s="1210"/>
    </row>
    <row r="488" spans="1:19">
      <c r="A488" s="1179"/>
      <c r="B488" s="1163"/>
      <c r="C488" s="1172"/>
      <c r="D488" s="1178"/>
      <c r="E488" s="1175"/>
      <c r="F488" s="1176"/>
      <c r="G488" s="1174"/>
      <c r="H488" s="1161"/>
      <c r="I488" s="1177"/>
      <c r="J488" s="1187"/>
      <c r="K488" s="1258"/>
      <c r="L488" s="1202"/>
      <c r="M488" s="1260"/>
      <c r="N488" s="1199"/>
      <c r="O488" s="1199"/>
      <c r="P488" s="1201"/>
      <c r="Q488" s="1199"/>
      <c r="R488" s="1200"/>
      <c r="S488" s="1210"/>
    </row>
    <row r="489" spans="1:19">
      <c r="A489" s="1179"/>
      <c r="B489" s="1163"/>
      <c r="C489" s="1172"/>
      <c r="D489" s="1178"/>
      <c r="E489" s="1175"/>
      <c r="F489" s="1176"/>
      <c r="G489" s="1174"/>
      <c r="H489" s="1161"/>
      <c r="I489" s="1177"/>
      <c r="J489" s="1187"/>
      <c r="K489" s="1258"/>
      <c r="L489" s="1202"/>
      <c r="M489" s="1260"/>
      <c r="N489" s="1199"/>
      <c r="O489" s="1199"/>
      <c r="P489" s="1201"/>
      <c r="Q489" s="1199"/>
      <c r="R489" s="1200"/>
      <c r="S489" s="1210"/>
    </row>
    <row r="490" spans="1:19">
      <c r="A490" s="1179"/>
      <c r="B490" s="1163"/>
      <c r="C490" s="1172"/>
      <c r="D490" s="1178"/>
      <c r="E490" s="1175"/>
      <c r="F490" s="1176"/>
      <c r="G490" s="1174"/>
      <c r="H490" s="1161"/>
      <c r="I490" s="1177"/>
      <c r="J490" s="1187"/>
      <c r="K490" s="1258"/>
      <c r="L490" s="1202"/>
      <c r="M490" s="1260"/>
      <c r="N490" s="1199"/>
      <c r="O490" s="1199"/>
      <c r="P490" s="1201"/>
      <c r="Q490" s="1199"/>
      <c r="R490" s="1200"/>
      <c r="S490" s="1210"/>
    </row>
    <row r="491" spans="1:19">
      <c r="A491" s="1179"/>
      <c r="B491" s="1163"/>
      <c r="C491" s="1172"/>
      <c r="D491" s="1178"/>
      <c r="E491" s="1175"/>
      <c r="F491" s="1176"/>
      <c r="G491" s="1174"/>
      <c r="H491" s="1161"/>
      <c r="I491" s="1177"/>
      <c r="J491" s="1187"/>
      <c r="K491" s="1271"/>
      <c r="L491" s="1259"/>
      <c r="M491" s="1260"/>
      <c r="N491" s="1199"/>
      <c r="O491" s="1199"/>
      <c r="P491" s="1201"/>
      <c r="Q491" s="1199"/>
      <c r="R491" s="1200"/>
      <c r="S491" s="1210"/>
    </row>
    <row r="492" spans="1:19">
      <c r="A492" s="1179"/>
      <c r="B492" s="1163"/>
      <c r="C492" s="1172"/>
      <c r="D492" s="1178"/>
      <c r="E492" s="1175"/>
      <c r="F492" s="1176"/>
      <c r="G492" s="1174"/>
      <c r="H492" s="1161"/>
      <c r="I492" s="1177"/>
      <c r="J492" s="1187"/>
      <c r="K492" s="1271"/>
      <c r="L492" s="1289"/>
      <c r="M492" s="1236"/>
      <c r="N492" s="1236"/>
      <c r="O492" s="1236"/>
      <c r="P492" s="1236"/>
      <c r="Q492" s="1290"/>
      <c r="R492" s="1236"/>
      <c r="S492" s="1210"/>
    </row>
    <row r="493" spans="1:19">
      <c r="A493" s="1179"/>
      <c r="B493" s="1163"/>
      <c r="C493" s="1172"/>
      <c r="D493" s="1178"/>
      <c r="E493" s="1175"/>
      <c r="F493" s="1176"/>
      <c r="G493" s="1174"/>
      <c r="H493" s="1161"/>
      <c r="I493" s="1177"/>
      <c r="J493" s="1187"/>
      <c r="K493" s="1258"/>
      <c r="L493" s="1165"/>
      <c r="M493" s="1236"/>
      <c r="N493" s="1199"/>
      <c r="O493" s="1199"/>
      <c r="P493" s="1201"/>
      <c r="Q493" s="1199"/>
      <c r="R493" s="1200"/>
      <c r="S493" s="1210"/>
    </row>
    <row r="494" spans="1:19">
      <c r="A494" s="1179"/>
      <c r="B494" s="1163"/>
      <c r="C494" s="1172"/>
      <c r="D494" s="1178"/>
      <c r="E494" s="1175"/>
      <c r="F494" s="1176"/>
      <c r="G494" s="1174"/>
      <c r="H494" s="1161"/>
      <c r="I494" s="1177"/>
      <c r="J494" s="1187"/>
      <c r="K494" s="1258"/>
      <c r="L494" s="1165"/>
      <c r="M494" s="1236"/>
      <c r="N494" s="1199"/>
      <c r="O494" s="1199"/>
      <c r="P494" s="1201"/>
      <c r="Q494" s="1199"/>
      <c r="R494" s="1200"/>
      <c r="S494" s="1210"/>
    </row>
    <row r="495" spans="1:19">
      <c r="A495" s="1179"/>
      <c r="B495" s="1163"/>
      <c r="C495" s="1172"/>
      <c r="D495" s="1178"/>
      <c r="E495" s="1175"/>
      <c r="F495" s="1176"/>
      <c r="G495" s="1174"/>
      <c r="H495" s="1161"/>
      <c r="I495" s="1177"/>
      <c r="J495" s="1187"/>
      <c r="K495" s="1258"/>
      <c r="L495" s="1165"/>
      <c r="M495" s="1236"/>
      <c r="N495" s="1199"/>
      <c r="O495" s="1199"/>
      <c r="P495" s="1201"/>
      <c r="Q495" s="1199"/>
      <c r="R495" s="1200"/>
      <c r="S495" s="1210"/>
    </row>
    <row r="496" spans="1:19">
      <c r="A496" s="1179"/>
      <c r="B496" s="1163"/>
      <c r="C496" s="1172"/>
      <c r="D496" s="1178"/>
      <c r="E496" s="1175"/>
      <c r="F496" s="1176"/>
      <c r="G496" s="1174"/>
      <c r="H496" s="1161"/>
      <c r="I496" s="1177"/>
      <c r="J496" s="1187"/>
      <c r="K496" s="1258"/>
      <c r="L496" s="1165"/>
      <c r="M496" s="1236"/>
      <c r="N496" s="1199"/>
      <c r="O496" s="1199"/>
      <c r="P496" s="1201"/>
      <c r="Q496" s="1199"/>
      <c r="R496" s="1200"/>
      <c r="S496" s="1210"/>
    </row>
    <row r="497" spans="1:19">
      <c r="A497" s="1179"/>
      <c r="B497" s="1163"/>
      <c r="C497" s="1172"/>
      <c r="D497" s="1178"/>
      <c r="E497" s="1175"/>
      <c r="F497" s="1176"/>
      <c r="G497" s="1174"/>
      <c r="H497" s="1161"/>
      <c r="I497" s="1177"/>
      <c r="J497" s="1187"/>
      <c r="K497" s="1258"/>
      <c r="L497" s="1289"/>
      <c r="M497" s="1236"/>
      <c r="N497" s="1236"/>
      <c r="O497" s="1236"/>
      <c r="P497" s="1236"/>
      <c r="Q497" s="1290"/>
      <c r="R497" s="1236"/>
      <c r="S497" s="1210"/>
    </row>
    <row r="498" spans="1:19">
      <c r="A498" s="1179"/>
      <c r="B498" s="1163"/>
      <c r="C498" s="1172"/>
      <c r="D498" s="1178"/>
      <c r="E498" s="1175"/>
      <c r="F498" s="1176"/>
      <c r="G498" s="1174"/>
      <c r="H498" s="1161"/>
      <c r="I498" s="1177"/>
      <c r="J498" s="1187"/>
      <c r="K498" s="1258"/>
      <c r="L498" s="1165"/>
      <c r="M498" s="1236"/>
      <c r="N498" s="1199"/>
      <c r="O498" s="1199"/>
      <c r="P498" s="1201"/>
      <c r="Q498" s="1199"/>
      <c r="R498" s="1200"/>
      <c r="S498" s="1210"/>
    </row>
    <row r="499" spans="1:19">
      <c r="A499" s="1179"/>
      <c r="B499" s="1163"/>
      <c r="C499" s="1172"/>
      <c r="D499" s="1178"/>
      <c r="E499" s="1175"/>
      <c r="F499" s="1176"/>
      <c r="G499" s="1174"/>
      <c r="H499" s="1161"/>
      <c r="I499" s="1177"/>
      <c r="J499" s="1187"/>
      <c r="K499" s="1258"/>
      <c r="L499" s="1165"/>
      <c r="M499" s="1236"/>
      <c r="N499" s="1199"/>
      <c r="O499" s="1199"/>
      <c r="P499" s="1201"/>
      <c r="Q499" s="1199"/>
      <c r="R499" s="1200"/>
      <c r="S499" s="1210"/>
    </row>
    <row r="500" spans="1:19">
      <c r="A500" s="1179"/>
      <c r="B500" s="1163"/>
      <c r="C500" s="1172"/>
      <c r="D500" s="1178"/>
      <c r="E500" s="1175"/>
      <c r="F500" s="1176"/>
      <c r="G500" s="1174"/>
      <c r="H500" s="1161"/>
      <c r="I500" s="1177"/>
      <c r="J500" s="1187"/>
      <c r="K500" s="1258"/>
      <c r="L500" s="1259"/>
      <c r="M500" s="1260"/>
      <c r="N500" s="1199"/>
      <c r="O500" s="1199"/>
      <c r="P500" s="1201"/>
      <c r="Q500" s="1199"/>
      <c r="R500" s="1200"/>
      <c r="S500" s="1210"/>
    </row>
    <row r="501" spans="1:19">
      <c r="A501" s="1179"/>
      <c r="B501" s="1163"/>
      <c r="C501" s="1172"/>
      <c r="D501" s="1178"/>
      <c r="E501" s="1175"/>
      <c r="F501" s="1176"/>
      <c r="G501" s="1174"/>
      <c r="H501" s="1161"/>
      <c r="I501" s="1177"/>
      <c r="J501" s="1187"/>
      <c r="K501" s="1258"/>
      <c r="L501" s="1259"/>
      <c r="M501" s="1260"/>
      <c r="N501" s="1199"/>
      <c r="O501" s="1199"/>
      <c r="P501" s="1201"/>
      <c r="Q501" s="1199"/>
      <c r="R501" s="1200"/>
      <c r="S501" s="1284"/>
    </row>
    <row r="502" spans="1:19">
      <c r="A502" s="1179"/>
      <c r="B502" s="1163"/>
      <c r="C502" s="1172"/>
      <c r="D502" s="1178"/>
      <c r="E502" s="1175"/>
      <c r="F502" s="1176"/>
      <c r="G502" s="1174"/>
      <c r="H502" s="1161"/>
      <c r="I502" s="1177"/>
      <c r="J502" s="1187"/>
      <c r="K502" s="1258"/>
      <c r="L502" s="1259"/>
      <c r="M502" s="1260"/>
      <c r="N502" s="1199"/>
      <c r="O502" s="1199"/>
      <c r="P502" s="1201"/>
      <c r="Q502" s="1199"/>
      <c r="R502" s="1200"/>
      <c r="S502" s="1210"/>
    </row>
    <row r="503" spans="1:19">
      <c r="A503" s="1179"/>
      <c r="B503" s="1163"/>
      <c r="C503" s="1172"/>
      <c r="D503" s="1178"/>
      <c r="E503" s="1175"/>
      <c r="F503" s="1176"/>
      <c r="G503" s="1174"/>
      <c r="H503" s="1161"/>
      <c r="I503" s="1177"/>
      <c r="J503" s="1187"/>
      <c r="K503" s="1203"/>
      <c r="L503" s="1198"/>
      <c r="M503" s="1192"/>
      <c r="N503" s="1197"/>
      <c r="O503" s="1182"/>
      <c r="P503" s="1182"/>
      <c r="Q503" s="1183"/>
      <c r="R503" s="1182"/>
      <c r="S503" s="1210"/>
    </row>
    <row r="504" spans="1:19">
      <c r="A504" s="1240"/>
      <c r="B504" s="1241"/>
      <c r="C504" s="1242"/>
      <c r="D504" s="1243"/>
      <c r="E504" s="1244"/>
      <c r="F504" s="1245"/>
      <c r="G504" s="1246"/>
      <c r="H504" s="1167"/>
      <c r="I504" s="1247"/>
      <c r="J504" s="1188"/>
      <c r="K504" s="1193"/>
      <c r="L504" s="1194"/>
      <c r="M504" s="1195"/>
      <c r="N504" s="1195"/>
      <c r="O504" s="1195"/>
      <c r="P504" s="1195"/>
      <c r="Q504" s="1196"/>
      <c r="R504" s="1195"/>
      <c r="S504" s="1209"/>
    </row>
    <row r="505" spans="1:19">
      <c r="A505" s="1164"/>
      <c r="B505" s="1165"/>
      <c r="C505" s="1167"/>
      <c r="D505" s="1167"/>
      <c r="E505" s="1167"/>
      <c r="F505" s="1166"/>
      <c r="G505" s="1168"/>
      <c r="H505" s="1167"/>
      <c r="I505" s="1169"/>
      <c r="J505" s="1190"/>
      <c r="K505" s="1204"/>
      <c r="L505" s="1208"/>
      <c r="M505" s="1207"/>
      <c r="N505" s="1204"/>
      <c r="O505" s="1204"/>
      <c r="P505" s="1204"/>
      <c r="Q505" s="1204"/>
      <c r="R505" s="1204"/>
      <c r="S505" s="1211"/>
    </row>
    <row r="506" spans="1:19">
      <c r="A506" s="1164"/>
      <c r="B506" s="1165"/>
      <c r="C506" s="1167"/>
      <c r="D506" s="1167"/>
      <c r="E506" s="1167"/>
      <c r="F506" s="1166"/>
      <c r="G506" s="1168"/>
      <c r="H506" s="1167"/>
      <c r="I506" s="1169"/>
      <c r="J506" s="1190"/>
      <c r="K506" s="1238"/>
      <c r="L506" s="1206"/>
      <c r="M506" s="1238"/>
      <c r="N506" s="1204"/>
      <c r="O506" s="1204"/>
      <c r="P506" s="1204"/>
      <c r="Q506" s="1204"/>
      <c r="R506" s="1204"/>
      <c r="S506" s="1211"/>
    </row>
    <row r="507" spans="1:19">
      <c r="A507" s="1164"/>
      <c r="B507" s="1165"/>
      <c r="C507" s="1167"/>
      <c r="D507" s="1167"/>
      <c r="E507" s="1167"/>
      <c r="F507" s="1166"/>
      <c r="G507" s="1168"/>
      <c r="H507" s="1167"/>
      <c r="I507" s="1169"/>
      <c r="J507" s="1190"/>
      <c r="K507" s="1208"/>
      <c r="L507" s="1205"/>
      <c r="M507" s="1208"/>
      <c r="N507" s="1199"/>
      <c r="O507" s="1204"/>
      <c r="P507" s="1204"/>
      <c r="Q507" s="1204"/>
      <c r="R507" s="1200"/>
      <c r="S507" s="1211"/>
    </row>
    <row r="508" spans="1:19">
      <c r="A508" s="1164"/>
      <c r="B508" s="1165"/>
      <c r="C508" s="1167"/>
      <c r="D508" s="1167"/>
      <c r="E508" s="1167"/>
      <c r="F508" s="1166"/>
      <c r="G508" s="1168"/>
      <c r="H508" s="1167"/>
      <c r="I508" s="1169"/>
      <c r="J508" s="1190"/>
      <c r="K508" s="1208"/>
      <c r="L508" s="1205"/>
      <c r="M508" s="1208"/>
      <c r="N508" s="1199"/>
      <c r="O508" s="1204"/>
      <c r="P508" s="1204"/>
      <c r="Q508" s="1204"/>
      <c r="R508" s="1200"/>
      <c r="S508" s="1211"/>
    </row>
    <row r="509" spans="1:19">
      <c r="A509" s="1164"/>
      <c r="B509" s="1165"/>
      <c r="C509" s="1167"/>
      <c r="D509" s="1167"/>
      <c r="E509" s="1167"/>
      <c r="F509" s="1166"/>
      <c r="G509" s="1168"/>
      <c r="H509" s="1167"/>
      <c r="I509" s="1169"/>
      <c r="J509" s="1190"/>
      <c r="K509" s="1238"/>
      <c r="L509" s="1206"/>
      <c r="M509" s="1238"/>
      <c r="N509" s="1204"/>
      <c r="O509" s="1204"/>
      <c r="P509" s="1204"/>
      <c r="Q509" s="1204"/>
      <c r="R509" s="1204"/>
      <c r="S509" s="1211"/>
    </row>
    <row r="510" spans="1:19" s="1158" customFormat="1">
      <c r="A510" s="1164"/>
      <c r="B510" s="1165"/>
      <c r="C510" s="1167"/>
      <c r="D510" s="1167"/>
      <c r="E510" s="1167"/>
      <c r="F510" s="1166"/>
      <c r="G510" s="1168"/>
      <c r="H510" s="1167"/>
      <c r="I510" s="1248"/>
      <c r="J510" s="1190"/>
      <c r="K510" s="1208"/>
      <c r="L510" s="1205"/>
      <c r="M510" s="1208"/>
      <c r="N510" s="1199"/>
      <c r="O510" s="1199"/>
      <c r="P510" s="1201"/>
      <c r="Q510" s="1199"/>
      <c r="R510" s="1200"/>
      <c r="S510" s="1249"/>
    </row>
    <row r="511" spans="1:19" s="1158" customFormat="1">
      <c r="A511" s="1164"/>
      <c r="B511" s="1165"/>
      <c r="C511" s="1167"/>
      <c r="D511" s="1167"/>
      <c r="E511" s="1167"/>
      <c r="F511" s="1166"/>
      <c r="G511" s="1168"/>
      <c r="H511" s="1167"/>
      <c r="I511" s="1248"/>
      <c r="J511" s="1190"/>
      <c r="K511" s="1208"/>
      <c r="L511" s="1205"/>
      <c r="M511" s="1208"/>
      <c r="N511" s="1199"/>
      <c r="O511" s="1199"/>
      <c r="P511" s="1201"/>
      <c r="Q511" s="1199"/>
      <c r="R511" s="1200"/>
      <c r="S511" s="1249"/>
    </row>
    <row r="512" spans="1:19" s="1158" customFormat="1">
      <c r="A512" s="1164"/>
      <c r="B512" s="1165"/>
      <c r="C512" s="1167"/>
      <c r="D512" s="1167"/>
      <c r="E512" s="1167"/>
      <c r="F512" s="1166"/>
      <c r="G512" s="1168"/>
      <c r="H512" s="1167"/>
      <c r="I512" s="1248"/>
      <c r="J512" s="1190"/>
      <c r="K512" s="1208"/>
      <c r="L512" s="1205"/>
      <c r="M512" s="1208"/>
      <c r="N512" s="1199"/>
      <c r="O512" s="1199"/>
      <c r="P512" s="1201"/>
      <c r="Q512" s="1199"/>
      <c r="R512" s="1200"/>
      <c r="S512" s="1249"/>
    </row>
    <row r="513" spans="1:19" s="1158" customFormat="1">
      <c r="A513" s="1164"/>
      <c r="B513" s="1165"/>
      <c r="C513" s="1167"/>
      <c r="D513" s="1167"/>
      <c r="E513" s="1167"/>
      <c r="F513" s="1166"/>
      <c r="G513" s="1168"/>
      <c r="H513" s="1167"/>
      <c r="I513" s="1248"/>
      <c r="J513" s="1190"/>
      <c r="K513" s="1208"/>
      <c r="L513" s="1205"/>
      <c r="M513" s="1208"/>
      <c r="N513" s="1199"/>
      <c r="O513" s="1199"/>
      <c r="P513" s="1201"/>
      <c r="Q513" s="1199"/>
      <c r="R513" s="1200"/>
      <c r="S513" s="1249"/>
    </row>
    <row r="514" spans="1:19" s="1158" customFormat="1">
      <c r="A514" s="1164"/>
      <c r="B514" s="1165"/>
      <c r="C514" s="1167"/>
      <c r="D514" s="1167"/>
      <c r="E514" s="1167"/>
      <c r="F514" s="1166"/>
      <c r="G514" s="1168"/>
      <c r="H514" s="1167"/>
      <c r="I514" s="1248"/>
      <c r="J514" s="1190"/>
      <c r="K514" s="1208"/>
      <c r="L514" s="1205"/>
      <c r="M514" s="1208"/>
      <c r="N514" s="1199"/>
      <c r="O514" s="1199"/>
      <c r="P514" s="1201"/>
      <c r="Q514" s="1199"/>
      <c r="R514" s="1200"/>
      <c r="S514" s="1249"/>
    </row>
    <row r="515" spans="1:19" s="1158" customFormat="1">
      <c r="A515" s="1164"/>
      <c r="B515" s="1165"/>
      <c r="C515" s="1167"/>
      <c r="D515" s="1167"/>
      <c r="E515" s="1167"/>
      <c r="F515" s="1166"/>
      <c r="G515" s="1168"/>
      <c r="H515" s="1167"/>
      <c r="I515" s="1248"/>
      <c r="J515" s="1190"/>
      <c r="K515" s="1208"/>
      <c r="L515" s="1205"/>
      <c r="M515" s="1208"/>
      <c r="N515" s="1199"/>
      <c r="O515" s="1199"/>
      <c r="P515" s="1201"/>
      <c r="Q515" s="1199"/>
      <c r="R515" s="1200"/>
      <c r="S515" s="1249"/>
    </row>
    <row r="516" spans="1:19" s="1158" customFormat="1">
      <c r="A516" s="1164"/>
      <c r="B516" s="1165"/>
      <c r="C516" s="1167"/>
      <c r="D516" s="1167"/>
      <c r="E516" s="1167"/>
      <c r="F516" s="1166"/>
      <c r="G516" s="1168"/>
      <c r="H516" s="1167"/>
      <c r="I516" s="1248"/>
      <c r="J516" s="1190"/>
      <c r="K516" s="1208"/>
      <c r="L516" s="1205"/>
      <c r="M516" s="1208"/>
      <c r="N516" s="1199"/>
      <c r="O516" s="1199"/>
      <c r="P516" s="1201"/>
      <c r="Q516" s="1199"/>
      <c r="R516" s="1200"/>
      <c r="S516" s="1249"/>
    </row>
    <row r="517" spans="1:19" s="1158" customFormat="1">
      <c r="A517" s="1164"/>
      <c r="B517" s="1165"/>
      <c r="C517" s="1167"/>
      <c r="D517" s="1167"/>
      <c r="E517" s="1167"/>
      <c r="F517" s="1166"/>
      <c r="G517" s="1168"/>
      <c r="H517" s="1167"/>
      <c r="I517" s="1248"/>
      <c r="J517" s="1190"/>
      <c r="K517" s="1208"/>
      <c r="L517" s="1205"/>
      <c r="M517" s="1208"/>
      <c r="N517" s="1199"/>
      <c r="O517" s="1199"/>
      <c r="P517" s="1201"/>
      <c r="Q517" s="1199"/>
      <c r="R517" s="1200"/>
      <c r="S517" s="1249"/>
    </row>
    <row r="518" spans="1:19" s="1158" customFormat="1">
      <c r="A518" s="1164"/>
      <c r="B518" s="1165"/>
      <c r="C518" s="1167"/>
      <c r="D518" s="1167"/>
      <c r="E518" s="1167"/>
      <c r="F518" s="1166"/>
      <c r="G518" s="1168"/>
      <c r="H518" s="1167"/>
      <c r="I518" s="1248"/>
      <c r="J518" s="1190"/>
      <c r="K518" s="1208"/>
      <c r="L518" s="1205"/>
      <c r="M518" s="1208"/>
      <c r="N518" s="1199"/>
      <c r="O518" s="1199"/>
      <c r="P518" s="1201"/>
      <c r="Q518" s="1199"/>
      <c r="R518" s="1200"/>
      <c r="S518" s="1249"/>
    </row>
    <row r="519" spans="1:19" s="1158" customFormat="1">
      <c r="A519" s="1164"/>
      <c r="B519" s="1165"/>
      <c r="C519" s="1167"/>
      <c r="D519" s="1167"/>
      <c r="E519" s="1167"/>
      <c r="F519" s="1166"/>
      <c r="G519" s="1168"/>
      <c r="H519" s="1167"/>
      <c r="I519" s="1248"/>
      <c r="J519" s="1190"/>
      <c r="K519" s="1208"/>
      <c r="L519" s="1205"/>
      <c r="M519" s="1208"/>
      <c r="N519" s="1199"/>
      <c r="O519" s="1199"/>
      <c r="P519" s="1201"/>
      <c r="Q519" s="1199"/>
      <c r="R519" s="1200"/>
      <c r="S519" s="1249"/>
    </row>
    <row r="520" spans="1:19" s="1158" customFormat="1">
      <c r="A520" s="1164"/>
      <c r="B520" s="1165"/>
      <c r="C520" s="1167"/>
      <c r="D520" s="1167"/>
      <c r="E520" s="1167"/>
      <c r="F520" s="1166"/>
      <c r="G520" s="1168"/>
      <c r="H520" s="1167"/>
      <c r="I520" s="1248"/>
      <c r="J520" s="1190"/>
      <c r="K520" s="1208"/>
      <c r="L520" s="1205"/>
      <c r="M520" s="1208"/>
      <c r="N520" s="1199"/>
      <c r="O520" s="1199"/>
      <c r="P520" s="1201"/>
      <c r="Q520" s="1199"/>
      <c r="R520" s="1200"/>
      <c r="S520" s="1256"/>
    </row>
    <row r="521" spans="1:19" s="1158" customFormat="1">
      <c r="A521" s="1164"/>
      <c r="B521" s="1165"/>
      <c r="C521" s="1167"/>
      <c r="D521" s="1167"/>
      <c r="E521" s="1167"/>
      <c r="F521" s="1166"/>
      <c r="G521" s="1168"/>
      <c r="H521" s="1167"/>
      <c r="I521" s="1248"/>
      <c r="J521" s="1190"/>
      <c r="K521" s="1208"/>
      <c r="L521" s="1205"/>
      <c r="M521" s="1208"/>
      <c r="N521" s="1199"/>
      <c r="O521" s="1199"/>
      <c r="P521" s="1201"/>
      <c r="Q521" s="1199"/>
      <c r="R521" s="1200"/>
      <c r="S521" s="1249"/>
    </row>
    <row r="522" spans="1:19" s="1158" customFormat="1">
      <c r="A522" s="1164"/>
      <c r="B522" s="1165"/>
      <c r="C522" s="1167"/>
      <c r="D522" s="1167"/>
      <c r="E522" s="1167"/>
      <c r="F522" s="1166"/>
      <c r="G522" s="1168"/>
      <c r="H522" s="1167"/>
      <c r="I522" s="1248"/>
      <c r="J522" s="1190"/>
      <c r="K522" s="1208"/>
      <c r="L522" s="1205"/>
      <c r="M522" s="1208"/>
      <c r="N522" s="1199"/>
      <c r="O522" s="1199"/>
      <c r="P522" s="1201"/>
      <c r="Q522" s="1199"/>
      <c r="R522" s="1200"/>
      <c r="S522" s="1249"/>
    </row>
    <row r="523" spans="1:19" s="1158" customFormat="1">
      <c r="A523" s="1164"/>
      <c r="B523" s="1165"/>
      <c r="C523" s="1167"/>
      <c r="D523" s="1167"/>
      <c r="E523" s="1167"/>
      <c r="F523" s="1166"/>
      <c r="G523" s="1168"/>
      <c r="H523" s="1167"/>
      <c r="I523" s="1248"/>
      <c r="J523" s="1190"/>
      <c r="K523" s="1208"/>
      <c r="L523" s="1205"/>
      <c r="M523" s="1208"/>
      <c r="N523" s="1199"/>
      <c r="O523" s="1199"/>
      <c r="P523" s="1201"/>
      <c r="Q523" s="1199"/>
      <c r="R523" s="1200"/>
      <c r="S523" s="1249"/>
    </row>
    <row r="524" spans="1:19" s="1158" customFormat="1">
      <c r="A524" s="1164"/>
      <c r="B524" s="1165"/>
      <c r="C524" s="1167"/>
      <c r="D524" s="1167"/>
      <c r="E524" s="1167"/>
      <c r="F524" s="1166"/>
      <c r="G524" s="1168"/>
      <c r="H524" s="1167"/>
      <c r="I524" s="1248"/>
      <c r="J524" s="1190"/>
      <c r="K524" s="1208"/>
      <c r="L524" s="1205"/>
      <c r="M524" s="1208"/>
      <c r="N524" s="1199"/>
      <c r="O524" s="1199"/>
      <c r="P524" s="1201"/>
      <c r="Q524" s="1199"/>
      <c r="R524" s="1200"/>
      <c r="S524" s="1249"/>
    </row>
    <row r="525" spans="1:19">
      <c r="A525" s="1164"/>
      <c r="B525" s="1165"/>
      <c r="C525" s="1167"/>
      <c r="D525" s="1167"/>
      <c r="E525" s="1167"/>
      <c r="F525" s="1166"/>
      <c r="G525" s="1168"/>
      <c r="H525" s="1167"/>
      <c r="I525" s="1169"/>
      <c r="J525" s="1190"/>
      <c r="K525" s="1204"/>
      <c r="L525" s="1208"/>
      <c r="M525" s="1207"/>
      <c r="N525" s="1204"/>
      <c r="O525" s="1204"/>
      <c r="P525" s="1204"/>
      <c r="Q525" s="1204"/>
      <c r="R525" s="1204"/>
      <c r="S525" s="1211"/>
    </row>
    <row r="526" spans="1:19">
      <c r="A526" s="1164"/>
      <c r="B526" s="1165"/>
      <c r="C526" s="1167"/>
      <c r="D526" s="1167"/>
      <c r="E526" s="1167"/>
      <c r="F526" s="1166"/>
      <c r="G526" s="1168"/>
      <c r="H526" s="1167"/>
      <c r="I526" s="1169"/>
      <c r="J526" s="1190"/>
      <c r="K526" s="1193"/>
      <c r="L526" s="1194"/>
      <c r="M526" s="1195"/>
      <c r="N526" s="1195"/>
      <c r="O526" s="1195"/>
      <c r="P526" s="1195"/>
      <c r="Q526" s="1196"/>
      <c r="R526" s="1195"/>
      <c r="S526" s="1209"/>
    </row>
    <row r="527" spans="1:19">
      <c r="A527" s="1164"/>
      <c r="B527" s="1165"/>
      <c r="C527" s="1167"/>
      <c r="D527" s="1167"/>
      <c r="E527" s="1167"/>
      <c r="F527" s="1166"/>
      <c r="G527" s="1168"/>
      <c r="H527" s="1167"/>
      <c r="I527" s="1169"/>
      <c r="J527" s="1190"/>
      <c r="K527" s="1238"/>
      <c r="L527" s="1206"/>
      <c r="M527" s="1238"/>
      <c r="N527" s="1204"/>
      <c r="O527" s="1204"/>
      <c r="P527" s="1204"/>
      <c r="Q527" s="1204"/>
      <c r="R527" s="1204"/>
      <c r="S527" s="1211"/>
    </row>
    <row r="528" spans="1:19">
      <c r="A528" s="1164"/>
      <c r="B528" s="1165"/>
      <c r="C528" s="1167"/>
      <c r="D528" s="1167"/>
      <c r="E528" s="1167"/>
      <c r="F528" s="1166"/>
      <c r="G528" s="1168"/>
      <c r="H528" s="1167"/>
      <c r="I528" s="1169"/>
      <c r="J528" s="1190"/>
      <c r="K528" s="1204"/>
      <c r="L528" s="1208"/>
      <c r="M528" s="1207"/>
      <c r="N528" s="1199"/>
      <c r="O528" s="1199"/>
      <c r="P528" s="1201"/>
      <c r="Q528" s="1199"/>
      <c r="R528" s="1200"/>
      <c r="S528" s="1211"/>
    </row>
    <row r="529" spans="1:19">
      <c r="A529" s="1164"/>
      <c r="B529" s="1165"/>
      <c r="C529" s="1167"/>
      <c r="D529" s="1167"/>
      <c r="E529" s="1167"/>
      <c r="F529" s="1166"/>
      <c r="G529" s="1168"/>
      <c r="H529" s="1167"/>
      <c r="I529" s="1169"/>
      <c r="J529" s="1190"/>
      <c r="K529" s="1204"/>
      <c r="L529" s="1208"/>
      <c r="M529" s="1207"/>
      <c r="N529" s="1199"/>
      <c r="O529" s="1199"/>
      <c r="P529" s="1201"/>
      <c r="Q529" s="1199"/>
      <c r="R529" s="1200"/>
      <c r="S529" s="1211"/>
    </row>
    <row r="530" spans="1:19">
      <c r="A530" s="1164"/>
      <c r="B530" s="1165"/>
      <c r="C530" s="1167"/>
      <c r="D530" s="1167"/>
      <c r="E530" s="1167"/>
      <c r="F530" s="1166"/>
      <c r="G530" s="1168"/>
      <c r="H530" s="1167"/>
      <c r="I530" s="1169"/>
      <c r="J530" s="1190"/>
      <c r="K530" s="1204"/>
      <c r="L530" s="1208"/>
      <c r="M530" s="1207"/>
      <c r="N530" s="1199"/>
      <c r="O530" s="1199"/>
      <c r="P530" s="1201"/>
      <c r="Q530" s="1199"/>
      <c r="R530" s="1200"/>
      <c r="S530" s="1211"/>
    </row>
    <row r="531" spans="1:19">
      <c r="A531" s="1164"/>
      <c r="B531" s="1165"/>
      <c r="C531" s="1167"/>
      <c r="D531" s="1167"/>
      <c r="E531" s="1167"/>
      <c r="F531" s="1166"/>
      <c r="G531" s="1168"/>
      <c r="H531" s="1167"/>
      <c r="I531" s="1169"/>
      <c r="J531" s="1190"/>
      <c r="K531" s="1204"/>
      <c r="L531" s="1208"/>
      <c r="M531" s="1207"/>
      <c r="N531" s="1199"/>
      <c r="O531" s="1199"/>
      <c r="P531" s="1201"/>
      <c r="Q531" s="1199"/>
      <c r="R531" s="1200"/>
      <c r="S531" s="1211"/>
    </row>
    <row r="532" spans="1:19">
      <c r="A532" s="1164"/>
      <c r="B532" s="1165"/>
      <c r="C532" s="1167"/>
      <c r="D532" s="1167"/>
      <c r="E532" s="1167"/>
      <c r="F532" s="1166"/>
      <c r="G532" s="1168"/>
      <c r="H532" s="1167"/>
      <c r="I532" s="1169"/>
      <c r="J532" s="1190"/>
      <c r="K532" s="1204"/>
      <c r="L532" s="1208"/>
      <c r="M532" s="1207"/>
      <c r="N532" s="1199"/>
      <c r="O532" s="1199"/>
      <c r="P532" s="1201"/>
      <c r="Q532" s="1199"/>
      <c r="R532" s="1200"/>
      <c r="S532" s="1211"/>
    </row>
    <row r="533" spans="1:19">
      <c r="A533" s="1164"/>
      <c r="B533" s="1165"/>
      <c r="C533" s="1167"/>
      <c r="D533" s="1167"/>
      <c r="E533" s="1167"/>
      <c r="F533" s="1166"/>
      <c r="G533" s="1168"/>
      <c r="H533" s="1167"/>
      <c r="I533" s="1169"/>
      <c r="J533" s="1190"/>
      <c r="K533" s="1204"/>
      <c r="L533" s="1204"/>
      <c r="M533" s="1207"/>
      <c r="N533" s="1199"/>
      <c r="O533" s="1199"/>
      <c r="P533" s="1201"/>
      <c r="Q533" s="1199"/>
      <c r="R533" s="1200"/>
      <c r="S533" s="1211"/>
    </row>
    <row r="534" spans="1:19">
      <c r="A534" s="1164"/>
      <c r="B534" s="1165"/>
      <c r="C534" s="1167"/>
      <c r="D534" s="1167"/>
      <c r="E534" s="1167"/>
      <c r="F534" s="1166"/>
      <c r="G534" s="1168"/>
      <c r="H534" s="1167"/>
      <c r="I534" s="1169"/>
      <c r="J534" s="1190"/>
      <c r="K534" s="1238"/>
      <c r="L534" s="1206"/>
      <c r="M534" s="1238"/>
      <c r="N534" s="1199"/>
      <c r="O534" s="1199"/>
      <c r="P534" s="1201"/>
      <c r="Q534" s="1199"/>
      <c r="R534" s="1200"/>
      <c r="S534" s="1239"/>
    </row>
    <row r="535" spans="1:19">
      <c r="A535" s="1164"/>
      <c r="B535" s="1165"/>
      <c r="C535" s="1167"/>
      <c r="D535" s="1167"/>
      <c r="E535" s="1167"/>
      <c r="F535" s="1166"/>
      <c r="G535" s="1168"/>
      <c r="H535" s="1167"/>
      <c r="I535" s="1169"/>
      <c r="J535" s="1190"/>
      <c r="K535" s="1204"/>
      <c r="L535" s="1208"/>
      <c r="M535" s="1207"/>
      <c r="N535" s="1199"/>
      <c r="O535" s="1199"/>
      <c r="P535" s="1201"/>
      <c r="Q535" s="1199"/>
      <c r="R535" s="1200"/>
      <c r="S535" s="1211"/>
    </row>
    <row r="536" spans="1:19">
      <c r="A536" s="1164"/>
      <c r="B536" s="1165"/>
      <c r="C536" s="1167"/>
      <c r="D536" s="1167"/>
      <c r="E536" s="1167"/>
      <c r="F536" s="1166"/>
      <c r="G536" s="1168"/>
      <c r="H536" s="1167"/>
      <c r="I536" s="1169"/>
      <c r="J536" s="1190"/>
      <c r="K536" s="1204"/>
      <c r="L536" s="1208"/>
      <c r="M536" s="1207"/>
      <c r="N536" s="1199"/>
      <c r="O536" s="1199"/>
      <c r="P536" s="1201"/>
      <c r="Q536" s="1199"/>
      <c r="R536" s="1200"/>
      <c r="S536" s="1211"/>
    </row>
    <row r="537" spans="1:19">
      <c r="A537" s="1164"/>
      <c r="B537" s="1165"/>
      <c r="C537" s="1167"/>
      <c r="D537" s="1167"/>
      <c r="E537" s="1167"/>
      <c r="F537" s="1166"/>
      <c r="G537" s="1168"/>
      <c r="H537" s="1167"/>
      <c r="I537" s="1169"/>
      <c r="J537" s="1190"/>
      <c r="K537" s="1204"/>
      <c r="L537" s="1204"/>
      <c r="M537" s="1207"/>
      <c r="N537" s="1199"/>
      <c r="O537" s="1199"/>
      <c r="P537" s="1201"/>
      <c r="Q537" s="1199"/>
      <c r="R537" s="1200"/>
      <c r="S537" s="1211"/>
    </row>
    <row r="538" spans="1:19">
      <c r="A538" s="1164"/>
      <c r="B538" s="1165"/>
      <c r="C538" s="1167"/>
      <c r="D538" s="1167"/>
      <c r="E538" s="1167"/>
      <c r="F538" s="1166"/>
      <c r="G538" s="1168"/>
      <c r="H538" s="1167"/>
      <c r="I538" s="1169"/>
      <c r="J538" s="1190"/>
      <c r="K538" s="1238"/>
      <c r="L538" s="1206"/>
      <c r="M538" s="1238"/>
      <c r="N538" s="1199"/>
      <c r="O538" s="1199"/>
      <c r="P538" s="1201"/>
      <c r="Q538" s="1199"/>
      <c r="R538" s="1200"/>
      <c r="S538" s="1239"/>
    </row>
    <row r="539" spans="1:19">
      <c r="A539" s="1164"/>
      <c r="B539" s="1165"/>
      <c r="C539" s="1167"/>
      <c r="D539" s="1167"/>
      <c r="E539" s="1167"/>
      <c r="F539" s="1166"/>
      <c r="G539" s="1168"/>
      <c r="H539" s="1167"/>
      <c r="I539" s="1169"/>
      <c r="J539" s="1190"/>
      <c r="K539" s="1204"/>
      <c r="L539" s="1208"/>
      <c r="M539" s="1207"/>
      <c r="N539" s="1199"/>
      <c r="O539" s="1199"/>
      <c r="P539" s="1201"/>
      <c r="Q539" s="1199"/>
      <c r="R539" s="1200"/>
      <c r="S539" s="1211"/>
    </row>
    <row r="540" spans="1:19">
      <c r="A540" s="1164"/>
      <c r="B540" s="1165"/>
      <c r="C540" s="1167"/>
      <c r="D540" s="1167"/>
      <c r="E540" s="1167"/>
      <c r="F540" s="1166"/>
      <c r="G540" s="1168"/>
      <c r="H540" s="1167"/>
      <c r="I540" s="1169"/>
      <c r="J540" s="1190"/>
      <c r="K540" s="1204"/>
      <c r="L540" s="1208"/>
      <c r="M540" s="1207"/>
      <c r="N540" s="1199"/>
      <c r="O540" s="1199"/>
      <c r="P540" s="1201"/>
      <c r="Q540" s="1199"/>
      <c r="R540" s="1200"/>
      <c r="S540" s="1211"/>
    </row>
    <row r="541" spans="1:19">
      <c r="A541" s="1164"/>
      <c r="B541" s="1165"/>
      <c r="C541" s="1167"/>
      <c r="D541" s="1167"/>
      <c r="E541" s="1167"/>
      <c r="F541" s="1166"/>
      <c r="G541" s="1168"/>
      <c r="H541" s="1167"/>
      <c r="I541" s="1169"/>
      <c r="J541" s="1190"/>
      <c r="K541" s="1204"/>
      <c r="L541" s="1208"/>
      <c r="M541" s="1207"/>
      <c r="N541" s="1199"/>
      <c r="O541" s="1199"/>
      <c r="P541" s="1201"/>
      <c r="Q541" s="1199"/>
      <c r="R541" s="1200"/>
      <c r="S541" s="1211"/>
    </row>
    <row r="542" spans="1:19">
      <c r="A542" s="1164"/>
      <c r="B542" s="1165"/>
      <c r="C542" s="1167"/>
      <c r="D542" s="1167"/>
      <c r="E542" s="1167"/>
      <c r="F542" s="1166"/>
      <c r="G542" s="1168"/>
      <c r="H542" s="1167"/>
      <c r="I542" s="1169"/>
      <c r="J542" s="1190"/>
      <c r="K542" s="1204"/>
      <c r="L542" s="1204"/>
      <c r="M542" s="1207"/>
      <c r="N542" s="1204"/>
      <c r="O542" s="1204"/>
      <c r="P542" s="1204"/>
      <c r="Q542" s="1204"/>
      <c r="R542" s="1204"/>
      <c r="S542" s="1211"/>
    </row>
    <row r="543" spans="1:19">
      <c r="A543" s="1164"/>
      <c r="B543" s="1165"/>
      <c r="C543" s="1167"/>
      <c r="D543" s="1167"/>
      <c r="E543" s="1167"/>
      <c r="F543" s="1166"/>
      <c r="G543" s="1168"/>
      <c r="H543" s="1167"/>
      <c r="I543" s="1169"/>
      <c r="J543" s="1190"/>
      <c r="K543" s="1238"/>
      <c r="L543" s="1206"/>
      <c r="M543" s="1238"/>
      <c r="N543" s="1204"/>
      <c r="O543" s="1204"/>
      <c r="P543" s="1204"/>
      <c r="Q543" s="1204"/>
      <c r="R543" s="1204"/>
      <c r="S543" s="1211"/>
    </row>
    <row r="544" spans="1:19">
      <c r="A544" s="1164"/>
      <c r="B544" s="1165"/>
      <c r="C544" s="1167"/>
      <c r="D544" s="1167"/>
      <c r="E544" s="1167"/>
      <c r="F544" s="1166"/>
      <c r="G544" s="1168"/>
      <c r="H544" s="1167"/>
      <c r="I544" s="1169"/>
      <c r="J544" s="1190"/>
      <c r="K544" s="1238"/>
      <c r="L544" s="1206"/>
      <c r="M544" s="1238"/>
      <c r="N544" s="1204"/>
      <c r="O544" s="1204"/>
      <c r="P544" s="1204"/>
      <c r="Q544" s="1204"/>
      <c r="R544" s="1204"/>
      <c r="S544" s="1211"/>
    </row>
    <row r="545" spans="1:19">
      <c r="A545" s="1164"/>
      <c r="B545" s="1165"/>
      <c r="C545" s="1167"/>
      <c r="D545" s="1167"/>
      <c r="E545" s="1167"/>
      <c r="F545" s="1166"/>
      <c r="G545" s="1168"/>
      <c r="H545" s="1167"/>
      <c r="I545" s="1169"/>
      <c r="J545" s="1190"/>
      <c r="K545" s="1238"/>
      <c r="L545" s="1206"/>
      <c r="M545" s="1238"/>
      <c r="N545" s="1204"/>
      <c r="O545" s="1204"/>
      <c r="P545" s="1204"/>
      <c r="Q545" s="1204"/>
      <c r="R545" s="1204"/>
      <c r="S545" s="1239"/>
    </row>
    <row r="546" spans="1:19">
      <c r="A546" s="1164"/>
      <c r="B546" s="1165"/>
      <c r="C546" s="1167"/>
      <c r="D546" s="1167"/>
      <c r="E546" s="1167"/>
      <c r="F546" s="1166"/>
      <c r="G546" s="1168"/>
      <c r="H546" s="1167"/>
      <c r="I546" s="1169"/>
      <c r="J546" s="1190"/>
      <c r="K546" s="1238"/>
      <c r="L546" s="1205"/>
      <c r="M546" s="1238"/>
      <c r="N546" s="1199"/>
      <c r="O546" s="1199"/>
      <c r="P546" s="1201"/>
      <c r="Q546" s="1199"/>
      <c r="R546" s="1200"/>
      <c r="S546" s="1211"/>
    </row>
    <row r="547" spans="1:19">
      <c r="A547" s="1164"/>
      <c r="B547" s="1165"/>
      <c r="C547" s="1167"/>
      <c r="D547" s="1167"/>
      <c r="E547" s="1167"/>
      <c r="F547" s="1166"/>
      <c r="G547" s="1168"/>
      <c r="H547" s="1167"/>
      <c r="I547" s="1169"/>
      <c r="J547" s="1190"/>
      <c r="K547" s="1238"/>
      <c r="L547" s="1206"/>
      <c r="M547" s="1238"/>
      <c r="N547" s="1204"/>
      <c r="O547" s="1204"/>
      <c r="P547" s="1204"/>
      <c r="Q547" s="1204"/>
      <c r="R547" s="1204"/>
      <c r="S547" s="1211"/>
    </row>
    <row r="548" spans="1:19">
      <c r="A548" s="1164"/>
      <c r="B548" s="1165"/>
      <c r="C548" s="1167"/>
      <c r="D548" s="1167"/>
      <c r="E548" s="1167"/>
      <c r="F548" s="1166"/>
      <c r="G548" s="1168"/>
      <c r="H548" s="1167"/>
      <c r="I548" s="1169"/>
      <c r="J548" s="1190"/>
      <c r="K548" s="1238"/>
      <c r="L548" s="1206"/>
      <c r="M548" s="1238"/>
      <c r="N548" s="1204"/>
      <c r="O548" s="1204"/>
      <c r="P548" s="1204"/>
      <c r="Q548" s="1204"/>
      <c r="R548" s="1204"/>
      <c r="S548" s="1211"/>
    </row>
    <row r="549" spans="1:19">
      <c r="A549" s="1164"/>
      <c r="B549" s="1165"/>
      <c r="C549" s="1167"/>
      <c r="D549" s="1167"/>
      <c r="E549" s="1167"/>
      <c r="F549" s="1166"/>
      <c r="G549" s="1168"/>
      <c r="H549" s="1167"/>
      <c r="I549" s="1169"/>
      <c r="J549" s="1190"/>
      <c r="K549" s="1238"/>
      <c r="L549" s="1206"/>
      <c r="M549" s="1238"/>
      <c r="N549" s="1204"/>
      <c r="O549" s="1204"/>
      <c r="P549" s="1204"/>
      <c r="Q549" s="1204"/>
      <c r="R549" s="1204"/>
      <c r="S549" s="1239"/>
    </row>
    <row r="550" spans="1:19">
      <c r="A550" s="1164"/>
      <c r="B550" s="1165"/>
      <c r="C550" s="1167"/>
      <c r="D550" s="1167"/>
      <c r="E550" s="1167"/>
      <c r="F550" s="1166"/>
      <c r="G550" s="1168"/>
      <c r="H550" s="1167"/>
      <c r="I550" s="1169"/>
      <c r="J550" s="1190"/>
      <c r="K550" s="1204"/>
      <c r="L550" s="1205"/>
      <c r="M550" s="1207"/>
      <c r="N550" s="1204"/>
      <c r="O550" s="1204"/>
      <c r="P550" s="1204"/>
      <c r="Q550" s="1204"/>
      <c r="R550" s="1204"/>
      <c r="S550" s="1211"/>
    </row>
    <row r="551" spans="1:19">
      <c r="A551" s="1164"/>
      <c r="B551" s="1165"/>
      <c r="C551" s="1167"/>
      <c r="D551" s="1167"/>
      <c r="E551" s="1167"/>
      <c r="F551" s="1166"/>
      <c r="G551" s="1168"/>
      <c r="H551" s="1167"/>
      <c r="I551" s="1169"/>
      <c r="J551" s="1190"/>
      <c r="K551" s="1204"/>
      <c r="L551" s="1205"/>
      <c r="M551" s="1207"/>
      <c r="N551" s="1199"/>
      <c r="O551" s="1199"/>
      <c r="P551" s="1201"/>
      <c r="Q551" s="1199"/>
      <c r="R551" s="1200"/>
      <c r="S551" s="1211"/>
    </row>
    <row r="552" spans="1:19">
      <c r="A552" s="1164"/>
      <c r="B552" s="1165"/>
      <c r="C552" s="1167"/>
      <c r="D552" s="1167"/>
      <c r="E552" s="1167"/>
      <c r="F552" s="1166"/>
      <c r="G552" s="1168"/>
      <c r="H552" s="1167"/>
      <c r="I552" s="1169"/>
      <c r="J552" s="1190"/>
      <c r="K552" s="1204"/>
      <c r="L552" s="1205"/>
      <c r="M552" s="1207"/>
      <c r="N552" s="1199"/>
      <c r="O552" s="1199"/>
      <c r="P552" s="1201"/>
      <c r="Q552" s="1199"/>
      <c r="R552" s="1200"/>
      <c r="S552" s="1211"/>
    </row>
    <row r="553" spans="1:19">
      <c r="A553" s="1164"/>
      <c r="B553" s="1165"/>
      <c r="C553" s="1167"/>
      <c r="D553" s="1167"/>
      <c r="E553" s="1167"/>
      <c r="F553" s="1166"/>
      <c r="G553" s="1168"/>
      <c r="H553" s="1167"/>
      <c r="I553" s="1169"/>
      <c r="J553" s="1190"/>
      <c r="K553" s="1204"/>
      <c r="L553" s="1205"/>
      <c r="M553" s="1207"/>
      <c r="N553" s="1204"/>
      <c r="O553" s="1204"/>
      <c r="P553" s="1204"/>
      <c r="Q553" s="1204"/>
      <c r="R553" s="1204"/>
      <c r="S553" s="1211"/>
    </row>
    <row r="554" spans="1:19">
      <c r="A554" s="1164"/>
      <c r="B554" s="1165"/>
      <c r="C554" s="1167"/>
      <c r="D554" s="1167"/>
      <c r="E554" s="1167"/>
      <c r="F554" s="1166"/>
      <c r="G554" s="1168"/>
      <c r="H554" s="1167"/>
      <c r="I554" s="1169"/>
      <c r="J554" s="1190"/>
      <c r="K554" s="1204"/>
      <c r="L554" s="1204"/>
      <c r="M554" s="1207"/>
      <c r="N554" s="1199"/>
      <c r="O554" s="1199"/>
      <c r="P554" s="1201"/>
      <c r="Q554" s="1199"/>
      <c r="R554" s="1200"/>
      <c r="S554" s="1211"/>
    </row>
    <row r="555" spans="1:19">
      <c r="A555" s="1164"/>
      <c r="B555" s="1165"/>
      <c r="C555" s="1167"/>
      <c r="D555" s="1167"/>
      <c r="E555" s="1167"/>
      <c r="F555" s="1166"/>
      <c r="G555" s="1168"/>
      <c r="H555" s="1167"/>
      <c r="I555" s="1169"/>
      <c r="J555" s="1190"/>
      <c r="K555" s="1204"/>
      <c r="L555" s="1204"/>
      <c r="M555" s="1207"/>
      <c r="N555" s="1199"/>
      <c r="O555" s="1199"/>
      <c r="P555" s="1201"/>
      <c r="Q555" s="1199"/>
      <c r="R555" s="1200"/>
      <c r="S555" s="1211"/>
    </row>
    <row r="556" spans="1:19">
      <c r="A556" s="1164"/>
      <c r="B556" s="1165"/>
      <c r="C556" s="1167"/>
      <c r="D556" s="1167"/>
      <c r="E556" s="1167"/>
      <c r="F556" s="1166"/>
      <c r="G556" s="1168"/>
      <c r="H556" s="1167"/>
      <c r="I556" s="1169"/>
      <c r="J556" s="1190"/>
      <c r="K556" s="1204"/>
      <c r="L556" s="1206"/>
      <c r="M556" s="1285"/>
      <c r="N556" s="1199"/>
      <c r="O556" s="1199"/>
      <c r="P556" s="1201"/>
      <c r="Q556" s="1199"/>
      <c r="R556" s="1200"/>
      <c r="S556" s="1239"/>
    </row>
    <row r="557" spans="1:19">
      <c r="A557" s="1164"/>
      <c r="B557" s="1165"/>
      <c r="C557" s="1167"/>
      <c r="D557" s="1167"/>
      <c r="E557" s="1167"/>
      <c r="F557" s="1166"/>
      <c r="G557" s="1168"/>
      <c r="H557" s="1167"/>
      <c r="I557" s="1169"/>
      <c r="J557" s="1190"/>
      <c r="K557" s="1204"/>
      <c r="L557" s="1204"/>
      <c r="M557" s="1207"/>
      <c r="N557" s="1204"/>
      <c r="O557" s="1204"/>
      <c r="P557" s="1204"/>
      <c r="Q557" s="1204"/>
      <c r="R557" s="1204"/>
      <c r="S557" s="1211"/>
    </row>
    <row r="558" spans="1:19">
      <c r="A558" s="1164"/>
      <c r="B558" s="1165"/>
      <c r="C558" s="1167"/>
      <c r="D558" s="1167"/>
      <c r="E558" s="1167"/>
      <c r="F558" s="1166"/>
      <c r="G558" s="1168"/>
      <c r="H558" s="1167"/>
      <c r="I558" s="1169"/>
      <c r="J558" s="1190"/>
      <c r="K558" s="1238"/>
      <c r="L558" s="1206"/>
      <c r="M558" s="1238"/>
      <c r="N558" s="1204"/>
      <c r="O558" s="1204"/>
      <c r="P558" s="1204"/>
      <c r="Q558" s="1204"/>
      <c r="R558" s="1204"/>
      <c r="S558" s="1211"/>
    </row>
    <row r="559" spans="1:19">
      <c r="A559" s="1164"/>
      <c r="B559" s="1165"/>
      <c r="C559" s="1167"/>
      <c r="D559" s="1167"/>
      <c r="E559" s="1167"/>
      <c r="F559" s="1166"/>
      <c r="G559" s="1168"/>
      <c r="H559" s="1167"/>
      <c r="I559" s="1169"/>
      <c r="J559" s="1190"/>
      <c r="K559" s="1238"/>
      <c r="L559" s="1206"/>
      <c r="M559" s="1238"/>
      <c r="N559" s="1204"/>
      <c r="O559" s="1204"/>
      <c r="P559" s="1204"/>
      <c r="Q559" s="1204"/>
      <c r="R559" s="1204"/>
      <c r="S559" s="1211"/>
    </row>
    <row r="560" spans="1:19">
      <c r="A560" s="1164"/>
      <c r="B560" s="1165"/>
      <c r="C560" s="1167"/>
      <c r="D560" s="1167"/>
      <c r="E560" s="1167"/>
      <c r="F560" s="1166"/>
      <c r="G560" s="1168"/>
      <c r="H560" s="1167"/>
      <c r="I560" s="1169"/>
      <c r="J560" s="1190"/>
      <c r="K560" s="1238"/>
      <c r="L560" s="1205"/>
      <c r="M560" s="1238"/>
      <c r="N560" s="1204"/>
      <c r="O560" s="1204"/>
      <c r="P560" s="1204"/>
      <c r="Q560" s="1204"/>
      <c r="R560" s="1204"/>
      <c r="S560" s="1239"/>
    </row>
    <row r="561" spans="1:19">
      <c r="A561" s="1164"/>
      <c r="B561" s="1165"/>
      <c r="C561" s="1167"/>
      <c r="D561" s="1167"/>
      <c r="E561" s="1167"/>
      <c r="F561" s="1166"/>
      <c r="G561" s="1168"/>
      <c r="H561" s="1167"/>
      <c r="I561" s="1169"/>
      <c r="J561" s="1190"/>
      <c r="K561" s="1238"/>
      <c r="L561" s="1205"/>
      <c r="M561" s="1238"/>
      <c r="N561" s="1199"/>
      <c r="O561" s="1199"/>
      <c r="P561" s="1201"/>
      <c r="Q561" s="1199"/>
      <c r="R561" s="1200"/>
      <c r="S561" s="1211"/>
    </row>
    <row r="562" spans="1:19">
      <c r="A562" s="1164"/>
      <c r="B562" s="1165"/>
      <c r="C562" s="1167"/>
      <c r="D562" s="1167"/>
      <c r="E562" s="1167"/>
      <c r="F562" s="1166"/>
      <c r="G562" s="1168"/>
      <c r="H562" s="1167"/>
      <c r="I562" s="1169"/>
      <c r="J562" s="1190"/>
      <c r="K562" s="1238"/>
      <c r="L562" s="1205"/>
      <c r="M562" s="1238"/>
      <c r="N562" s="1199"/>
      <c r="O562" s="1199"/>
      <c r="P562" s="1201"/>
      <c r="Q562" s="1199"/>
      <c r="R562" s="1200"/>
      <c r="S562" s="1211"/>
    </row>
    <row r="563" spans="1:19">
      <c r="A563" s="1164"/>
      <c r="B563" s="1165"/>
      <c r="C563" s="1167"/>
      <c r="D563" s="1167"/>
      <c r="E563" s="1167"/>
      <c r="F563" s="1166"/>
      <c r="G563" s="1168"/>
      <c r="H563" s="1167"/>
      <c r="I563" s="1169"/>
      <c r="J563" s="1190"/>
      <c r="K563" s="1238"/>
      <c r="L563" s="1206"/>
      <c r="M563" s="1238"/>
      <c r="N563" s="1204"/>
      <c r="O563" s="1204"/>
      <c r="P563" s="1204"/>
      <c r="Q563" s="1204"/>
      <c r="R563" s="1204"/>
      <c r="S563" s="1211"/>
    </row>
    <row r="564" spans="1:19">
      <c r="A564" s="1164"/>
      <c r="B564" s="1165"/>
      <c r="C564" s="1167"/>
      <c r="D564" s="1167"/>
      <c r="E564" s="1167"/>
      <c r="F564" s="1166"/>
      <c r="G564" s="1168"/>
      <c r="H564" s="1167"/>
      <c r="I564" s="1169"/>
      <c r="J564" s="1190"/>
      <c r="K564" s="1238"/>
      <c r="L564" s="1206"/>
      <c r="M564" s="1238"/>
      <c r="N564" s="1204"/>
      <c r="O564" s="1204"/>
      <c r="P564" s="1204"/>
      <c r="Q564" s="1204"/>
      <c r="R564" s="1204"/>
      <c r="S564" s="1239"/>
    </row>
    <row r="565" spans="1:19">
      <c r="A565" s="1164"/>
      <c r="B565" s="1165"/>
      <c r="C565" s="1167"/>
      <c r="D565" s="1167"/>
      <c r="E565" s="1167"/>
      <c r="F565" s="1166"/>
      <c r="G565" s="1168"/>
      <c r="H565" s="1167"/>
      <c r="I565" s="1169"/>
      <c r="J565" s="1190"/>
      <c r="K565" s="1204"/>
      <c r="L565" s="1205"/>
      <c r="M565" s="1238"/>
      <c r="N565" s="1204"/>
      <c r="O565" s="1204"/>
      <c r="P565" s="1204"/>
      <c r="Q565" s="1204"/>
      <c r="R565" s="1204"/>
      <c r="S565" s="1211"/>
    </row>
    <row r="566" spans="1:19">
      <c r="A566" s="1164"/>
      <c r="B566" s="1165"/>
      <c r="C566" s="1167"/>
      <c r="D566" s="1167"/>
      <c r="E566" s="1167"/>
      <c r="F566" s="1166"/>
      <c r="G566" s="1168"/>
      <c r="H566" s="1167"/>
      <c r="I566" s="1169"/>
      <c r="J566" s="1190"/>
      <c r="K566" s="1204"/>
      <c r="L566" s="1205"/>
      <c r="M566" s="1238"/>
      <c r="N566" s="1199"/>
      <c r="O566" s="1199"/>
      <c r="P566" s="1201"/>
      <c r="Q566" s="1199"/>
      <c r="R566" s="1200"/>
      <c r="S566" s="1211"/>
    </row>
    <row r="567" spans="1:19">
      <c r="A567" s="1164"/>
      <c r="B567" s="1165"/>
      <c r="C567" s="1167"/>
      <c r="D567" s="1167"/>
      <c r="E567" s="1167"/>
      <c r="F567" s="1166"/>
      <c r="G567" s="1168"/>
      <c r="H567" s="1167"/>
      <c r="I567" s="1169"/>
      <c r="J567" s="1190"/>
      <c r="K567" s="1204"/>
      <c r="L567" s="1205"/>
      <c r="M567" s="1238"/>
      <c r="N567" s="1199"/>
      <c r="O567" s="1199"/>
      <c r="P567" s="1201"/>
      <c r="Q567" s="1199"/>
      <c r="R567" s="1200"/>
      <c r="S567" s="1211"/>
    </row>
    <row r="568" spans="1:19">
      <c r="A568" s="1164"/>
      <c r="B568" s="1165"/>
      <c r="C568" s="1167"/>
      <c r="D568" s="1167"/>
      <c r="E568" s="1167"/>
      <c r="F568" s="1166"/>
      <c r="G568" s="1168"/>
      <c r="H568" s="1167"/>
      <c r="I568" s="1169"/>
      <c r="J568" s="1190"/>
      <c r="K568" s="1204"/>
      <c r="L568" s="1205"/>
      <c r="M568" s="1238"/>
      <c r="N568" s="1199"/>
      <c r="O568" s="1199"/>
      <c r="P568" s="1201"/>
      <c r="Q568" s="1199"/>
      <c r="R568" s="1200"/>
      <c r="S568" s="1211"/>
    </row>
    <row r="569" spans="1:19">
      <c r="A569" s="1164"/>
      <c r="B569" s="1165"/>
      <c r="C569" s="1167"/>
      <c r="D569" s="1167"/>
      <c r="E569" s="1167"/>
      <c r="F569" s="1166"/>
      <c r="G569" s="1168"/>
      <c r="H569" s="1167"/>
      <c r="I569" s="1169"/>
      <c r="J569" s="1190"/>
      <c r="K569" s="1204"/>
      <c r="L569" s="1206"/>
      <c r="M569" s="1238"/>
      <c r="N569" s="1199"/>
      <c r="O569" s="1199"/>
      <c r="P569" s="1201"/>
      <c r="Q569" s="1199"/>
      <c r="R569" s="1200"/>
      <c r="S569" s="1239"/>
    </row>
    <row r="570" spans="1:19">
      <c r="A570" s="1164"/>
      <c r="B570" s="1165"/>
      <c r="C570" s="1167"/>
      <c r="D570" s="1167"/>
      <c r="E570" s="1167"/>
      <c r="F570" s="1166"/>
      <c r="G570" s="1168"/>
      <c r="H570" s="1167"/>
      <c r="I570" s="1169"/>
      <c r="J570" s="1190"/>
      <c r="K570" s="1204"/>
      <c r="L570" s="1205"/>
      <c r="M570" s="1238"/>
      <c r="N570" s="1199"/>
      <c r="O570" s="1199"/>
      <c r="P570" s="1201"/>
      <c r="Q570" s="1199"/>
      <c r="R570" s="1200"/>
      <c r="S570" s="1211"/>
    </row>
    <row r="571" spans="1:19">
      <c r="A571" s="1164"/>
      <c r="B571" s="1165"/>
      <c r="C571" s="1167"/>
      <c r="D571" s="1167"/>
      <c r="E571" s="1167"/>
      <c r="F571" s="1166"/>
      <c r="G571" s="1168"/>
      <c r="H571" s="1167"/>
      <c r="I571" s="1169"/>
      <c r="J571" s="1190"/>
      <c r="K571" s="1204"/>
      <c r="L571" s="1205"/>
      <c r="M571" s="1238"/>
      <c r="N571" s="1199"/>
      <c r="O571" s="1199"/>
      <c r="P571" s="1201"/>
      <c r="Q571" s="1199"/>
      <c r="R571" s="1200"/>
      <c r="S571" s="1211"/>
    </row>
    <row r="572" spans="1:19">
      <c r="A572" s="1164"/>
      <c r="B572" s="1165"/>
      <c r="C572" s="1167"/>
      <c r="D572" s="1167"/>
      <c r="E572" s="1167"/>
      <c r="F572" s="1166"/>
      <c r="G572" s="1168"/>
      <c r="H572" s="1167"/>
      <c r="I572" s="1169"/>
      <c r="J572" s="1190"/>
      <c r="K572" s="1204"/>
      <c r="L572" s="1206"/>
      <c r="M572" s="1238"/>
      <c r="N572" s="1199"/>
      <c r="O572" s="1199"/>
      <c r="P572" s="1201"/>
      <c r="Q572" s="1199"/>
      <c r="R572" s="1200"/>
      <c r="S572" s="1211"/>
    </row>
    <row r="573" spans="1:19">
      <c r="A573" s="1164"/>
      <c r="B573" s="1165"/>
      <c r="C573" s="1167"/>
      <c r="D573" s="1167"/>
      <c r="E573" s="1167"/>
      <c r="F573" s="1166"/>
      <c r="G573" s="1168"/>
      <c r="H573" s="1167"/>
      <c r="I573" s="1169"/>
      <c r="J573" s="1190"/>
      <c r="K573" s="1204"/>
      <c r="L573" s="1205"/>
      <c r="M573" s="1238"/>
      <c r="N573" s="1199"/>
      <c r="O573" s="1199"/>
      <c r="P573" s="1201"/>
      <c r="Q573" s="1199"/>
      <c r="R573" s="1200"/>
      <c r="S573" s="1239"/>
    </row>
    <row r="574" spans="1:19">
      <c r="A574" s="1164"/>
      <c r="B574" s="1165"/>
      <c r="C574" s="1167"/>
      <c r="D574" s="1167"/>
      <c r="E574" s="1167"/>
      <c r="F574" s="1166"/>
      <c r="G574" s="1168"/>
      <c r="H574" s="1167"/>
      <c r="I574" s="1169"/>
      <c r="J574" s="1190"/>
      <c r="K574" s="1204"/>
      <c r="L574" s="1205"/>
      <c r="M574" s="1238"/>
      <c r="N574" s="1199"/>
      <c r="O574" s="1199"/>
      <c r="P574" s="1201"/>
      <c r="Q574" s="1199"/>
      <c r="R574" s="1200"/>
      <c r="S574" s="1211"/>
    </row>
    <row r="575" spans="1:19">
      <c r="A575" s="1164"/>
      <c r="B575" s="1165"/>
      <c r="C575" s="1167"/>
      <c r="D575" s="1167"/>
      <c r="E575" s="1167"/>
      <c r="F575" s="1166"/>
      <c r="G575" s="1168"/>
      <c r="H575" s="1167"/>
      <c r="I575" s="1169"/>
      <c r="J575" s="1190"/>
      <c r="K575" s="1204"/>
      <c r="L575" s="1205"/>
      <c r="M575" s="1238"/>
      <c r="N575" s="1199"/>
      <c r="O575" s="1199"/>
      <c r="P575" s="1201"/>
      <c r="Q575" s="1199"/>
      <c r="R575" s="1200"/>
      <c r="S575" s="1211"/>
    </row>
    <row r="576" spans="1:19">
      <c r="A576" s="1164"/>
      <c r="B576" s="1165"/>
      <c r="C576" s="1167"/>
      <c r="D576" s="1167"/>
      <c r="E576" s="1167"/>
      <c r="F576" s="1166"/>
      <c r="G576" s="1168"/>
      <c r="H576" s="1167"/>
      <c r="I576" s="1169"/>
      <c r="J576" s="1190"/>
      <c r="K576" s="1204"/>
      <c r="L576" s="1205"/>
      <c r="M576" s="1238"/>
      <c r="N576" s="1199"/>
      <c r="O576" s="1199"/>
      <c r="P576" s="1201"/>
      <c r="Q576" s="1199"/>
      <c r="R576" s="1200"/>
      <c r="S576" s="1211"/>
    </row>
    <row r="577" spans="1:19">
      <c r="A577" s="1164"/>
      <c r="B577" s="1165"/>
      <c r="C577" s="1167"/>
      <c r="D577" s="1167"/>
      <c r="E577" s="1167"/>
      <c r="F577" s="1166"/>
      <c r="G577" s="1168"/>
      <c r="H577" s="1167"/>
      <c r="I577" s="1169"/>
      <c r="J577" s="1190"/>
      <c r="K577" s="1204"/>
      <c r="L577" s="1205"/>
      <c r="M577" s="1238"/>
      <c r="N577" s="1199"/>
      <c r="O577" s="1199"/>
      <c r="P577" s="1201"/>
      <c r="Q577" s="1199"/>
      <c r="R577" s="1200"/>
      <c r="S577" s="1211"/>
    </row>
    <row r="578" spans="1:19">
      <c r="A578" s="1164"/>
      <c r="B578" s="1165"/>
      <c r="C578" s="1167"/>
      <c r="D578" s="1167"/>
      <c r="E578" s="1167"/>
      <c r="F578" s="1166"/>
      <c r="G578" s="1168"/>
      <c r="H578" s="1167"/>
      <c r="I578" s="1169"/>
      <c r="J578" s="1190"/>
      <c r="K578" s="1204"/>
      <c r="L578" s="1205"/>
      <c r="M578" s="1238"/>
      <c r="N578" s="1199"/>
      <c r="O578" s="1199"/>
      <c r="P578" s="1201"/>
      <c r="Q578" s="1199"/>
      <c r="R578" s="1200"/>
      <c r="S578" s="1239"/>
    </row>
    <row r="579" spans="1:19">
      <c r="A579" s="1164"/>
      <c r="B579" s="1165"/>
      <c r="C579" s="1167"/>
      <c r="D579" s="1167"/>
      <c r="E579" s="1167"/>
      <c r="F579" s="1166"/>
      <c r="G579" s="1168"/>
      <c r="H579" s="1167"/>
      <c r="I579" s="1169"/>
      <c r="J579" s="1190"/>
      <c r="K579" s="1204"/>
      <c r="L579" s="1205"/>
      <c r="M579" s="1238"/>
      <c r="N579" s="1199"/>
      <c r="O579" s="1199"/>
      <c r="P579" s="1201"/>
      <c r="Q579" s="1199"/>
      <c r="R579" s="1200"/>
      <c r="S579" s="1211"/>
    </row>
    <row r="580" spans="1:19">
      <c r="A580" s="1164"/>
      <c r="B580" s="1165"/>
      <c r="C580" s="1167"/>
      <c r="D580" s="1167"/>
      <c r="E580" s="1167"/>
      <c r="F580" s="1166"/>
      <c r="G580" s="1168"/>
      <c r="H580" s="1167"/>
      <c r="I580" s="1169"/>
      <c r="J580" s="1190"/>
      <c r="K580" s="1204"/>
      <c r="L580" s="1205"/>
      <c r="M580" s="1238"/>
      <c r="N580" s="1199"/>
      <c r="O580" s="1199"/>
      <c r="P580" s="1201"/>
      <c r="Q580" s="1199"/>
      <c r="R580" s="1200"/>
      <c r="S580" s="1211"/>
    </row>
    <row r="581" spans="1:19">
      <c r="A581" s="1164"/>
      <c r="B581" s="1165"/>
      <c r="C581" s="1167"/>
      <c r="D581" s="1167"/>
      <c r="E581" s="1167"/>
      <c r="F581" s="1166"/>
      <c r="G581" s="1168"/>
      <c r="H581" s="1167"/>
      <c r="I581" s="1169"/>
      <c r="J581" s="1190"/>
      <c r="K581" s="1204"/>
      <c r="L581" s="1205"/>
      <c r="M581" s="1238"/>
      <c r="N581" s="1199"/>
      <c r="O581" s="1199"/>
      <c r="P581" s="1201"/>
      <c r="Q581" s="1199"/>
      <c r="R581" s="1200"/>
      <c r="S581" s="1211"/>
    </row>
    <row r="582" spans="1:19">
      <c r="A582" s="1164"/>
      <c r="B582" s="1165"/>
      <c r="C582" s="1167"/>
      <c r="D582" s="1167"/>
      <c r="E582" s="1167"/>
      <c r="F582" s="1166"/>
      <c r="G582" s="1168"/>
      <c r="H582" s="1167"/>
      <c r="I582" s="1169"/>
      <c r="J582" s="1190"/>
      <c r="K582" s="1204"/>
      <c r="L582" s="1205"/>
      <c r="M582" s="1238"/>
      <c r="N582" s="1199"/>
      <c r="O582" s="1199"/>
      <c r="P582" s="1201"/>
      <c r="Q582" s="1199"/>
      <c r="R582" s="1200"/>
      <c r="S582" s="1211"/>
    </row>
    <row r="583" spans="1:19">
      <c r="A583" s="1164"/>
      <c r="B583" s="1165"/>
      <c r="C583" s="1167"/>
      <c r="D583" s="1167"/>
      <c r="E583" s="1167"/>
      <c r="F583" s="1166"/>
      <c r="G583" s="1168"/>
      <c r="H583" s="1167"/>
      <c r="I583" s="1169"/>
      <c r="J583" s="1190"/>
      <c r="K583" s="1204"/>
      <c r="L583" s="1205"/>
      <c r="M583" s="1238"/>
      <c r="N583" s="1199"/>
      <c r="O583" s="1199"/>
      <c r="P583" s="1201"/>
      <c r="Q583" s="1199"/>
      <c r="R583" s="1200"/>
      <c r="S583" s="1211"/>
    </row>
    <row r="584" spans="1:19">
      <c r="A584" s="1164"/>
      <c r="B584" s="1165"/>
      <c r="C584" s="1167"/>
      <c r="D584" s="1167"/>
      <c r="E584" s="1167"/>
      <c r="F584" s="1166"/>
      <c r="G584" s="1168"/>
      <c r="H584" s="1167"/>
      <c r="I584" s="1169"/>
      <c r="J584" s="1190"/>
      <c r="K584" s="1204"/>
      <c r="L584" s="1205"/>
      <c r="M584" s="1238"/>
      <c r="N584" s="1199"/>
      <c r="O584" s="1199"/>
      <c r="P584" s="1201"/>
      <c r="Q584" s="1199"/>
      <c r="R584" s="1200"/>
      <c r="S584" s="1211"/>
    </row>
    <row r="585" spans="1:19">
      <c r="A585" s="1164"/>
      <c r="B585" s="1165"/>
      <c r="C585" s="1167"/>
      <c r="D585" s="1167"/>
      <c r="E585" s="1167"/>
      <c r="F585" s="1166"/>
      <c r="G585" s="1168"/>
      <c r="H585" s="1167"/>
      <c r="I585" s="1169"/>
      <c r="J585" s="1190"/>
      <c r="K585" s="1204"/>
      <c r="L585" s="1206"/>
      <c r="M585" s="1238"/>
      <c r="N585" s="1199"/>
      <c r="O585" s="1199"/>
      <c r="P585" s="1201"/>
      <c r="Q585" s="1199"/>
      <c r="R585" s="1200"/>
      <c r="S585" s="1239"/>
    </row>
    <row r="586" spans="1:19">
      <c r="A586" s="1164"/>
      <c r="B586" s="1165"/>
      <c r="C586" s="1167"/>
      <c r="D586" s="1167"/>
      <c r="E586" s="1167"/>
      <c r="F586" s="1166"/>
      <c r="G586" s="1168"/>
      <c r="H586" s="1167"/>
      <c r="I586" s="1169"/>
      <c r="J586" s="1190"/>
      <c r="K586" s="1204"/>
      <c r="L586" s="1205"/>
      <c r="M586" s="1238"/>
      <c r="N586" s="1199"/>
      <c r="O586" s="1199"/>
      <c r="P586" s="1201"/>
      <c r="Q586" s="1199"/>
      <c r="R586" s="1200"/>
      <c r="S586" s="1211"/>
    </row>
    <row r="587" spans="1:19">
      <c r="A587" s="1164"/>
      <c r="B587" s="1165"/>
      <c r="C587" s="1167"/>
      <c r="D587" s="1167"/>
      <c r="E587" s="1167"/>
      <c r="F587" s="1166"/>
      <c r="G587" s="1168"/>
      <c r="H587" s="1167"/>
      <c r="I587" s="1169"/>
      <c r="J587" s="1190"/>
      <c r="K587" s="1204"/>
      <c r="L587" s="1205"/>
      <c r="M587" s="1238"/>
      <c r="N587" s="1199"/>
      <c r="O587" s="1199"/>
      <c r="P587" s="1201"/>
      <c r="Q587" s="1199"/>
      <c r="R587" s="1200"/>
      <c r="S587" s="1211"/>
    </row>
    <row r="588" spans="1:19">
      <c r="A588" s="1164"/>
      <c r="B588" s="1165"/>
      <c r="C588" s="1167"/>
      <c r="D588" s="1167"/>
      <c r="E588" s="1167"/>
      <c r="F588" s="1166"/>
      <c r="G588" s="1168"/>
      <c r="H588" s="1167"/>
      <c r="I588" s="1169"/>
      <c r="J588" s="1190"/>
      <c r="K588" s="1238"/>
      <c r="L588" s="1206"/>
      <c r="M588" s="1238"/>
      <c r="N588" s="1204"/>
      <c r="O588" s="1204"/>
      <c r="P588" s="1204"/>
      <c r="Q588" s="1204"/>
      <c r="R588" s="1204"/>
      <c r="S588" s="1211"/>
    </row>
    <row r="589" spans="1:19">
      <c r="A589" s="1164"/>
      <c r="B589" s="1165"/>
      <c r="C589" s="1167"/>
      <c r="D589" s="1167"/>
      <c r="E589" s="1167"/>
      <c r="F589" s="1166"/>
      <c r="G589" s="1168"/>
      <c r="H589" s="1167"/>
      <c r="I589" s="1169"/>
      <c r="J589" s="1190"/>
      <c r="K589" s="1238"/>
      <c r="L589" s="1206"/>
      <c r="M589" s="1238"/>
      <c r="N589" s="1204"/>
      <c r="O589" s="1204"/>
      <c r="P589" s="1204"/>
      <c r="Q589" s="1204"/>
      <c r="R589" s="1204"/>
      <c r="S589" s="1239"/>
    </row>
    <row r="590" spans="1:19">
      <c r="A590" s="1164"/>
      <c r="B590" s="1165"/>
      <c r="C590" s="1167"/>
      <c r="D590" s="1167"/>
      <c r="E590" s="1167"/>
      <c r="F590" s="1166"/>
      <c r="G590" s="1168"/>
      <c r="H590" s="1167"/>
      <c r="I590" s="1169"/>
      <c r="J590" s="1190"/>
      <c r="K590" s="1204"/>
      <c r="L590" s="1208"/>
      <c r="M590" s="1207"/>
      <c r="N590" s="1199"/>
      <c r="O590" s="1199"/>
      <c r="P590" s="1201"/>
      <c r="Q590" s="1199"/>
      <c r="R590" s="1200"/>
      <c r="S590" s="1211"/>
    </row>
    <row r="591" spans="1:19">
      <c r="A591" s="1164"/>
      <c r="B591" s="1165"/>
      <c r="C591" s="1167"/>
      <c r="D591" s="1167"/>
      <c r="E591" s="1167"/>
      <c r="F591" s="1166"/>
      <c r="G591" s="1168"/>
      <c r="H591" s="1167"/>
      <c r="I591" s="1169"/>
      <c r="J591" s="1190"/>
      <c r="K591" s="1204"/>
      <c r="L591" s="1204"/>
      <c r="M591" s="1207"/>
      <c r="N591" s="1204"/>
      <c r="O591" s="1204"/>
      <c r="P591" s="1204"/>
      <c r="Q591" s="1204"/>
      <c r="R591" s="1204"/>
      <c r="S591" s="1211"/>
    </row>
    <row r="592" spans="1:19">
      <c r="A592" s="1164"/>
      <c r="B592" s="1165"/>
      <c r="C592" s="1167"/>
      <c r="D592" s="1167"/>
      <c r="E592" s="1167"/>
      <c r="F592" s="1166"/>
      <c r="G592" s="1168"/>
      <c r="H592" s="1167"/>
      <c r="I592" s="1169"/>
      <c r="J592" s="1190"/>
      <c r="K592" s="1238"/>
      <c r="L592" s="1206"/>
      <c r="M592" s="1238"/>
      <c r="N592" s="1204"/>
      <c r="O592" s="1204"/>
      <c r="P592" s="1204"/>
      <c r="Q592" s="1204"/>
      <c r="R592" s="1204"/>
      <c r="S592" s="1211"/>
    </row>
    <row r="593" spans="1:19">
      <c r="A593" s="1164"/>
      <c r="B593" s="1165"/>
      <c r="C593" s="1167"/>
      <c r="D593" s="1167"/>
      <c r="E593" s="1167"/>
      <c r="F593" s="1166"/>
      <c r="G593" s="1168"/>
      <c r="H593" s="1167"/>
      <c r="I593" s="1169"/>
      <c r="J593" s="1190"/>
      <c r="K593" s="1204"/>
      <c r="L593" s="1204"/>
      <c r="M593" s="1207"/>
      <c r="N593" s="1204"/>
      <c r="O593" s="1204"/>
      <c r="P593" s="1204"/>
      <c r="Q593" s="1204"/>
      <c r="R593" s="1204"/>
      <c r="S593" s="1211"/>
    </row>
    <row r="594" spans="1:19">
      <c r="A594" s="1164"/>
      <c r="B594" s="1165"/>
      <c r="C594" s="1167"/>
      <c r="D594" s="1167"/>
      <c r="E594" s="1167"/>
      <c r="F594" s="1166"/>
      <c r="G594" s="1168"/>
      <c r="H594" s="1167"/>
      <c r="I594" s="1169"/>
      <c r="J594" s="1190"/>
      <c r="K594" s="1204"/>
      <c r="L594" s="1204"/>
      <c r="M594" s="1207"/>
      <c r="N594" s="1204"/>
      <c r="O594" s="1204"/>
      <c r="P594" s="1204"/>
      <c r="Q594" s="1204"/>
      <c r="R594" s="1204"/>
      <c r="S594" s="1211"/>
    </row>
    <row r="595" spans="1:19">
      <c r="A595" s="1164"/>
      <c r="B595" s="1165"/>
      <c r="C595" s="1167"/>
      <c r="D595" s="1167"/>
      <c r="E595" s="1167"/>
      <c r="F595" s="1166"/>
      <c r="G595" s="1168"/>
      <c r="H595" s="1167"/>
      <c r="I595" s="1169"/>
      <c r="J595" s="1190"/>
      <c r="K595" s="1204"/>
      <c r="L595" s="1204"/>
      <c r="M595" s="1207"/>
      <c r="N595" s="1204"/>
      <c r="O595" s="1204"/>
      <c r="P595" s="1204"/>
      <c r="Q595" s="1204"/>
      <c r="R595" s="1204"/>
      <c r="S595" s="1211"/>
    </row>
    <row r="596" spans="1:19">
      <c r="A596" s="1164"/>
      <c r="B596" s="1165"/>
      <c r="C596" s="1167"/>
      <c r="D596" s="1167"/>
      <c r="E596" s="1167"/>
      <c r="F596" s="1166"/>
      <c r="G596" s="1168"/>
      <c r="H596" s="1167"/>
      <c r="I596" s="1169"/>
      <c r="J596" s="1190"/>
      <c r="K596" s="1204"/>
      <c r="L596" s="1204"/>
      <c r="M596" s="1207"/>
      <c r="N596" s="1204"/>
      <c r="O596" s="1204"/>
      <c r="P596" s="1204"/>
      <c r="Q596" s="1204"/>
      <c r="R596" s="1204"/>
      <c r="S596" s="1211"/>
    </row>
    <row r="597" spans="1:19">
      <c r="A597" s="1164"/>
      <c r="B597" s="1165"/>
      <c r="C597" s="1167"/>
      <c r="D597" s="1167"/>
      <c r="E597" s="1167"/>
      <c r="F597" s="1166"/>
      <c r="G597" s="1168"/>
      <c r="H597" s="1167"/>
      <c r="I597" s="1169"/>
      <c r="J597" s="1190"/>
      <c r="K597" s="1204"/>
      <c r="L597" s="1204"/>
      <c r="M597" s="1207"/>
      <c r="N597" s="1204"/>
      <c r="O597" s="1204"/>
      <c r="P597" s="1204"/>
      <c r="Q597" s="1204"/>
      <c r="R597" s="1204"/>
      <c r="S597" s="1211"/>
    </row>
    <row r="598" spans="1:19">
      <c r="A598" s="1164"/>
      <c r="B598" s="1165"/>
      <c r="C598" s="1167"/>
      <c r="D598" s="1167"/>
      <c r="E598" s="1167"/>
      <c r="F598" s="1166"/>
      <c r="G598" s="1168"/>
      <c r="H598" s="1167"/>
      <c r="I598" s="1169"/>
      <c r="J598" s="1190"/>
      <c r="K598" s="1204"/>
      <c r="L598" s="1204"/>
      <c r="M598" s="1207"/>
      <c r="N598" s="1204"/>
      <c r="O598" s="1204"/>
      <c r="P598" s="1204"/>
      <c r="Q598" s="1204"/>
      <c r="R598" s="1204"/>
      <c r="S598" s="1211"/>
    </row>
    <row r="599" spans="1:19">
      <c r="A599" s="1164"/>
      <c r="B599" s="1165"/>
      <c r="C599" s="1167"/>
      <c r="D599" s="1167"/>
      <c r="E599" s="1167"/>
      <c r="F599" s="1166"/>
      <c r="G599" s="1168"/>
      <c r="H599" s="1167"/>
      <c r="I599" s="1169"/>
      <c r="J599" s="1190"/>
      <c r="K599" s="1204"/>
      <c r="L599" s="1204"/>
      <c r="M599" s="1207"/>
      <c r="N599" s="1204"/>
      <c r="O599" s="1204"/>
      <c r="P599" s="1204"/>
      <c r="Q599" s="1204"/>
      <c r="R599" s="1204"/>
      <c r="S599" s="1211"/>
    </row>
    <row r="600" spans="1:19">
      <c r="A600" s="1164"/>
      <c r="B600" s="1165"/>
      <c r="C600" s="1167"/>
      <c r="D600" s="1167"/>
      <c r="E600" s="1167"/>
      <c r="F600" s="1166"/>
      <c r="G600" s="1168"/>
      <c r="H600" s="1167"/>
      <c r="I600" s="1169"/>
      <c r="J600" s="1190"/>
      <c r="K600" s="1204"/>
      <c r="L600" s="1204"/>
      <c r="M600" s="1207"/>
      <c r="N600" s="1204"/>
      <c r="O600" s="1204"/>
      <c r="P600" s="1204"/>
      <c r="Q600" s="1204"/>
      <c r="R600" s="1204"/>
      <c r="S600" s="1211"/>
    </row>
    <row r="601" spans="1:19">
      <c r="A601" s="1164"/>
      <c r="B601" s="1165"/>
      <c r="C601" s="1167"/>
      <c r="D601" s="1167"/>
      <c r="E601" s="1167"/>
      <c r="F601" s="1166"/>
      <c r="G601" s="1168"/>
      <c r="H601" s="1167"/>
      <c r="I601" s="1169"/>
      <c r="J601" s="1190"/>
      <c r="K601" s="1204"/>
      <c r="L601" s="1204"/>
      <c r="M601" s="1207"/>
      <c r="N601" s="1204"/>
      <c r="O601" s="1204"/>
      <c r="P601" s="1204"/>
      <c r="Q601" s="1204"/>
      <c r="R601" s="1204"/>
      <c r="S601" s="1211"/>
    </row>
    <row r="602" spans="1:19">
      <c r="A602" s="1164"/>
      <c r="B602" s="1165"/>
      <c r="C602" s="1167"/>
      <c r="D602" s="1167"/>
      <c r="E602" s="1167"/>
      <c r="F602" s="1166"/>
      <c r="G602" s="1168"/>
      <c r="H602" s="1167"/>
      <c r="I602" s="1169"/>
      <c r="J602" s="1190"/>
      <c r="K602" s="1204"/>
      <c r="L602" s="1204"/>
      <c r="M602" s="1207"/>
      <c r="N602" s="1204"/>
      <c r="O602" s="1204"/>
      <c r="P602" s="1204"/>
      <c r="Q602" s="1204"/>
      <c r="R602" s="1204"/>
      <c r="S602" s="1211"/>
    </row>
    <row r="603" spans="1:19">
      <c r="A603" s="1164"/>
      <c r="B603" s="1165"/>
      <c r="C603" s="1167"/>
      <c r="D603" s="1167"/>
      <c r="E603" s="1167"/>
      <c r="F603" s="1166"/>
      <c r="G603" s="1168"/>
      <c r="H603" s="1167"/>
      <c r="I603" s="1169"/>
      <c r="J603" s="1190"/>
      <c r="K603" s="1204"/>
      <c r="L603" s="1204"/>
      <c r="M603" s="1207"/>
      <c r="N603" s="1204"/>
      <c r="O603" s="1204"/>
      <c r="P603" s="1204"/>
      <c r="Q603" s="1204"/>
      <c r="R603" s="1204"/>
      <c r="S603" s="1211"/>
    </row>
    <row r="604" spans="1:19">
      <c r="A604" s="1164"/>
      <c r="B604" s="1165"/>
      <c r="C604" s="1167"/>
      <c r="D604" s="1167"/>
      <c r="E604" s="1167"/>
      <c r="F604" s="1166"/>
      <c r="G604" s="1168"/>
      <c r="H604" s="1167"/>
      <c r="I604" s="1169"/>
      <c r="J604" s="1190"/>
      <c r="K604" s="1204"/>
      <c r="L604" s="1204"/>
      <c r="M604" s="1207"/>
      <c r="N604" s="1204"/>
      <c r="O604" s="1204"/>
      <c r="P604" s="1204"/>
      <c r="Q604" s="1204"/>
      <c r="R604" s="1204"/>
      <c r="S604" s="1211"/>
    </row>
    <row r="605" spans="1:19">
      <c r="A605" s="1164"/>
      <c r="B605" s="1165"/>
      <c r="C605" s="1167"/>
      <c r="D605" s="1167"/>
      <c r="E605" s="1167"/>
      <c r="F605" s="1166"/>
      <c r="G605" s="1168"/>
      <c r="H605" s="1167"/>
      <c r="I605" s="1169"/>
      <c r="J605" s="1190"/>
      <c r="K605" s="1204"/>
      <c r="L605" s="1204"/>
      <c r="M605" s="1207"/>
      <c r="N605" s="1204"/>
      <c r="O605" s="1204"/>
      <c r="P605" s="1204"/>
      <c r="Q605" s="1204"/>
      <c r="R605" s="1204"/>
      <c r="S605" s="1211"/>
    </row>
    <row r="606" spans="1:19">
      <c r="A606" s="1164"/>
      <c r="B606" s="1165"/>
      <c r="C606" s="1167"/>
      <c r="D606" s="1167"/>
      <c r="E606" s="1167"/>
      <c r="F606" s="1166"/>
      <c r="G606" s="1168"/>
      <c r="H606" s="1167"/>
      <c r="I606" s="1169"/>
      <c r="J606" s="1190"/>
      <c r="K606" s="1204"/>
      <c r="L606" s="1204"/>
      <c r="M606" s="1207"/>
      <c r="N606" s="1204"/>
      <c r="O606" s="1204"/>
      <c r="P606" s="1204"/>
      <c r="Q606" s="1204"/>
      <c r="R606" s="1204"/>
      <c r="S606" s="1211"/>
    </row>
    <row r="607" spans="1:19">
      <c r="A607" s="1164"/>
      <c r="B607" s="1165"/>
      <c r="C607" s="1167"/>
      <c r="D607" s="1167"/>
      <c r="E607" s="1167"/>
      <c r="F607" s="1166"/>
      <c r="G607" s="1168"/>
      <c r="H607" s="1167"/>
      <c r="I607" s="1169"/>
      <c r="J607" s="1190"/>
      <c r="K607" s="1204"/>
      <c r="L607" s="1204"/>
      <c r="M607" s="1207"/>
      <c r="N607" s="1204"/>
      <c r="O607" s="1204"/>
      <c r="P607" s="1204"/>
      <c r="Q607" s="1204"/>
      <c r="R607" s="1204"/>
      <c r="S607" s="1211"/>
    </row>
    <row r="608" spans="1:19">
      <c r="A608" s="1164"/>
      <c r="B608" s="1165"/>
      <c r="C608" s="1167"/>
      <c r="D608" s="1167"/>
      <c r="E608" s="1167"/>
      <c r="F608" s="1166"/>
      <c r="G608" s="1168"/>
      <c r="H608" s="1167"/>
      <c r="I608" s="1169"/>
      <c r="J608" s="1190"/>
      <c r="K608" s="1204"/>
      <c r="L608" s="1204"/>
      <c r="M608" s="1207"/>
      <c r="N608" s="1204"/>
      <c r="O608" s="1204"/>
      <c r="P608" s="1204"/>
      <c r="Q608" s="1204"/>
      <c r="R608" s="1204"/>
      <c r="S608" s="1211"/>
    </row>
    <row r="609" spans="1:19">
      <c r="A609" s="1164"/>
      <c r="B609" s="1165"/>
      <c r="C609" s="1167"/>
      <c r="D609" s="1167"/>
      <c r="E609" s="1167"/>
      <c r="F609" s="1166"/>
      <c r="G609" s="1168"/>
      <c r="H609" s="1167"/>
      <c r="I609" s="1169"/>
      <c r="J609" s="1190"/>
      <c r="K609" s="1204"/>
      <c r="L609" s="1204"/>
      <c r="M609" s="1207"/>
      <c r="N609" s="1204"/>
      <c r="O609" s="1204"/>
      <c r="P609" s="1204"/>
      <c r="Q609" s="1204"/>
      <c r="R609" s="1204"/>
      <c r="S609" s="1211"/>
    </row>
    <row r="610" spans="1:19">
      <c r="A610" s="1164"/>
      <c r="B610" s="1165"/>
      <c r="C610" s="1167"/>
      <c r="D610" s="1167"/>
      <c r="E610" s="1167"/>
      <c r="F610" s="1166"/>
      <c r="G610" s="1168"/>
      <c r="H610" s="1167"/>
      <c r="I610" s="1169"/>
      <c r="J610" s="1190"/>
      <c r="K610" s="1204"/>
      <c r="L610" s="1204"/>
      <c r="M610" s="1207"/>
      <c r="N610" s="1204"/>
      <c r="O610" s="1204"/>
      <c r="P610" s="1204"/>
      <c r="Q610" s="1204"/>
      <c r="R610" s="1204"/>
      <c r="S610" s="1211"/>
    </row>
    <row r="611" spans="1:19">
      <c r="A611" s="1164"/>
      <c r="B611" s="1165"/>
      <c r="C611" s="1167"/>
      <c r="D611" s="1167"/>
      <c r="E611" s="1167"/>
      <c r="F611" s="1166"/>
      <c r="G611" s="1168"/>
      <c r="H611" s="1167"/>
      <c r="I611" s="1169"/>
      <c r="J611" s="1190"/>
      <c r="K611" s="1204"/>
      <c r="L611" s="1204"/>
      <c r="M611" s="1207"/>
      <c r="N611" s="1204"/>
      <c r="O611" s="1204"/>
      <c r="P611" s="1204"/>
      <c r="Q611" s="1204"/>
      <c r="R611" s="1204"/>
      <c r="S611" s="1211"/>
    </row>
    <row r="612" spans="1:19">
      <c r="A612" s="1164"/>
      <c r="B612" s="1165"/>
      <c r="C612" s="1167"/>
      <c r="D612" s="1167"/>
      <c r="E612" s="1167"/>
      <c r="F612" s="1166"/>
      <c r="G612" s="1168"/>
      <c r="H612" s="1167"/>
      <c r="I612" s="1169"/>
      <c r="J612" s="1190"/>
      <c r="K612" s="1204"/>
      <c r="L612" s="1204"/>
      <c r="M612" s="1207"/>
      <c r="N612" s="1204"/>
      <c r="O612" s="1204"/>
      <c r="P612" s="1204"/>
      <c r="Q612" s="1204"/>
      <c r="R612" s="1204"/>
      <c r="S612" s="1211"/>
    </row>
    <row r="613" spans="1:19">
      <c r="A613" s="1164"/>
      <c r="B613" s="1165"/>
      <c r="C613" s="1167"/>
      <c r="D613" s="1167"/>
      <c r="E613" s="1167"/>
      <c r="F613" s="1166"/>
      <c r="G613" s="1168"/>
      <c r="H613" s="1167"/>
      <c r="I613" s="1169"/>
      <c r="J613" s="1190"/>
      <c r="K613" s="1204"/>
      <c r="L613" s="1204"/>
      <c r="M613" s="1207"/>
      <c r="N613" s="1204"/>
      <c r="O613" s="1204"/>
      <c r="P613" s="1204"/>
      <c r="Q613" s="1204"/>
      <c r="R613" s="1204"/>
      <c r="S613" s="1211"/>
    </row>
    <row r="614" spans="1:19">
      <c r="A614" s="1164"/>
      <c r="B614" s="1165"/>
      <c r="C614" s="1167"/>
      <c r="D614" s="1167"/>
      <c r="E614" s="1167"/>
      <c r="F614" s="1166"/>
      <c r="G614" s="1168"/>
      <c r="H614" s="1167"/>
      <c r="I614" s="1169"/>
      <c r="J614" s="1190"/>
      <c r="K614" s="1204"/>
      <c r="L614" s="1204"/>
      <c r="M614" s="1207"/>
      <c r="N614" s="1204"/>
      <c r="O614" s="1204"/>
      <c r="P614" s="1204"/>
      <c r="Q614" s="1204"/>
      <c r="R614" s="1204"/>
      <c r="S614" s="1211"/>
    </row>
    <row r="615" spans="1:19">
      <c r="A615" s="1164"/>
      <c r="B615" s="1165"/>
      <c r="C615" s="1167"/>
      <c r="D615" s="1167"/>
      <c r="E615" s="1167"/>
      <c r="F615" s="1166"/>
      <c r="G615" s="1168"/>
      <c r="H615" s="1167"/>
      <c r="I615" s="1169"/>
      <c r="J615" s="1190"/>
      <c r="K615" s="1204"/>
      <c r="L615" s="1204"/>
      <c r="M615" s="1207"/>
      <c r="N615" s="1204"/>
      <c r="O615" s="1204"/>
      <c r="P615" s="1204"/>
      <c r="Q615" s="1204"/>
      <c r="R615" s="1204"/>
      <c r="S615" s="1211"/>
    </row>
    <row r="616" spans="1:19">
      <c r="A616" s="1164"/>
      <c r="B616" s="1165"/>
      <c r="C616" s="1167"/>
      <c r="D616" s="1167"/>
      <c r="E616" s="1167"/>
      <c r="F616" s="1166"/>
      <c r="G616" s="1168"/>
      <c r="H616" s="1167"/>
      <c r="I616" s="1169"/>
      <c r="J616" s="1190"/>
      <c r="K616" s="1204"/>
      <c r="L616" s="1204"/>
      <c r="M616" s="1207"/>
      <c r="N616" s="1204"/>
      <c r="O616" s="1204"/>
      <c r="P616" s="1204"/>
      <c r="Q616" s="1204"/>
      <c r="R616" s="1204"/>
      <c r="S616" s="1211"/>
    </row>
    <row r="617" spans="1:19">
      <c r="A617" s="1164"/>
      <c r="B617" s="1165"/>
      <c r="C617" s="1167"/>
      <c r="D617" s="1167"/>
      <c r="E617" s="1167"/>
      <c r="F617" s="1166"/>
      <c r="G617" s="1168"/>
      <c r="H617" s="1167"/>
      <c r="I617" s="1169"/>
      <c r="J617" s="1190"/>
      <c r="K617" s="1204"/>
      <c r="L617" s="1204"/>
      <c r="M617" s="1207"/>
      <c r="N617" s="1204"/>
      <c r="O617" s="1204"/>
      <c r="P617" s="1204"/>
      <c r="Q617" s="1204"/>
      <c r="R617" s="1204"/>
      <c r="S617" s="1211"/>
    </row>
    <row r="618" spans="1:19">
      <c r="A618" s="1164"/>
      <c r="B618" s="1165"/>
      <c r="C618" s="1167"/>
      <c r="D618" s="1167"/>
      <c r="E618" s="1167"/>
      <c r="F618" s="1166"/>
      <c r="G618" s="1168"/>
      <c r="H618" s="1167"/>
      <c r="I618" s="1169"/>
      <c r="J618" s="1190"/>
      <c r="K618" s="1204"/>
      <c r="L618" s="1204"/>
      <c r="M618" s="1207"/>
      <c r="N618" s="1204"/>
      <c r="O618" s="1204"/>
      <c r="P618" s="1204"/>
      <c r="Q618" s="1204"/>
      <c r="R618" s="1204"/>
      <c r="S618" s="1211"/>
    </row>
    <row r="619" spans="1:19">
      <c r="A619" s="1164"/>
      <c r="B619" s="1165"/>
      <c r="C619" s="1167"/>
      <c r="D619" s="1167"/>
      <c r="E619" s="1167"/>
      <c r="F619" s="1166"/>
      <c r="G619" s="1168"/>
      <c r="H619" s="1167"/>
      <c r="I619" s="1169"/>
      <c r="J619" s="1190"/>
      <c r="K619" s="1204"/>
      <c r="L619" s="1204"/>
      <c r="M619" s="1207"/>
      <c r="N619" s="1204"/>
      <c r="O619" s="1204"/>
      <c r="P619" s="1204"/>
      <c r="Q619" s="1204"/>
      <c r="R619" s="1204"/>
      <c r="S619" s="1211"/>
    </row>
    <row r="620" spans="1:19">
      <c r="A620" s="1164"/>
      <c r="B620" s="1165"/>
      <c r="C620" s="1167"/>
      <c r="D620" s="1167"/>
      <c r="E620" s="1167"/>
      <c r="F620" s="1166"/>
      <c r="G620" s="1168"/>
      <c r="H620" s="1167"/>
      <c r="I620" s="1169"/>
      <c r="J620" s="1190"/>
      <c r="K620" s="1204"/>
      <c r="L620" s="1204"/>
      <c r="M620" s="1207"/>
      <c r="N620" s="1204"/>
      <c r="O620" s="1204"/>
      <c r="P620" s="1204"/>
      <c r="Q620" s="1204"/>
      <c r="R620" s="1204"/>
      <c r="S620" s="1211"/>
    </row>
    <row r="621" spans="1:19">
      <c r="A621" s="1164"/>
      <c r="B621" s="1165"/>
      <c r="C621" s="1167"/>
      <c r="D621" s="1167"/>
      <c r="E621" s="1167"/>
      <c r="F621" s="1166"/>
      <c r="G621" s="1168"/>
      <c r="H621" s="1167"/>
      <c r="I621" s="1169"/>
      <c r="J621" s="1190"/>
      <c r="K621" s="1204"/>
      <c r="L621" s="1204"/>
      <c r="M621" s="1207"/>
      <c r="N621" s="1204"/>
      <c r="O621" s="1204"/>
      <c r="P621" s="1204"/>
      <c r="Q621" s="1204"/>
      <c r="R621" s="1204"/>
      <c r="S621" s="1211"/>
    </row>
    <row r="622" spans="1:19">
      <c r="A622" s="1164"/>
      <c r="B622" s="1165"/>
      <c r="C622" s="1167"/>
      <c r="D622" s="1167"/>
      <c r="E622" s="1167"/>
      <c r="F622" s="1166"/>
      <c r="G622" s="1168"/>
      <c r="H622" s="1167"/>
      <c r="I622" s="1169"/>
      <c r="J622" s="1190"/>
      <c r="K622" s="1204"/>
      <c r="L622" s="1204"/>
      <c r="M622" s="1207"/>
      <c r="N622" s="1204"/>
      <c r="O622" s="1204"/>
      <c r="P622" s="1204"/>
      <c r="Q622" s="1204"/>
      <c r="R622" s="1204"/>
      <c r="S622" s="1211"/>
    </row>
    <row r="623" spans="1:19">
      <c r="A623" s="1164"/>
      <c r="B623" s="1165"/>
      <c r="C623" s="1167"/>
      <c r="D623" s="1167"/>
      <c r="E623" s="1167"/>
      <c r="F623" s="1166"/>
      <c r="G623" s="1168"/>
      <c r="H623" s="1167"/>
      <c r="I623" s="1169"/>
      <c r="J623" s="1190"/>
      <c r="K623" s="1204"/>
      <c r="L623" s="1204"/>
      <c r="M623" s="1207"/>
      <c r="N623" s="1204"/>
      <c r="O623" s="1204"/>
      <c r="P623" s="1204"/>
      <c r="Q623" s="1204"/>
      <c r="R623" s="1204"/>
      <c r="S623" s="1211"/>
    </row>
    <row r="624" spans="1:19">
      <c r="A624" s="1164"/>
      <c r="B624" s="1165"/>
      <c r="C624" s="1167"/>
      <c r="D624" s="1167"/>
      <c r="E624" s="1167"/>
      <c r="F624" s="1166"/>
      <c r="G624" s="1168"/>
      <c r="H624" s="1167"/>
      <c r="I624" s="1169"/>
      <c r="J624" s="1190"/>
      <c r="K624" s="1204"/>
      <c r="L624" s="1204"/>
      <c r="M624" s="1207"/>
      <c r="N624" s="1204"/>
      <c r="O624" s="1204"/>
      <c r="P624" s="1204"/>
      <c r="Q624" s="1204"/>
      <c r="R624" s="1204"/>
      <c r="S624" s="1211"/>
    </row>
    <row r="625" spans="1:19">
      <c r="A625" s="1164"/>
      <c r="B625" s="1165"/>
      <c r="C625" s="1167"/>
      <c r="D625" s="1167"/>
      <c r="E625" s="1167"/>
      <c r="F625" s="1166"/>
      <c r="G625" s="1168"/>
      <c r="H625" s="1167"/>
      <c r="I625" s="1169"/>
      <c r="J625" s="1190"/>
      <c r="K625" s="1204"/>
      <c r="L625" s="1204"/>
      <c r="M625" s="1207"/>
      <c r="N625" s="1204"/>
      <c r="O625" s="1204"/>
      <c r="P625" s="1204"/>
      <c r="Q625" s="1204"/>
      <c r="R625" s="1204"/>
      <c r="S625" s="1211"/>
    </row>
    <row r="626" spans="1:19">
      <c r="A626" s="1164"/>
      <c r="B626" s="1165"/>
      <c r="C626" s="1167"/>
      <c r="D626" s="1167"/>
      <c r="E626" s="1167"/>
      <c r="F626" s="1166"/>
      <c r="G626" s="1168"/>
      <c r="H626" s="1167"/>
      <c r="I626" s="1169"/>
      <c r="J626" s="1190"/>
      <c r="K626" s="1204"/>
      <c r="L626" s="1204"/>
      <c r="M626" s="1207"/>
      <c r="N626" s="1204"/>
      <c r="O626" s="1204"/>
      <c r="P626" s="1204"/>
      <c r="Q626" s="1204"/>
      <c r="R626" s="1204"/>
      <c r="S626" s="1211"/>
    </row>
    <row r="627" spans="1:19">
      <c r="A627" s="1164"/>
      <c r="B627" s="1165"/>
      <c r="C627" s="1167"/>
      <c r="D627" s="1167"/>
      <c r="E627" s="1167"/>
      <c r="F627" s="1166"/>
      <c r="G627" s="1168"/>
      <c r="H627" s="1167"/>
      <c r="I627" s="1169"/>
      <c r="J627" s="1190"/>
      <c r="K627" s="1204"/>
      <c r="L627" s="1204"/>
      <c r="M627" s="1207"/>
      <c r="N627" s="1204"/>
      <c r="O627" s="1204"/>
      <c r="P627" s="1204"/>
      <c r="Q627" s="1204"/>
      <c r="R627" s="1204"/>
      <c r="S627" s="1211"/>
    </row>
    <row r="628" spans="1:19">
      <c r="A628" s="1164"/>
      <c r="B628" s="1165"/>
      <c r="C628" s="1167"/>
      <c r="D628" s="1167"/>
      <c r="E628" s="1167"/>
      <c r="F628" s="1166"/>
      <c r="G628" s="1168"/>
      <c r="H628" s="1167"/>
      <c r="I628" s="1169"/>
      <c r="J628" s="1190"/>
      <c r="K628" s="1204"/>
      <c r="L628" s="1204"/>
      <c r="M628" s="1207"/>
      <c r="N628" s="1204"/>
      <c r="O628" s="1204"/>
      <c r="P628" s="1204"/>
      <c r="Q628" s="1204"/>
      <c r="R628" s="1204"/>
      <c r="S628" s="1211"/>
    </row>
    <row r="629" spans="1:19">
      <c r="A629" s="1164"/>
      <c r="B629" s="1165"/>
      <c r="C629" s="1167"/>
      <c r="D629" s="1167"/>
      <c r="E629" s="1167"/>
      <c r="F629" s="1166"/>
      <c r="G629" s="1168"/>
      <c r="H629" s="1167"/>
      <c r="I629" s="1169"/>
      <c r="J629" s="1190"/>
      <c r="K629" s="1204"/>
      <c r="L629" s="1204"/>
      <c r="M629" s="1207"/>
      <c r="N629" s="1204"/>
      <c r="O629" s="1204"/>
      <c r="P629" s="1204"/>
      <c r="Q629" s="1204"/>
      <c r="R629" s="1204"/>
      <c r="S629" s="1211"/>
    </row>
    <row r="630" spans="1:19">
      <c r="A630" s="1164"/>
      <c r="B630" s="1165"/>
      <c r="C630" s="1167"/>
      <c r="D630" s="1167"/>
      <c r="E630" s="1167"/>
      <c r="F630" s="1166"/>
      <c r="G630" s="1168"/>
      <c r="H630" s="1167"/>
      <c r="I630" s="1169"/>
      <c r="J630" s="1190"/>
      <c r="K630" s="1204"/>
      <c r="L630" s="1204"/>
      <c r="M630" s="1207"/>
      <c r="N630" s="1204"/>
      <c r="O630" s="1204"/>
      <c r="P630" s="1204"/>
      <c r="Q630" s="1204"/>
      <c r="R630" s="1204"/>
      <c r="S630" s="1211"/>
    </row>
    <row r="631" spans="1:19">
      <c r="A631" s="1164"/>
      <c r="B631" s="1165"/>
      <c r="C631" s="1167"/>
      <c r="D631" s="1167"/>
      <c r="E631" s="1167"/>
      <c r="F631" s="1166"/>
      <c r="G631" s="1168"/>
      <c r="H631" s="1167"/>
      <c r="I631" s="1169"/>
      <c r="J631" s="1190"/>
      <c r="K631" s="1204"/>
      <c r="L631" s="1204"/>
      <c r="M631" s="1207"/>
      <c r="N631" s="1204"/>
      <c r="O631" s="1204"/>
      <c r="P631" s="1204"/>
      <c r="Q631" s="1204"/>
      <c r="R631" s="1204"/>
      <c r="S631" s="1211"/>
    </row>
    <row r="632" spans="1:19">
      <c r="A632" s="1164"/>
      <c r="B632" s="1165"/>
      <c r="C632" s="1167"/>
      <c r="D632" s="1167"/>
      <c r="E632" s="1167"/>
      <c r="F632" s="1166"/>
      <c r="G632" s="1168"/>
      <c r="H632" s="1167"/>
      <c r="I632" s="1169"/>
      <c r="J632" s="1190"/>
      <c r="K632" s="1204"/>
      <c r="L632" s="1204"/>
      <c r="M632" s="1207"/>
      <c r="N632" s="1204"/>
      <c r="O632" s="1204"/>
      <c r="P632" s="1204"/>
      <c r="Q632" s="1204"/>
      <c r="R632" s="1204"/>
      <c r="S632" s="1211"/>
    </row>
    <row r="633" spans="1:19">
      <c r="A633" s="1164"/>
      <c r="B633" s="1165"/>
      <c r="C633" s="1167"/>
      <c r="D633" s="1167"/>
      <c r="E633" s="1167"/>
      <c r="F633" s="1166"/>
      <c r="G633" s="1168"/>
      <c r="H633" s="1167"/>
      <c r="I633" s="1169"/>
      <c r="J633" s="1190"/>
      <c r="K633" s="1204"/>
      <c r="L633" s="1204"/>
      <c r="M633" s="1207"/>
      <c r="N633" s="1204"/>
      <c r="O633" s="1204"/>
      <c r="P633" s="1204"/>
      <c r="Q633" s="1204"/>
      <c r="R633" s="1204"/>
      <c r="S633" s="1211"/>
    </row>
    <row r="634" spans="1:19">
      <c r="A634" s="1164"/>
      <c r="B634" s="1165"/>
      <c r="C634" s="1167"/>
      <c r="D634" s="1167"/>
      <c r="E634" s="1167"/>
      <c r="F634" s="1166"/>
      <c r="G634" s="1168"/>
      <c r="H634" s="1167"/>
      <c r="I634" s="1169"/>
      <c r="J634" s="1190"/>
      <c r="K634" s="1204"/>
      <c r="L634" s="1204"/>
      <c r="M634" s="1207"/>
      <c r="N634" s="1204"/>
      <c r="O634" s="1204"/>
      <c r="P634" s="1204"/>
      <c r="Q634" s="1204"/>
      <c r="R634" s="1204"/>
      <c r="S634" s="1211"/>
    </row>
    <row r="635" spans="1:19">
      <c r="A635" s="1164"/>
      <c r="B635" s="1165"/>
      <c r="C635" s="1167"/>
      <c r="D635" s="1167"/>
      <c r="E635" s="1167"/>
      <c r="F635" s="1166"/>
      <c r="G635" s="1168"/>
      <c r="H635" s="1167"/>
      <c r="I635" s="1169"/>
      <c r="J635" s="1190"/>
      <c r="K635" s="1204"/>
      <c r="L635" s="1204"/>
      <c r="M635" s="1207"/>
      <c r="N635" s="1204"/>
      <c r="O635" s="1204"/>
      <c r="P635" s="1204"/>
      <c r="Q635" s="1204"/>
      <c r="R635" s="1204"/>
      <c r="S635" s="1211"/>
    </row>
    <row r="636" spans="1:19">
      <c r="A636" s="1164"/>
      <c r="B636" s="1165"/>
      <c r="C636" s="1167"/>
      <c r="D636" s="1167"/>
      <c r="E636" s="1167"/>
      <c r="F636" s="1166"/>
      <c r="G636" s="1168"/>
      <c r="H636" s="1167"/>
      <c r="I636" s="1169"/>
      <c r="J636" s="1190"/>
      <c r="K636" s="1204"/>
      <c r="L636" s="1204"/>
      <c r="M636" s="1207"/>
      <c r="N636" s="1204"/>
      <c r="O636" s="1204"/>
      <c r="P636" s="1204"/>
      <c r="Q636" s="1204"/>
      <c r="R636" s="1204"/>
      <c r="S636" s="1211"/>
    </row>
    <row r="637" spans="1:19">
      <c r="A637" s="1164"/>
      <c r="B637" s="1165"/>
      <c r="C637" s="1167"/>
      <c r="D637" s="1167"/>
      <c r="E637" s="1167"/>
      <c r="F637" s="1166"/>
      <c r="G637" s="1168"/>
      <c r="H637" s="1167"/>
      <c r="I637" s="1169"/>
      <c r="J637" s="1190"/>
      <c r="K637" s="1204"/>
      <c r="L637" s="1204"/>
      <c r="M637" s="1207"/>
      <c r="N637" s="1204"/>
      <c r="O637" s="1204"/>
      <c r="P637" s="1204"/>
      <c r="Q637" s="1204"/>
      <c r="R637" s="1204"/>
      <c r="S637" s="1211"/>
    </row>
    <row r="638" spans="1:19">
      <c r="A638" s="1164"/>
      <c r="B638" s="1165"/>
      <c r="C638" s="1167"/>
      <c r="D638" s="1167"/>
      <c r="E638" s="1167"/>
      <c r="F638" s="1166"/>
      <c r="G638" s="1168"/>
      <c r="H638" s="1167"/>
      <c r="I638" s="1169"/>
      <c r="J638" s="1190"/>
      <c r="K638" s="1204"/>
      <c r="L638" s="1204"/>
      <c r="M638" s="1207"/>
      <c r="N638" s="1204"/>
      <c r="O638" s="1204"/>
      <c r="P638" s="1204"/>
      <c r="Q638" s="1204"/>
      <c r="R638" s="1204"/>
      <c r="S638" s="1211"/>
    </row>
    <row r="639" spans="1:19">
      <c r="A639" s="1164"/>
      <c r="B639" s="1165"/>
      <c r="C639" s="1167"/>
      <c r="D639" s="1167"/>
      <c r="E639" s="1167"/>
      <c r="F639" s="1166"/>
      <c r="G639" s="1168"/>
      <c r="H639" s="1167"/>
      <c r="I639" s="1169"/>
      <c r="J639" s="1190"/>
      <c r="K639" s="1204"/>
      <c r="L639" s="1204"/>
      <c r="M639" s="1207"/>
      <c r="N639" s="1204"/>
      <c r="O639" s="1204"/>
      <c r="P639" s="1204"/>
      <c r="Q639" s="1204"/>
      <c r="R639" s="1204"/>
      <c r="S639" s="1211"/>
    </row>
    <row r="640" spans="1:19">
      <c r="A640" s="1164"/>
      <c r="B640" s="1165"/>
      <c r="C640" s="1167"/>
      <c r="D640" s="1167"/>
      <c r="E640" s="1167"/>
      <c r="F640" s="1166"/>
      <c r="G640" s="1168"/>
      <c r="H640" s="1167"/>
      <c r="I640" s="1169"/>
      <c r="J640" s="1190"/>
      <c r="K640" s="1204"/>
      <c r="L640" s="1204"/>
      <c r="M640" s="1207"/>
      <c r="N640" s="1204"/>
      <c r="O640" s="1204"/>
      <c r="P640" s="1204"/>
      <c r="Q640" s="1204"/>
      <c r="R640" s="1204"/>
      <c r="S640" s="1211"/>
    </row>
    <row r="641" spans="1:19">
      <c r="A641" s="1164"/>
      <c r="B641" s="1165"/>
      <c r="C641" s="1167"/>
      <c r="D641" s="1167"/>
      <c r="E641" s="1167"/>
      <c r="F641" s="1166"/>
      <c r="G641" s="1168"/>
      <c r="H641" s="1167"/>
      <c r="I641" s="1169"/>
      <c r="J641" s="1190"/>
      <c r="K641" s="1204"/>
      <c r="L641" s="1204"/>
      <c r="M641" s="1207"/>
      <c r="N641" s="1204"/>
      <c r="O641" s="1204"/>
      <c r="P641" s="1204"/>
      <c r="Q641" s="1204"/>
      <c r="R641" s="1204"/>
      <c r="S641" s="1211"/>
    </row>
    <row r="642" spans="1:19">
      <c r="A642" s="1164"/>
      <c r="B642" s="1165"/>
      <c r="C642" s="1167"/>
      <c r="D642" s="1167"/>
      <c r="E642" s="1167"/>
      <c r="F642" s="1166"/>
      <c r="G642" s="1168"/>
      <c r="H642" s="1167"/>
      <c r="I642" s="1169"/>
      <c r="J642" s="1190"/>
      <c r="K642" s="1204"/>
      <c r="L642" s="1204"/>
      <c r="M642" s="1207"/>
      <c r="N642" s="1204"/>
      <c r="O642" s="1204"/>
      <c r="P642" s="1204"/>
      <c r="Q642" s="1204"/>
      <c r="R642" s="1204"/>
      <c r="S642" s="1211"/>
    </row>
    <row r="643" spans="1:19">
      <c r="A643" s="1164"/>
      <c r="B643" s="1165"/>
      <c r="C643" s="1167"/>
      <c r="D643" s="1167"/>
      <c r="E643" s="1167"/>
      <c r="F643" s="1166"/>
      <c r="G643" s="1168"/>
      <c r="H643" s="1167"/>
      <c r="I643" s="1169"/>
      <c r="J643" s="1190"/>
      <c r="K643" s="1204"/>
      <c r="L643" s="1204"/>
      <c r="M643" s="1207"/>
      <c r="N643" s="1204"/>
      <c r="O643" s="1204"/>
      <c r="P643" s="1204"/>
      <c r="Q643" s="1204"/>
      <c r="R643" s="1204"/>
      <c r="S643" s="1211"/>
    </row>
    <row r="644" spans="1:19">
      <c r="A644" s="1164"/>
      <c r="B644" s="1165"/>
      <c r="C644" s="1167"/>
      <c r="D644" s="1167"/>
      <c r="E644" s="1167"/>
      <c r="F644" s="1166"/>
      <c r="G644" s="1168"/>
      <c r="H644" s="1167"/>
      <c r="I644" s="1169"/>
      <c r="J644" s="1190"/>
      <c r="K644" s="1204"/>
      <c r="L644" s="1204"/>
      <c r="M644" s="1207"/>
      <c r="N644" s="1204"/>
      <c r="O644" s="1204"/>
      <c r="P644" s="1204"/>
      <c r="Q644" s="1204"/>
      <c r="R644" s="1204"/>
      <c r="S644" s="1211"/>
    </row>
    <row r="645" spans="1:19">
      <c r="A645" s="1164"/>
      <c r="B645" s="1165"/>
      <c r="C645" s="1167"/>
      <c r="D645" s="1167"/>
      <c r="E645" s="1167"/>
      <c r="F645" s="1166"/>
      <c r="G645" s="1168"/>
      <c r="H645" s="1167"/>
      <c r="I645" s="1169"/>
      <c r="J645" s="1190"/>
      <c r="K645" s="1204"/>
      <c r="L645" s="1204"/>
      <c r="M645" s="1207"/>
      <c r="N645" s="1204"/>
      <c r="O645" s="1204"/>
      <c r="P645" s="1204"/>
      <c r="Q645" s="1204"/>
      <c r="R645" s="1204"/>
      <c r="S645" s="1211"/>
    </row>
    <row r="646" spans="1:19">
      <c r="A646" s="1164"/>
      <c r="B646" s="1165"/>
      <c r="C646" s="1167"/>
      <c r="D646" s="1167"/>
      <c r="E646" s="1167"/>
      <c r="F646" s="1166"/>
      <c r="G646" s="1168"/>
      <c r="H646" s="1167"/>
      <c r="I646" s="1169"/>
      <c r="J646" s="1190"/>
      <c r="K646" s="1204"/>
      <c r="L646" s="1204"/>
      <c r="M646" s="1207"/>
      <c r="N646" s="1204"/>
      <c r="O646" s="1204"/>
      <c r="P646" s="1204"/>
      <c r="Q646" s="1204"/>
      <c r="R646" s="1204"/>
      <c r="S646" s="1211"/>
    </row>
    <row r="647" spans="1:19">
      <c r="A647" s="1164"/>
      <c r="B647" s="1165"/>
      <c r="C647" s="1167"/>
      <c r="D647" s="1167"/>
      <c r="E647" s="1167"/>
      <c r="F647" s="1166"/>
      <c r="G647" s="1168"/>
      <c r="H647" s="1167"/>
      <c r="I647" s="1169"/>
      <c r="J647" s="1190"/>
      <c r="K647" s="1204"/>
      <c r="L647" s="1204"/>
      <c r="M647" s="1207"/>
      <c r="N647" s="1204"/>
      <c r="O647" s="1204"/>
      <c r="P647" s="1204"/>
      <c r="Q647" s="1204"/>
      <c r="R647" s="1204"/>
      <c r="S647" s="1211"/>
    </row>
    <row r="648" spans="1:19">
      <c r="A648" s="1164"/>
      <c r="B648" s="1165"/>
      <c r="C648" s="1167"/>
      <c r="D648" s="1167"/>
      <c r="E648" s="1167"/>
      <c r="F648" s="1166"/>
      <c r="G648" s="1168"/>
      <c r="H648" s="1167"/>
      <c r="I648" s="1169"/>
      <c r="J648" s="1190"/>
      <c r="K648" s="1204"/>
      <c r="L648" s="1204"/>
      <c r="M648" s="1207"/>
      <c r="N648" s="1204"/>
      <c r="O648" s="1204"/>
      <c r="P648" s="1204"/>
      <c r="Q648" s="1204"/>
      <c r="R648" s="1204"/>
      <c r="S648" s="1211"/>
    </row>
    <row r="649" spans="1:19">
      <c r="A649" s="1164"/>
      <c r="B649" s="1165"/>
      <c r="C649" s="1167"/>
      <c r="D649" s="1167"/>
      <c r="E649" s="1167"/>
      <c r="F649" s="1166"/>
      <c r="G649" s="1168"/>
      <c r="H649" s="1167"/>
      <c r="I649" s="1169"/>
      <c r="J649" s="1190"/>
      <c r="K649" s="1204"/>
      <c r="L649" s="1204"/>
      <c r="M649" s="1207"/>
      <c r="N649" s="1204"/>
      <c r="O649" s="1204"/>
      <c r="P649" s="1204"/>
      <c r="Q649" s="1204"/>
      <c r="R649" s="1204"/>
      <c r="S649" s="1211"/>
    </row>
    <row r="650" spans="1:19">
      <c r="A650" s="1164"/>
      <c r="B650" s="1165"/>
      <c r="C650" s="1167"/>
      <c r="D650" s="1167"/>
      <c r="E650" s="1167"/>
      <c r="F650" s="1166"/>
      <c r="G650" s="1168"/>
      <c r="H650" s="1167"/>
      <c r="I650" s="1169"/>
      <c r="J650" s="1190"/>
      <c r="K650" s="1204"/>
      <c r="L650" s="1204"/>
      <c r="M650" s="1207"/>
      <c r="N650" s="1204"/>
      <c r="O650" s="1204"/>
      <c r="P650" s="1204"/>
      <c r="Q650" s="1204"/>
      <c r="R650" s="1204"/>
      <c r="S650" s="1211"/>
    </row>
    <row r="651" spans="1:19">
      <c r="A651" s="1164"/>
      <c r="B651" s="1165"/>
      <c r="C651" s="1167"/>
      <c r="D651" s="1167"/>
      <c r="E651" s="1167"/>
      <c r="F651" s="1166"/>
      <c r="G651" s="1168"/>
      <c r="H651" s="1167"/>
      <c r="I651" s="1169"/>
      <c r="J651" s="1190"/>
      <c r="K651" s="1204"/>
      <c r="L651" s="1204"/>
      <c r="M651" s="1207"/>
      <c r="N651" s="1204"/>
      <c r="O651" s="1204"/>
      <c r="P651" s="1204"/>
      <c r="Q651" s="1204"/>
      <c r="R651" s="1204"/>
      <c r="S651" s="1211"/>
    </row>
    <row r="652" spans="1:19">
      <c r="A652" s="1164"/>
      <c r="B652" s="1165"/>
      <c r="C652" s="1167"/>
      <c r="D652" s="1167"/>
      <c r="E652" s="1167"/>
      <c r="F652" s="1166"/>
      <c r="G652" s="1168"/>
      <c r="H652" s="1167"/>
      <c r="I652" s="1169"/>
      <c r="J652" s="1190"/>
      <c r="K652" s="1204"/>
      <c r="L652" s="1204"/>
      <c r="M652" s="1207"/>
      <c r="N652" s="1204"/>
      <c r="O652" s="1204"/>
      <c r="P652" s="1204"/>
      <c r="Q652" s="1204"/>
      <c r="R652" s="1204"/>
      <c r="S652" s="1211"/>
    </row>
    <row r="653" spans="1:19">
      <c r="A653" s="1164"/>
      <c r="B653" s="1165"/>
      <c r="C653" s="1167"/>
      <c r="D653" s="1167"/>
      <c r="E653" s="1167"/>
      <c r="F653" s="1166"/>
      <c r="G653" s="1168"/>
      <c r="H653" s="1167"/>
      <c r="I653" s="1169"/>
      <c r="J653" s="1190"/>
      <c r="K653" s="1204"/>
      <c r="L653" s="1204"/>
      <c r="M653" s="1207"/>
      <c r="N653" s="1204"/>
      <c r="O653" s="1204"/>
      <c r="P653" s="1204"/>
      <c r="Q653" s="1204"/>
      <c r="R653" s="1204"/>
      <c r="S653" s="1211"/>
    </row>
    <row r="654" spans="1:19">
      <c r="A654" s="1164"/>
      <c r="B654" s="1165"/>
      <c r="C654" s="1167"/>
      <c r="D654" s="1167"/>
      <c r="E654" s="1167"/>
      <c r="F654" s="1166"/>
      <c r="G654" s="1168"/>
      <c r="H654" s="1167"/>
      <c r="I654" s="1169"/>
      <c r="J654" s="1190"/>
      <c r="K654" s="1204"/>
      <c r="L654" s="1204"/>
      <c r="M654" s="1207"/>
      <c r="N654" s="1204"/>
      <c r="O654" s="1204"/>
      <c r="P654" s="1204"/>
      <c r="Q654" s="1204"/>
      <c r="R654" s="1204"/>
      <c r="S654" s="1211"/>
    </row>
    <row r="655" spans="1:19">
      <c r="A655" s="1164"/>
      <c r="B655" s="1165"/>
      <c r="C655" s="1167"/>
      <c r="D655" s="1167"/>
      <c r="E655" s="1167"/>
      <c r="F655" s="1166"/>
      <c r="G655" s="1168"/>
      <c r="H655" s="1167"/>
      <c r="I655" s="1169"/>
      <c r="J655" s="1190"/>
      <c r="K655" s="1204"/>
      <c r="L655" s="1204"/>
      <c r="M655" s="1207"/>
      <c r="N655" s="1204"/>
      <c r="O655" s="1204"/>
      <c r="P655" s="1204"/>
      <c r="Q655" s="1204"/>
      <c r="R655" s="1204"/>
      <c r="S655" s="1211"/>
    </row>
    <row r="656" spans="1:19">
      <c r="A656" s="1164"/>
      <c r="B656" s="1165"/>
      <c r="C656" s="1167"/>
      <c r="D656" s="1167"/>
      <c r="E656" s="1167"/>
      <c r="F656" s="1166"/>
      <c r="G656" s="1168"/>
      <c r="H656" s="1167"/>
      <c r="I656" s="1169"/>
      <c r="J656" s="1190"/>
      <c r="K656" s="1204"/>
      <c r="L656" s="1204"/>
      <c r="M656" s="1207"/>
      <c r="N656" s="1204"/>
      <c r="O656" s="1204"/>
      <c r="P656" s="1204"/>
      <c r="Q656" s="1204"/>
      <c r="R656" s="1204"/>
      <c r="S656" s="1211"/>
    </row>
    <row r="657" spans="1:19">
      <c r="A657" s="1164"/>
      <c r="B657" s="1165"/>
      <c r="C657" s="1167"/>
      <c r="D657" s="1167"/>
      <c r="E657" s="1167"/>
      <c r="F657" s="1166"/>
      <c r="G657" s="1168"/>
      <c r="H657" s="1167"/>
      <c r="I657" s="1169"/>
      <c r="J657" s="1190"/>
      <c r="K657" s="1204"/>
      <c r="L657" s="1204"/>
      <c r="M657" s="1207"/>
      <c r="N657" s="1204"/>
      <c r="O657" s="1204"/>
      <c r="P657" s="1204"/>
      <c r="Q657" s="1204"/>
      <c r="R657" s="1204"/>
      <c r="S657" s="1211"/>
    </row>
    <row r="658" spans="1:19">
      <c r="A658" s="1164"/>
      <c r="B658" s="1165"/>
      <c r="C658" s="1167"/>
      <c r="D658" s="1167"/>
      <c r="E658" s="1167"/>
      <c r="F658" s="1166"/>
      <c r="G658" s="1168"/>
      <c r="H658" s="1167"/>
      <c r="I658" s="1169"/>
      <c r="J658" s="1190"/>
      <c r="K658" s="1204"/>
      <c r="L658" s="1204"/>
      <c r="M658" s="1207"/>
      <c r="N658" s="1204"/>
      <c r="O658" s="1204"/>
      <c r="P658" s="1204"/>
      <c r="Q658" s="1204"/>
      <c r="R658" s="1204"/>
      <c r="S658" s="1211"/>
    </row>
    <row r="659" spans="1:19">
      <c r="A659" s="1164"/>
      <c r="B659" s="1165"/>
      <c r="C659" s="1167"/>
      <c r="D659" s="1167"/>
      <c r="E659" s="1167"/>
      <c r="F659" s="1166"/>
      <c r="G659" s="1168"/>
      <c r="H659" s="1167"/>
      <c r="I659" s="1169"/>
      <c r="J659" s="1190"/>
      <c r="K659" s="1204"/>
      <c r="L659" s="1204"/>
      <c r="M659" s="1207"/>
      <c r="N659" s="1204"/>
      <c r="O659" s="1204"/>
      <c r="P659" s="1204"/>
      <c r="Q659" s="1204"/>
      <c r="R659" s="1204"/>
      <c r="S659" s="1211"/>
    </row>
    <row r="660" spans="1:19">
      <c r="A660" s="1164"/>
      <c r="B660" s="1165"/>
      <c r="C660" s="1167"/>
      <c r="D660" s="1167"/>
      <c r="E660" s="1167"/>
      <c r="F660" s="1166"/>
      <c r="G660" s="1168"/>
      <c r="H660" s="1167"/>
      <c r="I660" s="1169"/>
      <c r="J660" s="1190"/>
      <c r="K660" s="1204"/>
      <c r="L660" s="1204"/>
      <c r="M660" s="1207"/>
      <c r="N660" s="1204"/>
      <c r="O660" s="1204"/>
      <c r="P660" s="1204"/>
      <c r="Q660" s="1204"/>
      <c r="R660" s="1204"/>
      <c r="S660" s="1211"/>
    </row>
    <row r="661" spans="1:19">
      <c r="A661" s="1164"/>
      <c r="B661" s="1165"/>
      <c r="C661" s="1167"/>
      <c r="D661" s="1167"/>
      <c r="E661" s="1167"/>
      <c r="F661" s="1166"/>
      <c r="G661" s="1168"/>
      <c r="H661" s="1167"/>
      <c r="I661" s="1169"/>
      <c r="J661" s="1190"/>
      <c r="K661" s="1204"/>
      <c r="L661" s="1204"/>
      <c r="M661" s="1207"/>
      <c r="N661" s="1204"/>
      <c r="O661" s="1204"/>
      <c r="P661" s="1204"/>
      <c r="Q661" s="1204"/>
      <c r="R661" s="1204"/>
      <c r="S661" s="1211"/>
    </row>
    <row r="662" spans="1:19">
      <c r="A662" s="1164"/>
      <c r="B662" s="1165"/>
      <c r="C662" s="1167"/>
      <c r="D662" s="1167"/>
      <c r="E662" s="1167"/>
      <c r="F662" s="1166"/>
      <c r="G662" s="1168"/>
      <c r="H662" s="1167"/>
      <c r="I662" s="1169"/>
      <c r="J662" s="1190"/>
      <c r="K662" s="1204"/>
      <c r="L662" s="1204"/>
      <c r="M662" s="1207"/>
      <c r="N662" s="1204"/>
      <c r="O662" s="1204"/>
      <c r="P662" s="1204"/>
      <c r="Q662" s="1204"/>
      <c r="R662" s="1204"/>
      <c r="S662" s="1211"/>
    </row>
    <row r="663" spans="1:19">
      <c r="A663" s="1164"/>
      <c r="B663" s="1165"/>
      <c r="C663" s="1167"/>
      <c r="D663" s="1167"/>
      <c r="E663" s="1167"/>
      <c r="F663" s="1166"/>
      <c r="G663" s="1168"/>
      <c r="H663" s="1167"/>
      <c r="I663" s="1169"/>
      <c r="J663" s="1190"/>
      <c r="K663" s="1204"/>
      <c r="L663" s="1204"/>
      <c r="M663" s="1207"/>
      <c r="N663" s="1204"/>
      <c r="O663" s="1204"/>
      <c r="P663" s="1204"/>
      <c r="Q663" s="1204"/>
      <c r="R663" s="1204"/>
      <c r="S663" s="1211"/>
    </row>
    <row r="664" spans="1:19">
      <c r="A664" s="1164"/>
      <c r="B664" s="1165"/>
      <c r="C664" s="1167"/>
      <c r="D664" s="1167"/>
      <c r="E664" s="1167"/>
      <c r="F664" s="1166"/>
      <c r="G664" s="1168"/>
      <c r="H664" s="1167"/>
      <c r="I664" s="1169"/>
      <c r="J664" s="1190"/>
      <c r="K664" s="1204"/>
      <c r="L664" s="1204"/>
      <c r="M664" s="1207"/>
      <c r="N664" s="1204"/>
      <c r="O664" s="1204"/>
      <c r="P664" s="1204"/>
      <c r="Q664" s="1204"/>
      <c r="R664" s="1204"/>
      <c r="S664" s="1211"/>
    </row>
    <row r="665" spans="1:19">
      <c r="A665" s="1164"/>
      <c r="B665" s="1165"/>
      <c r="C665" s="1167"/>
      <c r="D665" s="1167"/>
      <c r="E665" s="1167"/>
      <c r="F665" s="1166"/>
      <c r="G665" s="1168"/>
      <c r="H665" s="1167"/>
      <c r="I665" s="1169"/>
      <c r="J665" s="1190"/>
      <c r="K665" s="1204"/>
      <c r="L665" s="1204"/>
      <c r="M665" s="1207"/>
      <c r="N665" s="1204"/>
      <c r="O665" s="1204"/>
      <c r="P665" s="1204"/>
      <c r="Q665" s="1204"/>
      <c r="R665" s="1204"/>
      <c r="S665" s="1211"/>
    </row>
    <row r="666" spans="1:19">
      <c r="A666" s="1164"/>
      <c r="B666" s="1165"/>
      <c r="C666" s="1167"/>
      <c r="D666" s="1167"/>
      <c r="E666" s="1167"/>
      <c r="F666" s="1166"/>
      <c r="G666" s="1168"/>
      <c r="H666" s="1167"/>
      <c r="I666" s="1169"/>
      <c r="J666" s="1190"/>
      <c r="K666" s="1204"/>
      <c r="L666" s="1204"/>
      <c r="M666" s="1207"/>
      <c r="N666" s="1204"/>
      <c r="O666" s="1204"/>
      <c r="P666" s="1204"/>
      <c r="Q666" s="1204"/>
      <c r="R666" s="1204"/>
      <c r="S666" s="1211"/>
    </row>
    <row r="667" spans="1:19">
      <c r="A667" s="1164"/>
      <c r="B667" s="1165"/>
      <c r="C667" s="1167"/>
      <c r="D667" s="1167"/>
      <c r="E667" s="1167"/>
      <c r="F667" s="1166"/>
      <c r="G667" s="1168"/>
      <c r="H667" s="1167"/>
      <c r="I667" s="1169"/>
      <c r="J667" s="1190"/>
      <c r="K667" s="1204"/>
      <c r="L667" s="1204"/>
      <c r="M667" s="1207"/>
      <c r="N667" s="1204"/>
      <c r="O667" s="1204"/>
      <c r="P667" s="1204"/>
      <c r="Q667" s="1204"/>
      <c r="R667" s="1204"/>
      <c r="S667" s="1211"/>
    </row>
    <row r="668" spans="1:19">
      <c r="A668" s="1164"/>
      <c r="B668" s="1165"/>
      <c r="C668" s="1167"/>
      <c r="D668" s="1167"/>
      <c r="E668" s="1167"/>
      <c r="F668" s="1166"/>
      <c r="G668" s="1168"/>
      <c r="H668" s="1167"/>
      <c r="I668" s="1169"/>
      <c r="J668" s="1190"/>
      <c r="K668" s="1204"/>
      <c r="L668" s="1204"/>
      <c r="M668" s="1207"/>
      <c r="N668" s="1204"/>
      <c r="O668" s="1204"/>
      <c r="P668" s="1204"/>
      <c r="Q668" s="1204"/>
      <c r="R668" s="1204"/>
      <c r="S668" s="1211"/>
    </row>
    <row r="669" spans="1:19">
      <c r="A669" s="1164"/>
      <c r="B669" s="1165"/>
      <c r="C669" s="1167"/>
      <c r="D669" s="1167"/>
      <c r="E669" s="1167"/>
      <c r="F669" s="1166"/>
      <c r="G669" s="1168"/>
      <c r="H669" s="1167"/>
      <c r="I669" s="1169"/>
      <c r="J669" s="1190"/>
      <c r="K669" s="1204"/>
      <c r="L669" s="1204"/>
      <c r="M669" s="1207"/>
      <c r="N669" s="1204"/>
      <c r="O669" s="1204"/>
      <c r="P669" s="1204"/>
      <c r="Q669" s="1204"/>
      <c r="R669" s="1204"/>
      <c r="S669" s="1211"/>
    </row>
    <row r="670" spans="1:19">
      <c r="A670" s="1164"/>
      <c r="B670" s="1165"/>
      <c r="C670" s="1167"/>
      <c r="D670" s="1167"/>
      <c r="E670" s="1167"/>
      <c r="F670" s="1166"/>
      <c r="G670" s="1168"/>
      <c r="H670" s="1167"/>
      <c r="I670" s="1169"/>
      <c r="J670" s="1190"/>
      <c r="K670" s="1204"/>
      <c r="L670" s="1204"/>
      <c r="M670" s="1207"/>
      <c r="N670" s="1204"/>
      <c r="O670" s="1204"/>
      <c r="P670" s="1204"/>
      <c r="Q670" s="1204"/>
      <c r="R670" s="1204"/>
      <c r="S670" s="1211"/>
    </row>
    <row r="671" spans="1:19">
      <c r="A671" s="1164"/>
      <c r="B671" s="1165"/>
      <c r="C671" s="1167"/>
      <c r="D671" s="1167"/>
      <c r="E671" s="1167"/>
      <c r="F671" s="1166"/>
      <c r="G671" s="1168"/>
      <c r="H671" s="1167"/>
      <c r="I671" s="1169"/>
      <c r="J671" s="1190"/>
      <c r="K671" s="1204"/>
      <c r="L671" s="1204"/>
      <c r="M671" s="1207"/>
      <c r="N671" s="1204"/>
      <c r="O671" s="1204"/>
      <c r="P671" s="1204"/>
      <c r="Q671" s="1204"/>
      <c r="R671" s="1204"/>
      <c r="S671" s="1211"/>
    </row>
    <row r="672" spans="1:19">
      <c r="A672" s="1164"/>
      <c r="B672" s="1165"/>
      <c r="C672" s="1167"/>
      <c r="D672" s="1167"/>
      <c r="E672" s="1167"/>
      <c r="F672" s="1166"/>
      <c r="G672" s="1168"/>
      <c r="H672" s="1167"/>
      <c r="I672" s="1169"/>
      <c r="J672" s="1190"/>
      <c r="K672" s="1204"/>
      <c r="L672" s="1204"/>
      <c r="M672" s="1207"/>
      <c r="N672" s="1204"/>
      <c r="O672" s="1204"/>
      <c r="P672" s="1204"/>
      <c r="Q672" s="1204"/>
      <c r="R672" s="1204"/>
      <c r="S672" s="1211"/>
    </row>
    <row r="673" spans="1:19">
      <c r="A673" s="1164"/>
      <c r="B673" s="1165"/>
      <c r="C673" s="1167"/>
      <c r="D673" s="1167"/>
      <c r="E673" s="1167"/>
      <c r="F673" s="1166"/>
      <c r="G673" s="1168"/>
      <c r="H673" s="1167"/>
      <c r="I673" s="1169"/>
      <c r="J673" s="1190"/>
      <c r="K673" s="1204"/>
      <c r="L673" s="1204"/>
      <c r="M673" s="1207"/>
      <c r="N673" s="1204"/>
      <c r="O673" s="1204"/>
      <c r="P673" s="1204"/>
      <c r="Q673" s="1204"/>
      <c r="R673" s="1204"/>
      <c r="S673" s="1211"/>
    </row>
    <row r="674" spans="1:19">
      <c r="A674" s="1164"/>
      <c r="B674" s="1165"/>
      <c r="C674" s="1167"/>
      <c r="D674" s="1167"/>
      <c r="E674" s="1167"/>
      <c r="F674" s="1166"/>
      <c r="G674" s="1168"/>
      <c r="H674" s="1167"/>
      <c r="I674" s="1169"/>
      <c r="J674" s="1190"/>
      <c r="K674" s="1204"/>
      <c r="L674" s="1204"/>
      <c r="M674" s="1207"/>
      <c r="N674" s="1204"/>
      <c r="O674" s="1204"/>
      <c r="P674" s="1204"/>
      <c r="Q674" s="1204"/>
      <c r="R674" s="1204"/>
      <c r="S674" s="1211"/>
    </row>
    <row r="675" spans="1:19">
      <c r="A675" s="1164"/>
      <c r="B675" s="1165"/>
      <c r="C675" s="1167"/>
      <c r="D675" s="1167"/>
      <c r="E675" s="1167"/>
      <c r="F675" s="1166"/>
      <c r="G675" s="1168"/>
      <c r="H675" s="1167"/>
      <c r="I675" s="1169"/>
      <c r="J675" s="1190"/>
      <c r="K675" s="1204"/>
      <c r="L675" s="1204"/>
      <c r="M675" s="1207"/>
      <c r="N675" s="1204"/>
      <c r="O675" s="1204"/>
      <c r="P675" s="1204"/>
      <c r="Q675" s="1204"/>
      <c r="R675" s="1204"/>
      <c r="S675" s="1211"/>
    </row>
    <row r="676" spans="1:19">
      <c r="A676" s="1164"/>
      <c r="B676" s="1165"/>
      <c r="C676" s="1167"/>
      <c r="D676" s="1167"/>
      <c r="E676" s="1167"/>
      <c r="F676" s="1166"/>
      <c r="G676" s="1168"/>
      <c r="H676" s="1167"/>
      <c r="I676" s="1169"/>
      <c r="J676" s="1190"/>
      <c r="K676" s="1204"/>
      <c r="L676" s="1204"/>
      <c r="M676" s="1207"/>
      <c r="N676" s="1204"/>
      <c r="O676" s="1204"/>
      <c r="P676" s="1204"/>
      <c r="Q676" s="1204"/>
      <c r="R676" s="1204"/>
      <c r="S676" s="1211"/>
    </row>
    <row r="677" spans="1:19">
      <c r="A677" s="1164"/>
      <c r="B677" s="1165"/>
      <c r="C677" s="1167"/>
      <c r="D677" s="1167"/>
      <c r="E677" s="1167"/>
      <c r="F677" s="1166"/>
      <c r="G677" s="1168"/>
      <c r="H677" s="1167"/>
      <c r="I677" s="1169"/>
      <c r="J677" s="1190"/>
      <c r="K677" s="1204"/>
      <c r="L677" s="1204"/>
      <c r="M677" s="1207"/>
      <c r="N677" s="1204"/>
      <c r="O677" s="1204"/>
      <c r="P677" s="1204"/>
      <c r="Q677" s="1204"/>
      <c r="R677" s="1204"/>
      <c r="S677" s="1211"/>
    </row>
    <row r="678" spans="1:19">
      <c r="A678" s="1164"/>
      <c r="B678" s="1165"/>
      <c r="C678" s="1167"/>
      <c r="D678" s="1167"/>
      <c r="E678" s="1167"/>
      <c r="F678" s="1166"/>
      <c r="G678" s="1168"/>
      <c r="H678" s="1167"/>
      <c r="I678" s="1169"/>
      <c r="J678" s="1190"/>
      <c r="K678" s="1204"/>
      <c r="L678" s="1204"/>
      <c r="M678" s="1207"/>
      <c r="N678" s="1204"/>
      <c r="O678" s="1204"/>
      <c r="P678" s="1204"/>
      <c r="Q678" s="1204"/>
      <c r="R678" s="1204"/>
      <c r="S678" s="1211"/>
    </row>
    <row r="679" spans="1:19">
      <c r="A679" s="1164"/>
      <c r="B679" s="1165"/>
      <c r="C679" s="1167"/>
      <c r="D679" s="1167"/>
      <c r="E679" s="1167"/>
      <c r="F679" s="1166"/>
      <c r="G679" s="1168"/>
      <c r="H679" s="1167"/>
      <c r="I679" s="1169"/>
      <c r="J679" s="1190"/>
      <c r="K679" s="1204"/>
      <c r="L679" s="1204"/>
      <c r="M679" s="1207"/>
      <c r="N679" s="1204"/>
      <c r="O679" s="1204"/>
      <c r="P679" s="1204"/>
      <c r="Q679" s="1204"/>
      <c r="R679" s="1204"/>
      <c r="S679" s="1211"/>
    </row>
    <row r="680" spans="1:19">
      <c r="A680" s="1164"/>
      <c r="B680" s="1165"/>
      <c r="C680" s="1167"/>
      <c r="D680" s="1167"/>
      <c r="E680" s="1167"/>
      <c r="F680" s="1166"/>
      <c r="G680" s="1168"/>
      <c r="H680" s="1167"/>
      <c r="I680" s="1169"/>
      <c r="J680" s="1190"/>
      <c r="K680" s="1204"/>
      <c r="L680" s="1204"/>
      <c r="M680" s="1207"/>
      <c r="N680" s="1204"/>
      <c r="O680" s="1204"/>
      <c r="P680" s="1204"/>
      <c r="Q680" s="1204"/>
      <c r="R680" s="1204"/>
      <c r="S680" s="1211"/>
    </row>
    <row r="681" spans="1:19">
      <c r="A681" s="1164"/>
      <c r="B681" s="1165"/>
      <c r="C681" s="1167"/>
      <c r="D681" s="1167"/>
      <c r="E681" s="1167"/>
      <c r="F681" s="1166"/>
      <c r="G681" s="1168"/>
      <c r="H681" s="1167"/>
      <c r="I681" s="1169"/>
      <c r="J681" s="1190"/>
      <c r="K681" s="1204"/>
      <c r="L681" s="1204"/>
      <c r="M681" s="1207"/>
      <c r="N681" s="1204"/>
      <c r="O681" s="1204"/>
      <c r="P681" s="1204"/>
      <c r="Q681" s="1204"/>
      <c r="R681" s="1204"/>
      <c r="S681" s="1211"/>
    </row>
    <row r="682" spans="1:19">
      <c r="A682" s="1164"/>
      <c r="B682" s="1165"/>
      <c r="C682" s="1167"/>
      <c r="D682" s="1167"/>
      <c r="E682" s="1167"/>
      <c r="F682" s="1166"/>
      <c r="G682" s="1168"/>
      <c r="H682" s="1167"/>
      <c r="I682" s="1169"/>
      <c r="J682" s="1190"/>
      <c r="K682" s="1204"/>
      <c r="L682" s="1204"/>
      <c r="M682" s="1207"/>
      <c r="N682" s="1204"/>
      <c r="O682" s="1204"/>
      <c r="P682" s="1204"/>
      <c r="Q682" s="1204"/>
      <c r="R682" s="1204"/>
      <c r="S682" s="1211"/>
    </row>
    <row r="683" spans="1:19">
      <c r="A683" s="1164"/>
      <c r="B683" s="1165"/>
      <c r="C683" s="1167"/>
      <c r="D683" s="1167"/>
      <c r="E683" s="1167"/>
      <c r="F683" s="1166"/>
      <c r="G683" s="1168"/>
      <c r="H683" s="1167"/>
      <c r="I683" s="1169"/>
      <c r="J683" s="1190"/>
      <c r="K683" s="1204"/>
      <c r="L683" s="1204"/>
      <c r="M683" s="1207"/>
      <c r="N683" s="1204"/>
      <c r="O683" s="1204"/>
      <c r="P683" s="1204"/>
      <c r="Q683" s="1204"/>
      <c r="R683" s="1204"/>
      <c r="S683" s="1211"/>
    </row>
    <row r="684" spans="1:19">
      <c r="A684" s="1164"/>
      <c r="B684" s="1165"/>
      <c r="C684" s="1167"/>
      <c r="D684" s="1167"/>
      <c r="E684" s="1167"/>
      <c r="F684" s="1166"/>
      <c r="G684" s="1168"/>
      <c r="H684" s="1167"/>
      <c r="I684" s="1169"/>
      <c r="J684" s="1190"/>
      <c r="K684" s="1204"/>
      <c r="L684" s="1204"/>
      <c r="M684" s="1207"/>
      <c r="N684" s="1204"/>
      <c r="O684" s="1204"/>
      <c r="P684" s="1204"/>
      <c r="Q684" s="1204"/>
      <c r="R684" s="1204"/>
      <c r="S684" s="1211"/>
    </row>
    <row r="685" spans="1:19">
      <c r="A685" s="1164"/>
      <c r="B685" s="1165"/>
      <c r="C685" s="1167"/>
      <c r="D685" s="1167"/>
      <c r="E685" s="1167"/>
      <c r="F685" s="1166"/>
      <c r="G685" s="1168"/>
      <c r="H685" s="1167"/>
      <c r="I685" s="1169"/>
      <c r="J685" s="1190"/>
      <c r="K685" s="1204"/>
      <c r="L685" s="1204"/>
      <c r="M685" s="1207"/>
      <c r="N685" s="1204"/>
      <c r="O685" s="1204"/>
      <c r="P685" s="1204"/>
      <c r="Q685" s="1204"/>
      <c r="R685" s="1204"/>
      <c r="S685" s="1211"/>
    </row>
    <row r="686" spans="1:19">
      <c r="A686" s="1164"/>
      <c r="B686" s="1165"/>
      <c r="C686" s="1167"/>
      <c r="D686" s="1167"/>
      <c r="E686" s="1167"/>
      <c r="F686" s="1166"/>
      <c r="G686" s="1168"/>
      <c r="H686" s="1167"/>
      <c r="I686" s="1169"/>
      <c r="J686" s="1190"/>
      <c r="K686" s="1204"/>
      <c r="L686" s="1204"/>
      <c r="M686" s="1207"/>
      <c r="N686" s="1204"/>
      <c r="O686" s="1204"/>
      <c r="P686" s="1204"/>
      <c r="Q686" s="1204"/>
      <c r="R686" s="1204"/>
      <c r="S686" s="1211"/>
    </row>
    <row r="687" spans="1:19">
      <c r="A687" s="1164"/>
      <c r="B687" s="1165"/>
      <c r="C687" s="1167"/>
      <c r="D687" s="1167"/>
      <c r="E687" s="1167"/>
      <c r="F687" s="1166"/>
      <c r="G687" s="1168"/>
      <c r="H687" s="1167"/>
      <c r="I687" s="1169"/>
      <c r="J687" s="1190"/>
      <c r="K687" s="1204"/>
      <c r="L687" s="1204"/>
      <c r="M687" s="1207"/>
      <c r="N687" s="1204"/>
      <c r="O687" s="1204"/>
      <c r="P687" s="1204"/>
      <c r="Q687" s="1204"/>
      <c r="R687" s="1204"/>
      <c r="S687" s="1211"/>
    </row>
    <row r="688" spans="1:19">
      <c r="A688" s="1164"/>
      <c r="B688" s="1165"/>
      <c r="C688" s="1167"/>
      <c r="D688" s="1167"/>
      <c r="E688" s="1167"/>
      <c r="F688" s="1166"/>
      <c r="G688" s="1168"/>
      <c r="H688" s="1167"/>
      <c r="I688" s="1169"/>
      <c r="J688" s="1190"/>
      <c r="K688" s="1204"/>
      <c r="L688" s="1204"/>
      <c r="M688" s="1207"/>
      <c r="N688" s="1204"/>
      <c r="O688" s="1204"/>
      <c r="P688" s="1204"/>
      <c r="Q688" s="1204"/>
      <c r="R688" s="1204"/>
      <c r="S688" s="1211"/>
    </row>
    <row r="689" spans="1:19">
      <c r="A689" s="1164"/>
      <c r="B689" s="1165"/>
      <c r="C689" s="1167"/>
      <c r="D689" s="1167"/>
      <c r="E689" s="1167"/>
      <c r="F689" s="1166"/>
      <c r="G689" s="1168"/>
      <c r="H689" s="1167"/>
      <c r="I689" s="1169"/>
      <c r="J689" s="1190"/>
      <c r="K689" s="1204"/>
      <c r="L689" s="1204"/>
      <c r="M689" s="1207"/>
      <c r="N689" s="1204"/>
      <c r="O689" s="1204"/>
      <c r="P689" s="1204"/>
      <c r="Q689" s="1204"/>
      <c r="R689" s="1204"/>
      <c r="S689" s="1211"/>
    </row>
    <row r="690" spans="1:19">
      <c r="A690" s="1164"/>
      <c r="B690" s="1165"/>
      <c r="C690" s="1167"/>
      <c r="D690" s="1167"/>
      <c r="E690" s="1167"/>
      <c r="F690" s="1166"/>
      <c r="G690" s="1168"/>
      <c r="H690" s="1167"/>
      <c r="I690" s="1169"/>
      <c r="J690" s="1190"/>
      <c r="K690" s="1204"/>
      <c r="L690" s="1204"/>
      <c r="M690" s="1207"/>
      <c r="N690" s="1204"/>
      <c r="O690" s="1204"/>
      <c r="P690" s="1204"/>
      <c r="Q690" s="1204"/>
      <c r="R690" s="1204"/>
      <c r="S690" s="1211"/>
    </row>
    <row r="691" spans="1:19">
      <c r="A691" s="1164"/>
      <c r="B691" s="1165"/>
      <c r="C691" s="1167"/>
      <c r="D691" s="1167"/>
      <c r="E691" s="1167"/>
      <c r="F691" s="1166"/>
      <c r="G691" s="1168"/>
      <c r="H691" s="1167"/>
      <c r="I691" s="1169"/>
      <c r="J691" s="1190"/>
      <c r="K691" s="1204"/>
      <c r="L691" s="1204"/>
      <c r="M691" s="1207"/>
      <c r="N691" s="1204"/>
      <c r="O691" s="1204"/>
      <c r="P691" s="1204"/>
      <c r="Q691" s="1204"/>
      <c r="R691" s="1204"/>
      <c r="S691" s="1211"/>
    </row>
    <row r="692" spans="1:19">
      <c r="A692" s="1164"/>
      <c r="B692" s="1165"/>
      <c r="C692" s="1167"/>
      <c r="D692" s="1167"/>
      <c r="E692" s="1167"/>
      <c r="F692" s="1166"/>
      <c r="G692" s="1168"/>
      <c r="H692" s="1167"/>
      <c r="I692" s="1169"/>
      <c r="J692" s="1190"/>
      <c r="K692" s="1204"/>
      <c r="L692" s="1204"/>
      <c r="M692" s="1207"/>
      <c r="N692" s="1204"/>
      <c r="O692" s="1204"/>
      <c r="P692" s="1204"/>
      <c r="Q692" s="1204"/>
      <c r="R692" s="1204"/>
      <c r="S692" s="1211"/>
    </row>
    <row r="693" spans="1:19">
      <c r="A693" s="1164"/>
      <c r="B693" s="1165"/>
      <c r="C693" s="1167"/>
      <c r="D693" s="1167"/>
      <c r="E693" s="1167"/>
      <c r="F693" s="1166"/>
      <c r="G693" s="1168"/>
      <c r="H693" s="1167"/>
      <c r="I693" s="1169"/>
      <c r="J693" s="1190"/>
      <c r="K693" s="1204"/>
      <c r="L693" s="1204"/>
      <c r="M693" s="1207"/>
      <c r="N693" s="1204"/>
      <c r="O693" s="1204"/>
      <c r="P693" s="1204"/>
      <c r="Q693" s="1204"/>
      <c r="R693" s="1204"/>
      <c r="S693" s="1211"/>
    </row>
    <row r="694" spans="1:19">
      <c r="A694" s="1164"/>
      <c r="B694" s="1165"/>
      <c r="C694" s="1167"/>
      <c r="D694" s="1167"/>
      <c r="E694" s="1167"/>
      <c r="F694" s="1166"/>
      <c r="G694" s="1168"/>
      <c r="H694" s="1167"/>
      <c r="I694" s="1169"/>
      <c r="J694" s="1190"/>
      <c r="K694" s="1204"/>
      <c r="L694" s="1204"/>
      <c r="M694" s="1207"/>
      <c r="N694" s="1204"/>
      <c r="O694" s="1204"/>
      <c r="P694" s="1204"/>
      <c r="Q694" s="1204"/>
      <c r="R694" s="1204"/>
      <c r="S694" s="1211"/>
    </row>
    <row r="695" spans="1:19">
      <c r="A695" s="1164"/>
      <c r="B695" s="1165"/>
      <c r="C695" s="1167"/>
      <c r="D695" s="1167"/>
      <c r="E695" s="1167"/>
      <c r="F695" s="1166"/>
      <c r="G695" s="1168"/>
      <c r="H695" s="1167"/>
      <c r="I695" s="1169"/>
      <c r="J695" s="1190"/>
      <c r="K695" s="1204"/>
      <c r="L695" s="1204"/>
      <c r="M695" s="1207"/>
      <c r="N695" s="1204"/>
      <c r="O695" s="1204"/>
      <c r="P695" s="1204"/>
      <c r="Q695" s="1204"/>
      <c r="R695" s="1204"/>
      <c r="S695" s="1211"/>
    </row>
    <row r="696" spans="1:19">
      <c r="A696" s="1164"/>
      <c r="B696" s="1165"/>
      <c r="C696" s="1167"/>
      <c r="D696" s="1167"/>
      <c r="E696" s="1167"/>
      <c r="F696" s="1166"/>
      <c r="G696" s="1168"/>
      <c r="H696" s="1167"/>
      <c r="I696" s="1169"/>
      <c r="J696" s="1190"/>
      <c r="K696" s="1204"/>
      <c r="L696" s="1204"/>
      <c r="M696" s="1207"/>
      <c r="N696" s="1204"/>
      <c r="O696" s="1204"/>
      <c r="P696" s="1204"/>
      <c r="Q696" s="1204"/>
      <c r="R696" s="1204"/>
      <c r="S696" s="1211"/>
    </row>
    <row r="697" spans="1:19">
      <c r="A697" s="1164"/>
      <c r="B697" s="1165"/>
      <c r="C697" s="1167"/>
      <c r="D697" s="1167"/>
      <c r="E697" s="1167"/>
      <c r="F697" s="1166"/>
      <c r="G697" s="1168"/>
      <c r="H697" s="1167"/>
      <c r="I697" s="1169"/>
      <c r="J697" s="1190"/>
      <c r="K697" s="1204"/>
      <c r="L697" s="1204"/>
      <c r="M697" s="1207"/>
      <c r="N697" s="1204"/>
      <c r="O697" s="1204"/>
      <c r="P697" s="1204"/>
      <c r="Q697" s="1204"/>
      <c r="R697" s="1204"/>
      <c r="S697" s="1211"/>
    </row>
    <row r="698" spans="1:19">
      <c r="A698" s="1164"/>
      <c r="B698" s="1165"/>
      <c r="C698" s="1167"/>
      <c r="D698" s="1167"/>
      <c r="E698" s="1167"/>
      <c r="F698" s="1166"/>
      <c r="G698" s="1168"/>
      <c r="H698" s="1167"/>
      <c r="I698" s="1169"/>
      <c r="J698" s="1190"/>
      <c r="K698" s="1204"/>
      <c r="L698" s="1204"/>
      <c r="M698" s="1207"/>
      <c r="N698" s="1204"/>
      <c r="O698" s="1204"/>
      <c r="P698" s="1204"/>
      <c r="Q698" s="1204"/>
      <c r="R698" s="1204"/>
      <c r="S698" s="1211"/>
    </row>
    <row r="699" spans="1:19">
      <c r="A699" s="1164"/>
      <c r="B699" s="1165"/>
      <c r="C699" s="1167"/>
      <c r="D699" s="1167"/>
      <c r="E699" s="1167"/>
      <c r="F699" s="1166"/>
      <c r="G699" s="1168"/>
      <c r="H699" s="1167"/>
      <c r="I699" s="1169"/>
      <c r="J699" s="1190"/>
      <c r="K699" s="1204"/>
      <c r="L699" s="1204"/>
      <c r="M699" s="1207"/>
      <c r="N699" s="1204"/>
      <c r="O699" s="1204"/>
      <c r="P699" s="1204"/>
      <c r="Q699" s="1204"/>
      <c r="R699" s="1204"/>
      <c r="S699" s="1211"/>
    </row>
    <row r="700" spans="1:19">
      <c r="A700" s="1164"/>
      <c r="B700" s="1165"/>
      <c r="C700" s="1167"/>
      <c r="D700" s="1167"/>
      <c r="E700" s="1167"/>
      <c r="F700" s="1166"/>
      <c r="G700" s="1168"/>
      <c r="H700" s="1167"/>
      <c r="I700" s="1169"/>
      <c r="J700" s="1190"/>
      <c r="K700" s="1204"/>
      <c r="L700" s="1204"/>
      <c r="M700" s="1207"/>
      <c r="N700" s="1204"/>
      <c r="O700" s="1204"/>
      <c r="P700" s="1204"/>
      <c r="Q700" s="1204"/>
      <c r="R700" s="1204"/>
      <c r="S700" s="1211"/>
    </row>
    <row r="701" spans="1:19">
      <c r="A701" s="1164"/>
      <c r="B701" s="1165"/>
      <c r="C701" s="1167"/>
      <c r="D701" s="1167"/>
      <c r="E701" s="1167"/>
      <c r="F701" s="1166"/>
      <c r="G701" s="1168"/>
      <c r="H701" s="1167"/>
      <c r="I701" s="1169"/>
      <c r="J701" s="1190"/>
      <c r="K701" s="1204"/>
      <c r="L701" s="1204"/>
      <c r="M701" s="1207"/>
      <c r="N701" s="1204"/>
      <c r="O701" s="1204"/>
      <c r="P701" s="1204"/>
      <c r="Q701" s="1204"/>
      <c r="R701" s="1204"/>
      <c r="S701" s="1211"/>
    </row>
    <row r="702" spans="1:19">
      <c r="A702" s="1164"/>
      <c r="B702" s="1165"/>
      <c r="C702" s="1167"/>
      <c r="D702" s="1167"/>
      <c r="E702" s="1167"/>
      <c r="F702" s="1166"/>
      <c r="G702" s="1168"/>
      <c r="H702" s="1167"/>
      <c r="I702" s="1169"/>
      <c r="J702" s="1190"/>
      <c r="K702" s="1204"/>
      <c r="L702" s="1204"/>
      <c r="M702" s="1207"/>
      <c r="N702" s="1204"/>
      <c r="O702" s="1204"/>
      <c r="P702" s="1204"/>
      <c r="Q702" s="1204"/>
      <c r="R702" s="1204"/>
      <c r="S702" s="1211"/>
    </row>
    <row r="703" spans="1:19">
      <c r="A703" s="1164"/>
      <c r="B703" s="1165"/>
      <c r="C703" s="1167"/>
      <c r="D703" s="1167"/>
      <c r="E703" s="1167"/>
      <c r="F703" s="1166"/>
      <c r="G703" s="1168"/>
      <c r="H703" s="1167"/>
      <c r="I703" s="1169"/>
      <c r="J703" s="1190"/>
      <c r="K703" s="1204"/>
      <c r="L703" s="1204"/>
      <c r="M703" s="1207"/>
      <c r="N703" s="1204"/>
      <c r="O703" s="1204"/>
      <c r="P703" s="1204"/>
      <c r="Q703" s="1204"/>
      <c r="R703" s="1204"/>
      <c r="S703" s="1211"/>
    </row>
    <row r="704" spans="1:19">
      <c r="A704" s="1164"/>
      <c r="B704" s="1165"/>
      <c r="C704" s="1167"/>
      <c r="D704" s="1167"/>
      <c r="E704" s="1167"/>
      <c r="F704" s="1166"/>
      <c r="G704" s="1168"/>
      <c r="H704" s="1167"/>
      <c r="I704" s="1169"/>
      <c r="J704" s="1190"/>
      <c r="K704" s="1204"/>
      <c r="L704" s="1204"/>
      <c r="M704" s="1207"/>
      <c r="N704" s="1204"/>
      <c r="O704" s="1204"/>
      <c r="P704" s="1204"/>
      <c r="Q704" s="1204"/>
      <c r="R704" s="1204"/>
      <c r="S704" s="1211"/>
    </row>
    <row r="705" spans="1:19">
      <c r="A705" s="1164"/>
      <c r="B705" s="1165"/>
      <c r="C705" s="1167"/>
      <c r="D705" s="1167"/>
      <c r="E705" s="1167"/>
      <c r="F705" s="1166"/>
      <c r="G705" s="1168"/>
      <c r="H705" s="1167"/>
      <c r="I705" s="1169"/>
      <c r="J705" s="1190"/>
      <c r="K705" s="1204"/>
      <c r="L705" s="1204"/>
      <c r="M705" s="1207"/>
      <c r="N705" s="1204"/>
      <c r="O705" s="1204"/>
      <c r="P705" s="1204"/>
      <c r="Q705" s="1204"/>
      <c r="R705" s="1204"/>
      <c r="S705" s="1211"/>
    </row>
    <row r="706" spans="1:19">
      <c r="A706" s="1164"/>
      <c r="B706" s="1165"/>
      <c r="C706" s="1167"/>
      <c r="D706" s="1167"/>
      <c r="E706" s="1167"/>
      <c r="F706" s="1166"/>
      <c r="G706" s="1168"/>
      <c r="H706" s="1167"/>
      <c r="I706" s="1169"/>
      <c r="J706" s="1190"/>
      <c r="K706" s="1204"/>
      <c r="L706" s="1204"/>
      <c r="M706" s="1207"/>
      <c r="N706" s="1204"/>
      <c r="O706" s="1204"/>
      <c r="P706" s="1204"/>
      <c r="Q706" s="1204"/>
      <c r="R706" s="1204"/>
      <c r="S706" s="1211"/>
    </row>
    <row r="707" spans="1:19">
      <c r="A707" s="1164"/>
      <c r="B707" s="1165"/>
      <c r="C707" s="1167"/>
      <c r="D707" s="1167"/>
      <c r="E707" s="1167"/>
      <c r="F707" s="1166"/>
      <c r="G707" s="1168"/>
      <c r="H707" s="1167"/>
      <c r="I707" s="1169"/>
      <c r="J707" s="1190"/>
      <c r="K707" s="1204"/>
      <c r="L707" s="1204"/>
      <c r="M707" s="1207"/>
      <c r="N707" s="1204"/>
      <c r="O707" s="1204"/>
      <c r="P707" s="1204"/>
      <c r="Q707" s="1204"/>
      <c r="R707" s="1204"/>
      <c r="S707" s="1211"/>
    </row>
    <row r="708" spans="1:19">
      <c r="A708" s="1164"/>
      <c r="B708" s="1165"/>
      <c r="C708" s="1167"/>
      <c r="D708" s="1167"/>
      <c r="E708" s="1167"/>
      <c r="F708" s="1166"/>
      <c r="G708" s="1168"/>
      <c r="H708" s="1167"/>
      <c r="I708" s="1169"/>
      <c r="J708" s="1190"/>
      <c r="K708" s="1204"/>
      <c r="L708" s="1204"/>
      <c r="M708" s="1207"/>
      <c r="N708" s="1204"/>
      <c r="O708" s="1204"/>
      <c r="P708" s="1204"/>
      <c r="Q708" s="1204"/>
      <c r="R708" s="1204"/>
      <c r="S708" s="1211"/>
    </row>
    <row r="709" spans="1:19">
      <c r="A709" s="1164"/>
      <c r="B709" s="1165"/>
      <c r="C709" s="1167"/>
      <c r="D709" s="1167"/>
      <c r="E709" s="1167"/>
      <c r="F709" s="1166"/>
      <c r="G709" s="1168"/>
      <c r="H709" s="1167"/>
      <c r="I709" s="1169"/>
      <c r="J709" s="1190"/>
      <c r="K709" s="1204"/>
      <c r="L709" s="1204"/>
      <c r="M709" s="1207"/>
      <c r="N709" s="1204"/>
      <c r="O709" s="1204"/>
      <c r="P709" s="1204"/>
      <c r="Q709" s="1204"/>
      <c r="R709" s="1204"/>
      <c r="S709" s="1211"/>
    </row>
    <row r="710" spans="1:19">
      <c r="A710" s="1164"/>
      <c r="B710" s="1165"/>
      <c r="C710" s="1167"/>
      <c r="D710" s="1167"/>
      <c r="E710" s="1167"/>
      <c r="F710" s="1166"/>
      <c r="G710" s="1168"/>
      <c r="H710" s="1167"/>
      <c r="I710" s="1169"/>
      <c r="J710" s="1190"/>
      <c r="K710" s="1204"/>
      <c r="L710" s="1204"/>
      <c r="M710" s="1207"/>
      <c r="N710" s="1204"/>
      <c r="O710" s="1204"/>
      <c r="P710" s="1204"/>
      <c r="Q710" s="1204"/>
      <c r="R710" s="1204"/>
      <c r="S710" s="1211"/>
    </row>
    <row r="711" spans="1:19">
      <c r="A711" s="1164"/>
      <c r="B711" s="1165"/>
      <c r="C711" s="1167"/>
      <c r="D711" s="1167"/>
      <c r="E711" s="1167"/>
      <c r="F711" s="1166"/>
      <c r="G711" s="1168"/>
      <c r="H711" s="1167"/>
      <c r="I711" s="1169"/>
      <c r="J711" s="1190"/>
      <c r="K711" s="1204"/>
      <c r="L711" s="1204"/>
      <c r="M711" s="1207"/>
      <c r="N711" s="1204"/>
      <c r="O711" s="1204"/>
      <c r="P711" s="1204"/>
      <c r="Q711" s="1204"/>
      <c r="R711" s="1204"/>
      <c r="S711" s="1211"/>
    </row>
    <row r="712" spans="1:19">
      <c r="A712" s="1164"/>
      <c r="B712" s="1165"/>
      <c r="C712" s="1167"/>
      <c r="D712" s="1167"/>
      <c r="E712" s="1167"/>
      <c r="F712" s="1166"/>
      <c r="G712" s="1168"/>
      <c r="H712" s="1167"/>
      <c r="I712" s="1169"/>
      <c r="J712" s="1190"/>
      <c r="K712" s="1204"/>
      <c r="L712" s="1204"/>
      <c r="M712" s="1207"/>
      <c r="N712" s="1204"/>
      <c r="O712" s="1204"/>
      <c r="P712" s="1204"/>
      <c r="Q712" s="1204"/>
      <c r="R712" s="1204"/>
      <c r="S712" s="1211"/>
    </row>
    <row r="713" spans="1:19">
      <c r="A713" s="1164"/>
      <c r="B713" s="1165"/>
      <c r="C713" s="1167"/>
      <c r="D713" s="1167"/>
      <c r="E713" s="1167"/>
      <c r="F713" s="1166"/>
      <c r="G713" s="1168"/>
      <c r="H713" s="1167"/>
      <c r="I713" s="1169"/>
      <c r="J713" s="1190"/>
      <c r="K713" s="1204"/>
      <c r="L713" s="1204"/>
      <c r="M713" s="1207"/>
      <c r="N713" s="1204"/>
      <c r="O713" s="1204"/>
      <c r="P713" s="1204"/>
      <c r="Q713" s="1204"/>
      <c r="R713" s="1204"/>
      <c r="S713" s="1211"/>
    </row>
    <row r="714" spans="1:19">
      <c r="A714" s="1164"/>
      <c r="B714" s="1165"/>
      <c r="C714" s="1167"/>
      <c r="D714" s="1167"/>
      <c r="E714" s="1167"/>
      <c r="F714" s="1166"/>
      <c r="G714" s="1168"/>
      <c r="H714" s="1167"/>
      <c r="I714" s="1169"/>
      <c r="J714" s="1190"/>
      <c r="K714" s="1204"/>
      <c r="L714" s="1204"/>
      <c r="M714" s="1207"/>
      <c r="N714" s="1204"/>
      <c r="O714" s="1204"/>
      <c r="P714" s="1204"/>
      <c r="Q714" s="1204"/>
      <c r="R714" s="1204"/>
      <c r="S714" s="1211"/>
    </row>
    <row r="715" spans="1:19">
      <c r="A715" s="1164"/>
      <c r="B715" s="1165"/>
      <c r="C715" s="1167"/>
      <c r="D715" s="1167"/>
      <c r="E715" s="1167"/>
      <c r="F715" s="1166"/>
      <c r="G715" s="1168"/>
      <c r="H715" s="1167"/>
      <c r="I715" s="1169"/>
      <c r="J715" s="1190"/>
      <c r="K715" s="1204"/>
      <c r="L715" s="1204"/>
      <c r="M715" s="1207"/>
      <c r="N715" s="1204"/>
      <c r="O715" s="1204"/>
      <c r="P715" s="1204"/>
      <c r="Q715" s="1204"/>
      <c r="R715" s="1204"/>
      <c r="S715" s="1211"/>
    </row>
    <row r="716" spans="1:19">
      <c r="A716" s="1164"/>
      <c r="B716" s="1165"/>
      <c r="C716" s="1167"/>
      <c r="D716" s="1167"/>
      <c r="E716" s="1167"/>
      <c r="F716" s="1166"/>
      <c r="G716" s="1168"/>
      <c r="H716" s="1167"/>
      <c r="I716" s="1169"/>
      <c r="J716" s="1190"/>
      <c r="K716" s="1204"/>
      <c r="L716" s="1204"/>
      <c r="M716" s="1207"/>
      <c r="N716" s="1204"/>
      <c r="O716" s="1204"/>
      <c r="P716" s="1204"/>
      <c r="Q716" s="1204"/>
      <c r="R716" s="1204"/>
      <c r="S716" s="1211"/>
    </row>
    <row r="717" spans="1:19">
      <c r="A717" s="1164"/>
      <c r="B717" s="1165"/>
      <c r="C717" s="1167"/>
      <c r="D717" s="1167"/>
      <c r="E717" s="1167"/>
      <c r="F717" s="1166"/>
      <c r="G717" s="1168"/>
      <c r="H717" s="1167"/>
      <c r="I717" s="1169"/>
      <c r="J717" s="1190"/>
      <c r="K717" s="1204"/>
      <c r="L717" s="1204"/>
      <c r="M717" s="1207"/>
      <c r="N717" s="1204"/>
      <c r="O717" s="1204"/>
      <c r="P717" s="1204"/>
      <c r="Q717" s="1204"/>
      <c r="R717" s="1204"/>
      <c r="S717" s="1211"/>
    </row>
    <row r="718" spans="1:19">
      <c r="A718" s="1164"/>
      <c r="B718" s="1165"/>
      <c r="C718" s="1167"/>
      <c r="D718" s="1167"/>
      <c r="E718" s="1167"/>
      <c r="F718" s="1166"/>
      <c r="G718" s="1168"/>
      <c r="H718" s="1167"/>
      <c r="I718" s="1169"/>
      <c r="J718" s="1190"/>
      <c r="K718" s="1204"/>
      <c r="L718" s="1204"/>
      <c r="M718" s="1207"/>
      <c r="N718" s="1204"/>
      <c r="O718" s="1204"/>
      <c r="P718" s="1204"/>
      <c r="Q718" s="1204"/>
      <c r="R718" s="1204"/>
      <c r="S718" s="1211"/>
    </row>
    <row r="719" spans="1:19">
      <c r="A719" s="1164"/>
      <c r="B719" s="1165"/>
      <c r="C719" s="1167"/>
      <c r="D719" s="1167"/>
      <c r="E719" s="1167"/>
      <c r="F719" s="1166"/>
      <c r="G719" s="1168"/>
      <c r="H719" s="1167"/>
      <c r="I719" s="1169"/>
      <c r="J719" s="1190"/>
      <c r="K719" s="1204"/>
      <c r="L719" s="1204"/>
      <c r="M719" s="1207"/>
      <c r="N719" s="1204"/>
      <c r="O719" s="1204"/>
      <c r="P719" s="1204"/>
      <c r="Q719" s="1204"/>
      <c r="R719" s="1204"/>
      <c r="S719" s="1211"/>
    </row>
    <row r="720" spans="1:19">
      <c r="A720" s="1164"/>
      <c r="B720" s="1165"/>
      <c r="C720" s="1167"/>
      <c r="D720" s="1167"/>
      <c r="E720" s="1167"/>
      <c r="F720" s="1166"/>
      <c r="G720" s="1168"/>
      <c r="H720" s="1167"/>
      <c r="I720" s="1169"/>
      <c r="J720" s="1190"/>
      <c r="K720" s="1204"/>
      <c r="L720" s="1204"/>
      <c r="M720" s="1207"/>
      <c r="N720" s="1204"/>
      <c r="O720" s="1204"/>
      <c r="P720" s="1204"/>
      <c r="Q720" s="1204"/>
      <c r="R720" s="1204"/>
      <c r="S720" s="1211"/>
    </row>
    <row r="721" spans="1:19">
      <c r="A721" s="1164"/>
      <c r="B721" s="1165"/>
      <c r="C721" s="1167"/>
      <c r="D721" s="1167"/>
      <c r="E721" s="1167"/>
      <c r="F721" s="1166"/>
      <c r="G721" s="1168"/>
      <c r="H721" s="1167"/>
      <c r="I721" s="1169"/>
      <c r="J721" s="1190"/>
      <c r="K721" s="1204"/>
      <c r="L721" s="1204"/>
      <c r="M721" s="1207"/>
      <c r="N721" s="1204"/>
      <c r="O721" s="1204"/>
      <c r="P721" s="1204"/>
      <c r="Q721" s="1204"/>
      <c r="R721" s="1204"/>
      <c r="S721" s="1211"/>
    </row>
    <row r="722" spans="1:19">
      <c r="A722" s="1164"/>
      <c r="B722" s="1165"/>
      <c r="C722" s="1167"/>
      <c r="D722" s="1167"/>
      <c r="E722" s="1167"/>
      <c r="F722" s="1166"/>
      <c r="G722" s="1168"/>
      <c r="H722" s="1167"/>
      <c r="I722" s="1169"/>
      <c r="J722" s="1190"/>
      <c r="K722" s="1204"/>
      <c r="L722" s="1204"/>
      <c r="M722" s="1207"/>
      <c r="N722" s="1204"/>
      <c r="O722" s="1204"/>
      <c r="P722" s="1204"/>
      <c r="Q722" s="1204"/>
      <c r="R722" s="1204"/>
      <c r="S722" s="1211"/>
    </row>
    <row r="723" spans="1:19">
      <c r="A723" s="1164"/>
      <c r="B723" s="1165"/>
      <c r="C723" s="1167"/>
      <c r="D723" s="1167"/>
      <c r="E723" s="1167"/>
      <c r="F723" s="1166"/>
      <c r="G723" s="1168"/>
      <c r="H723" s="1167"/>
      <c r="I723" s="1169"/>
      <c r="J723" s="1190"/>
      <c r="K723" s="1204"/>
      <c r="L723" s="1204"/>
      <c r="M723" s="1207"/>
      <c r="N723" s="1204"/>
      <c r="O723" s="1204"/>
      <c r="P723" s="1204"/>
      <c r="Q723" s="1204"/>
      <c r="R723" s="1204"/>
      <c r="S723" s="1211"/>
    </row>
    <row r="724" spans="1:19">
      <c r="A724" s="1164"/>
      <c r="B724" s="1165"/>
      <c r="C724" s="1167"/>
      <c r="D724" s="1167"/>
      <c r="E724" s="1167"/>
      <c r="F724" s="1166"/>
      <c r="G724" s="1168"/>
      <c r="H724" s="1167"/>
      <c r="I724" s="1169"/>
      <c r="J724" s="1190"/>
      <c r="K724" s="1204"/>
      <c r="L724" s="1204"/>
      <c r="M724" s="1207"/>
      <c r="N724" s="1204"/>
      <c r="O724" s="1204"/>
      <c r="P724" s="1204"/>
      <c r="Q724" s="1204"/>
      <c r="R724" s="1204"/>
      <c r="S724" s="1211"/>
    </row>
    <row r="725" spans="1:19">
      <c r="A725" s="1164"/>
      <c r="B725" s="1165"/>
      <c r="C725" s="1167"/>
      <c r="D725" s="1167"/>
      <c r="E725" s="1167"/>
      <c r="F725" s="1166"/>
      <c r="G725" s="1168"/>
      <c r="H725" s="1167"/>
      <c r="I725" s="1169"/>
      <c r="J725" s="1190"/>
      <c r="K725" s="1204"/>
      <c r="L725" s="1204"/>
      <c r="M725" s="1207"/>
      <c r="N725" s="1204"/>
      <c r="O725" s="1204"/>
      <c r="P725" s="1204"/>
      <c r="Q725" s="1204"/>
      <c r="R725" s="1204"/>
      <c r="S725" s="1211"/>
    </row>
    <row r="726" spans="1:19">
      <c r="A726" s="1164"/>
      <c r="B726" s="1165"/>
      <c r="C726" s="1167"/>
      <c r="D726" s="1167"/>
      <c r="E726" s="1167"/>
      <c r="F726" s="1166"/>
      <c r="G726" s="1168"/>
      <c r="H726" s="1167"/>
      <c r="I726" s="1169"/>
      <c r="J726" s="1190"/>
      <c r="K726" s="1204"/>
      <c r="L726" s="1204"/>
      <c r="M726" s="1207"/>
      <c r="N726" s="1204"/>
      <c r="O726" s="1204"/>
      <c r="P726" s="1204"/>
      <c r="Q726" s="1204"/>
      <c r="R726" s="1204"/>
      <c r="S726" s="1211"/>
    </row>
    <row r="727" spans="1:19">
      <c r="A727" s="1164"/>
      <c r="B727" s="1165"/>
      <c r="C727" s="1167"/>
      <c r="D727" s="1167"/>
      <c r="E727" s="1167"/>
      <c r="F727" s="1166"/>
      <c r="G727" s="1168"/>
      <c r="H727" s="1167"/>
      <c r="I727" s="1169"/>
      <c r="J727" s="1190"/>
      <c r="K727" s="1204"/>
      <c r="L727" s="1204"/>
      <c r="M727" s="1207"/>
      <c r="N727" s="1204"/>
      <c r="O727" s="1204"/>
      <c r="P727" s="1204"/>
      <c r="Q727" s="1204"/>
      <c r="R727" s="1204"/>
      <c r="S727" s="1211"/>
    </row>
    <row r="728" spans="1:19">
      <c r="A728" s="1164"/>
      <c r="B728" s="1165"/>
      <c r="C728" s="1167"/>
      <c r="D728" s="1167"/>
      <c r="E728" s="1167"/>
      <c r="F728" s="1166"/>
      <c r="G728" s="1168"/>
      <c r="H728" s="1167"/>
      <c r="I728" s="1169"/>
      <c r="J728" s="1190"/>
      <c r="K728" s="1204"/>
      <c r="L728" s="1204"/>
      <c r="M728" s="1207"/>
      <c r="N728" s="1204"/>
      <c r="O728" s="1204"/>
      <c r="P728" s="1204"/>
      <c r="Q728" s="1204"/>
      <c r="R728" s="1204"/>
      <c r="S728" s="1211"/>
    </row>
    <row r="729" spans="1:19">
      <c r="A729" s="1164"/>
      <c r="B729" s="1165"/>
      <c r="C729" s="1167"/>
      <c r="D729" s="1167"/>
      <c r="E729" s="1167"/>
      <c r="F729" s="1166"/>
      <c r="G729" s="1168"/>
      <c r="H729" s="1167"/>
      <c r="I729" s="1169"/>
      <c r="J729" s="1190"/>
      <c r="K729" s="1204"/>
      <c r="L729" s="1204"/>
      <c r="M729" s="1207"/>
      <c r="N729" s="1204"/>
      <c r="O729" s="1204"/>
      <c r="P729" s="1204"/>
      <c r="Q729" s="1204"/>
      <c r="R729" s="1204"/>
      <c r="S729" s="1211"/>
    </row>
    <row r="730" spans="1:19">
      <c r="A730" s="1164"/>
      <c r="B730" s="1165"/>
      <c r="C730" s="1167"/>
      <c r="D730" s="1167"/>
      <c r="E730" s="1167"/>
      <c r="F730" s="1166"/>
      <c r="G730" s="1168"/>
      <c r="H730" s="1167"/>
      <c r="I730" s="1169"/>
      <c r="J730" s="1190"/>
      <c r="K730" s="1204"/>
      <c r="L730" s="1204"/>
      <c r="M730" s="1207"/>
      <c r="N730" s="1204"/>
      <c r="O730" s="1204"/>
      <c r="P730" s="1204"/>
      <c r="Q730" s="1204"/>
      <c r="R730" s="1204"/>
      <c r="S730" s="1211"/>
    </row>
    <row r="731" spans="1:19">
      <c r="A731" s="1164"/>
      <c r="B731" s="1165"/>
      <c r="C731" s="1167"/>
      <c r="D731" s="1167"/>
      <c r="E731" s="1167"/>
      <c r="F731" s="1166"/>
      <c r="G731" s="1168"/>
      <c r="H731" s="1167"/>
      <c r="I731" s="1169"/>
      <c r="J731" s="1190"/>
      <c r="K731" s="1204"/>
      <c r="L731" s="1204"/>
      <c r="M731" s="1207"/>
      <c r="N731" s="1204"/>
      <c r="O731" s="1204"/>
      <c r="P731" s="1204"/>
      <c r="Q731" s="1204"/>
      <c r="R731" s="1204"/>
      <c r="S731" s="1211"/>
    </row>
    <row r="732" spans="1:19">
      <c r="A732" s="1164"/>
      <c r="B732" s="1165"/>
      <c r="C732" s="1167"/>
      <c r="D732" s="1167"/>
      <c r="E732" s="1167"/>
      <c r="F732" s="1166"/>
      <c r="G732" s="1168"/>
      <c r="H732" s="1167"/>
      <c r="I732" s="1169"/>
      <c r="J732" s="1190"/>
      <c r="K732" s="1204"/>
      <c r="L732" s="1204"/>
      <c r="M732" s="1207"/>
      <c r="N732" s="1204"/>
      <c r="O732" s="1204"/>
      <c r="P732" s="1204"/>
      <c r="Q732" s="1204"/>
      <c r="R732" s="1204"/>
      <c r="S732" s="1211"/>
    </row>
    <row r="733" spans="1:19">
      <c r="A733" s="1164"/>
      <c r="B733" s="1165"/>
      <c r="C733" s="1167"/>
      <c r="D733" s="1167"/>
      <c r="E733" s="1167"/>
      <c r="F733" s="1166"/>
      <c r="G733" s="1168"/>
      <c r="H733" s="1167"/>
      <c r="I733" s="1169"/>
      <c r="J733" s="1190"/>
      <c r="K733" s="1204"/>
      <c r="L733" s="1204"/>
      <c r="M733" s="1207"/>
      <c r="N733" s="1204"/>
      <c r="O733" s="1204"/>
      <c r="P733" s="1204"/>
      <c r="Q733" s="1204"/>
      <c r="R733" s="1204"/>
      <c r="S733" s="1211"/>
    </row>
    <row r="734" spans="1:19">
      <c r="A734" s="1164"/>
      <c r="B734" s="1165"/>
      <c r="C734" s="1167"/>
      <c r="D734" s="1167"/>
      <c r="E734" s="1167"/>
      <c r="F734" s="1166"/>
      <c r="G734" s="1168"/>
      <c r="H734" s="1167"/>
      <c r="I734" s="1169"/>
      <c r="J734" s="1190"/>
      <c r="K734" s="1204"/>
      <c r="L734" s="1204"/>
      <c r="M734" s="1207"/>
      <c r="N734" s="1204"/>
      <c r="O734" s="1204"/>
      <c r="P734" s="1204"/>
      <c r="Q734" s="1204"/>
      <c r="R734" s="1204"/>
      <c r="S734" s="1211"/>
    </row>
    <row r="735" spans="1:19">
      <c r="A735" s="1164"/>
      <c r="B735" s="1165"/>
      <c r="C735" s="1167"/>
      <c r="D735" s="1167"/>
      <c r="E735" s="1167"/>
      <c r="F735" s="1166"/>
      <c r="G735" s="1168"/>
      <c r="H735" s="1167"/>
      <c r="I735" s="1169"/>
      <c r="J735" s="1190"/>
      <c r="K735" s="1204"/>
      <c r="L735" s="1204"/>
      <c r="M735" s="1207"/>
      <c r="N735" s="1204"/>
      <c r="O735" s="1204"/>
      <c r="P735" s="1204"/>
      <c r="Q735" s="1204"/>
      <c r="R735" s="1204"/>
      <c r="S735" s="1211"/>
    </row>
    <row r="736" spans="1:19">
      <c r="A736" s="1164"/>
      <c r="B736" s="1165"/>
      <c r="C736" s="1167"/>
      <c r="D736" s="1167"/>
      <c r="E736" s="1167"/>
      <c r="F736" s="1166"/>
      <c r="G736" s="1168"/>
      <c r="H736" s="1167"/>
      <c r="I736" s="1169"/>
      <c r="J736" s="1190"/>
      <c r="K736" s="1204"/>
      <c r="L736" s="1204"/>
      <c r="M736" s="1207"/>
      <c r="N736" s="1204"/>
      <c r="O736" s="1204"/>
      <c r="P736" s="1204"/>
      <c r="Q736" s="1204"/>
      <c r="R736" s="1204"/>
      <c r="S736" s="1211"/>
    </row>
    <row r="737" spans="1:19">
      <c r="A737" s="1164"/>
      <c r="B737" s="1165"/>
      <c r="C737" s="1167"/>
      <c r="D737" s="1167"/>
      <c r="E737" s="1167"/>
      <c r="F737" s="1166"/>
      <c r="G737" s="1168"/>
      <c r="H737" s="1167"/>
      <c r="I737" s="1169"/>
      <c r="J737" s="1190"/>
      <c r="K737" s="1204"/>
      <c r="L737" s="1204"/>
      <c r="M737" s="1207"/>
      <c r="N737" s="1204"/>
      <c r="O737" s="1204"/>
      <c r="P737" s="1204"/>
      <c r="Q737" s="1204"/>
      <c r="R737" s="1204"/>
      <c r="S737" s="1211"/>
    </row>
    <row r="738" spans="1:19">
      <c r="A738" s="1164"/>
      <c r="B738" s="1165"/>
      <c r="C738" s="1167"/>
      <c r="D738" s="1167"/>
      <c r="E738" s="1167"/>
      <c r="F738" s="1166"/>
      <c r="G738" s="1168"/>
      <c r="H738" s="1167"/>
      <c r="I738" s="1169"/>
      <c r="J738" s="1190"/>
      <c r="K738" s="1204"/>
      <c r="L738" s="1204"/>
      <c r="M738" s="1207"/>
      <c r="N738" s="1204"/>
      <c r="O738" s="1204"/>
      <c r="P738" s="1204"/>
      <c r="Q738" s="1204"/>
      <c r="R738" s="1204"/>
      <c r="S738" s="1211"/>
    </row>
    <row r="739" spans="1:19">
      <c r="A739" s="1164"/>
      <c r="B739" s="1165"/>
      <c r="C739" s="1167"/>
      <c r="D739" s="1167"/>
      <c r="E739" s="1167"/>
      <c r="F739" s="1166"/>
      <c r="G739" s="1168"/>
      <c r="H739" s="1167"/>
      <c r="I739" s="1169"/>
      <c r="J739" s="1190"/>
      <c r="K739" s="1204"/>
      <c r="L739" s="1204"/>
      <c r="M739" s="1207"/>
      <c r="N739" s="1204"/>
      <c r="O739" s="1204"/>
      <c r="P739" s="1204"/>
      <c r="Q739" s="1204"/>
      <c r="R739" s="1204"/>
      <c r="S739" s="1211"/>
    </row>
    <row r="740" spans="1:19">
      <c r="A740" s="1164"/>
      <c r="B740" s="1165"/>
      <c r="C740" s="1167"/>
      <c r="D740" s="1167"/>
      <c r="E740" s="1167"/>
      <c r="F740" s="1166"/>
      <c r="G740" s="1168"/>
      <c r="H740" s="1167"/>
      <c r="I740" s="1169"/>
      <c r="J740" s="1190"/>
      <c r="K740" s="1204"/>
      <c r="L740" s="1204"/>
      <c r="M740" s="1207"/>
      <c r="N740" s="1204"/>
      <c r="O740" s="1204"/>
      <c r="P740" s="1204"/>
      <c r="Q740" s="1204"/>
      <c r="R740" s="1204"/>
      <c r="S740" s="1211"/>
    </row>
    <row r="741" spans="1:19">
      <c r="A741" s="1164"/>
      <c r="B741" s="1165"/>
      <c r="C741" s="1167"/>
      <c r="D741" s="1167"/>
      <c r="E741" s="1167"/>
      <c r="F741" s="1166"/>
      <c r="G741" s="1168"/>
      <c r="H741" s="1167"/>
      <c r="I741" s="1169"/>
      <c r="J741" s="1190"/>
      <c r="K741" s="1204"/>
      <c r="L741" s="1204"/>
      <c r="M741" s="1207"/>
      <c r="N741" s="1204"/>
      <c r="O741" s="1204"/>
      <c r="P741" s="1204"/>
      <c r="Q741" s="1204"/>
      <c r="R741" s="1204"/>
      <c r="S741" s="1211"/>
    </row>
    <row r="742" spans="1:19">
      <c r="A742" s="1164"/>
      <c r="B742" s="1165"/>
      <c r="C742" s="1167"/>
      <c r="D742" s="1167"/>
      <c r="E742" s="1167"/>
      <c r="F742" s="1166"/>
      <c r="G742" s="1168"/>
      <c r="H742" s="1167"/>
      <c r="I742" s="1169"/>
      <c r="J742" s="1190"/>
      <c r="K742" s="1204"/>
      <c r="L742" s="1204"/>
      <c r="M742" s="1207"/>
      <c r="N742" s="1204"/>
      <c r="O742" s="1204"/>
      <c r="P742" s="1204"/>
      <c r="Q742" s="1204"/>
      <c r="R742" s="1204"/>
      <c r="S742" s="1211"/>
    </row>
    <row r="743" spans="1:19">
      <c r="A743" s="1164"/>
      <c r="B743" s="1165"/>
      <c r="C743" s="1167"/>
      <c r="D743" s="1167"/>
      <c r="E743" s="1167"/>
      <c r="F743" s="1166"/>
      <c r="G743" s="1168"/>
      <c r="H743" s="1167"/>
      <c r="I743" s="1169"/>
      <c r="J743" s="1190"/>
      <c r="K743" s="1204"/>
      <c r="L743" s="1204"/>
      <c r="M743" s="1207"/>
      <c r="N743" s="1204"/>
      <c r="O743" s="1204"/>
      <c r="P743" s="1204"/>
      <c r="Q743" s="1204"/>
      <c r="R743" s="1204"/>
      <c r="S743" s="1211"/>
    </row>
    <row r="744" spans="1:19">
      <c r="A744" s="1164"/>
      <c r="B744" s="1165"/>
      <c r="C744" s="1167"/>
      <c r="D744" s="1167"/>
      <c r="E744" s="1167"/>
      <c r="F744" s="1166"/>
      <c r="G744" s="1168"/>
      <c r="H744" s="1167"/>
      <c r="I744" s="1169"/>
      <c r="J744" s="1190"/>
      <c r="K744" s="1204"/>
      <c r="L744" s="1204"/>
      <c r="M744" s="1207"/>
      <c r="N744" s="1204"/>
      <c r="O744" s="1204"/>
      <c r="P744" s="1204"/>
      <c r="Q744" s="1204"/>
      <c r="R744" s="1204"/>
      <c r="S744" s="1211"/>
    </row>
    <row r="745" spans="1:19">
      <c r="A745" s="1164"/>
      <c r="B745" s="1165"/>
      <c r="C745" s="1167"/>
      <c r="D745" s="1167"/>
      <c r="E745" s="1167"/>
      <c r="F745" s="1166"/>
      <c r="G745" s="1168"/>
      <c r="H745" s="1167"/>
      <c r="I745" s="1169"/>
      <c r="J745" s="1190"/>
      <c r="K745" s="1204"/>
      <c r="L745" s="1204"/>
      <c r="M745" s="1207"/>
      <c r="N745" s="1204"/>
      <c r="O745" s="1204"/>
      <c r="P745" s="1204"/>
      <c r="Q745" s="1204"/>
      <c r="R745" s="1204"/>
      <c r="S745" s="1211"/>
    </row>
    <row r="746" spans="1:19">
      <c r="A746" s="1164"/>
      <c r="B746" s="1165"/>
      <c r="C746" s="1167"/>
      <c r="D746" s="1167"/>
      <c r="E746" s="1167"/>
      <c r="F746" s="1166"/>
      <c r="G746" s="1168"/>
      <c r="H746" s="1167"/>
      <c r="I746" s="1169"/>
      <c r="J746" s="1190"/>
      <c r="K746" s="1204"/>
      <c r="L746" s="1204"/>
      <c r="M746" s="1207"/>
      <c r="N746" s="1204"/>
      <c r="O746" s="1204"/>
      <c r="P746" s="1204"/>
      <c r="Q746" s="1204"/>
      <c r="R746" s="1204"/>
      <c r="S746" s="1211"/>
    </row>
    <row r="747" spans="1:19">
      <c r="A747" s="1164"/>
      <c r="B747" s="1165"/>
      <c r="C747" s="1167"/>
      <c r="D747" s="1167"/>
      <c r="E747" s="1167"/>
      <c r="F747" s="1166"/>
      <c r="G747" s="1168"/>
      <c r="H747" s="1167"/>
      <c r="I747" s="1169"/>
      <c r="J747" s="1190"/>
      <c r="K747" s="1204"/>
      <c r="L747" s="1204"/>
      <c r="M747" s="1207"/>
      <c r="N747" s="1204"/>
      <c r="O747" s="1204"/>
      <c r="P747" s="1204"/>
      <c r="Q747" s="1204"/>
      <c r="R747" s="1204"/>
      <c r="S747" s="1211"/>
    </row>
    <row r="748" spans="1:19">
      <c r="A748" s="1164"/>
      <c r="B748" s="1165"/>
      <c r="C748" s="1167"/>
      <c r="D748" s="1167"/>
      <c r="E748" s="1167"/>
      <c r="F748" s="1166"/>
      <c r="G748" s="1168"/>
      <c r="H748" s="1167"/>
      <c r="I748" s="1169"/>
      <c r="J748" s="1190"/>
      <c r="K748" s="1204"/>
      <c r="L748" s="1204"/>
      <c r="M748" s="1207"/>
      <c r="N748" s="1204"/>
      <c r="O748" s="1204"/>
      <c r="P748" s="1204"/>
      <c r="Q748" s="1204"/>
      <c r="R748" s="1204"/>
      <c r="S748" s="1211"/>
    </row>
    <row r="749" spans="1:19">
      <c r="A749" s="1164"/>
      <c r="B749" s="1165"/>
      <c r="C749" s="1167"/>
      <c r="D749" s="1167"/>
      <c r="E749" s="1167"/>
      <c r="F749" s="1166"/>
      <c r="G749" s="1168"/>
      <c r="H749" s="1167"/>
      <c r="I749" s="1169"/>
      <c r="J749" s="1190"/>
      <c r="K749" s="1204"/>
      <c r="L749" s="1204"/>
      <c r="M749" s="1207"/>
      <c r="N749" s="1204"/>
      <c r="O749" s="1204"/>
      <c r="P749" s="1204"/>
      <c r="Q749" s="1204"/>
      <c r="R749" s="1204"/>
      <c r="S749" s="1211"/>
    </row>
    <row r="750" spans="1:19">
      <c r="A750" s="1164"/>
      <c r="B750" s="1165"/>
      <c r="C750" s="1167"/>
      <c r="D750" s="1167"/>
      <c r="E750" s="1167"/>
      <c r="F750" s="1166"/>
      <c r="G750" s="1168"/>
      <c r="H750" s="1167"/>
      <c r="I750" s="1169"/>
      <c r="J750" s="1190"/>
      <c r="K750" s="1204"/>
      <c r="L750" s="1204"/>
      <c r="M750" s="1207"/>
      <c r="N750" s="1204"/>
      <c r="O750" s="1204"/>
      <c r="P750" s="1204"/>
      <c r="Q750" s="1204"/>
      <c r="R750" s="1204"/>
      <c r="S750" s="1211"/>
    </row>
    <row r="751" spans="1:19">
      <c r="A751" s="1164"/>
      <c r="B751" s="1165"/>
      <c r="C751" s="1167"/>
      <c r="D751" s="1167"/>
      <c r="E751" s="1167"/>
      <c r="F751" s="1166"/>
      <c r="G751" s="1168"/>
      <c r="H751" s="1167"/>
      <c r="I751" s="1169"/>
      <c r="J751" s="1190"/>
      <c r="K751" s="1204"/>
      <c r="L751" s="1204"/>
      <c r="M751" s="1207"/>
      <c r="N751" s="1204"/>
      <c r="O751" s="1204"/>
      <c r="P751" s="1204"/>
      <c r="Q751" s="1204"/>
      <c r="R751" s="1204"/>
      <c r="S751" s="1211"/>
    </row>
    <row r="752" spans="1:19">
      <c r="A752" s="1164"/>
      <c r="B752" s="1165"/>
      <c r="C752" s="1167"/>
      <c r="D752" s="1167"/>
      <c r="E752" s="1167"/>
      <c r="F752" s="1166"/>
      <c r="G752" s="1168"/>
      <c r="H752" s="1167"/>
      <c r="I752" s="1169"/>
      <c r="J752" s="1190"/>
      <c r="K752" s="1204"/>
      <c r="L752" s="1204"/>
      <c r="M752" s="1207"/>
      <c r="N752" s="1204"/>
      <c r="O752" s="1204"/>
      <c r="P752" s="1204"/>
      <c r="Q752" s="1204"/>
      <c r="R752" s="1204"/>
      <c r="S752" s="1211"/>
    </row>
    <row r="753" spans="1:19">
      <c r="A753" s="1164"/>
      <c r="B753" s="1165"/>
      <c r="C753" s="1167"/>
      <c r="D753" s="1167"/>
      <c r="E753" s="1167"/>
      <c r="F753" s="1166"/>
      <c r="G753" s="1168"/>
      <c r="H753" s="1167"/>
      <c r="I753" s="1169"/>
      <c r="J753" s="1190"/>
      <c r="K753" s="1204"/>
      <c r="L753" s="1204"/>
      <c r="M753" s="1207"/>
      <c r="N753" s="1204"/>
      <c r="O753" s="1204"/>
      <c r="P753" s="1204"/>
      <c r="Q753" s="1204"/>
      <c r="R753" s="1204"/>
      <c r="S753" s="1211"/>
    </row>
    <row r="754" spans="1:19">
      <c r="A754" s="1164"/>
      <c r="B754" s="1165"/>
      <c r="C754" s="1167"/>
      <c r="D754" s="1167"/>
      <c r="E754" s="1167"/>
      <c r="F754" s="1166"/>
      <c r="G754" s="1168"/>
      <c r="H754" s="1167"/>
      <c r="I754" s="1169"/>
      <c r="J754" s="1190"/>
      <c r="K754" s="1204"/>
      <c r="L754" s="1204"/>
      <c r="M754" s="1207"/>
      <c r="N754" s="1204"/>
      <c r="O754" s="1204"/>
      <c r="P754" s="1204"/>
      <c r="Q754" s="1204"/>
      <c r="R754" s="1204"/>
      <c r="S754" s="1211"/>
    </row>
    <row r="755" spans="1:19">
      <c r="A755" s="1164"/>
      <c r="B755" s="1165"/>
      <c r="C755" s="1167"/>
      <c r="D755" s="1167"/>
      <c r="E755" s="1167"/>
      <c r="F755" s="1166"/>
      <c r="G755" s="1168"/>
      <c r="H755" s="1167"/>
      <c r="I755" s="1169"/>
      <c r="J755" s="1190"/>
      <c r="K755" s="1204"/>
      <c r="L755" s="1204"/>
      <c r="M755" s="1207"/>
      <c r="N755" s="1204"/>
      <c r="O755" s="1204"/>
      <c r="P755" s="1204"/>
      <c r="Q755" s="1204"/>
      <c r="R755" s="1204"/>
      <c r="S755" s="1211"/>
    </row>
    <row r="756" spans="1:19">
      <c r="A756" s="1164"/>
      <c r="B756" s="1165"/>
      <c r="C756" s="1167"/>
      <c r="D756" s="1167"/>
      <c r="E756" s="1167"/>
      <c r="F756" s="1166"/>
      <c r="G756" s="1168"/>
      <c r="H756" s="1167"/>
      <c r="I756" s="1169"/>
      <c r="J756" s="1190"/>
      <c r="K756" s="1204"/>
      <c r="L756" s="1204"/>
      <c r="M756" s="1207"/>
      <c r="N756" s="1204"/>
      <c r="O756" s="1204"/>
      <c r="P756" s="1204"/>
      <c r="Q756" s="1204"/>
      <c r="R756" s="1204"/>
      <c r="S756" s="1211"/>
    </row>
    <row r="757" spans="1:19">
      <c r="A757" s="1164"/>
      <c r="B757" s="1165"/>
      <c r="C757" s="1167"/>
      <c r="D757" s="1167"/>
      <c r="E757" s="1167"/>
      <c r="F757" s="1166"/>
      <c r="G757" s="1168"/>
      <c r="H757" s="1167"/>
      <c r="I757" s="1169"/>
      <c r="J757" s="1190"/>
      <c r="K757" s="1204"/>
      <c r="L757" s="1204"/>
      <c r="M757" s="1207"/>
      <c r="N757" s="1204"/>
      <c r="O757" s="1204"/>
      <c r="P757" s="1204"/>
      <c r="Q757" s="1204"/>
      <c r="R757" s="1204"/>
      <c r="S757" s="1211"/>
    </row>
    <row r="758" spans="1:19">
      <c r="A758" s="1164"/>
      <c r="B758" s="1165"/>
      <c r="C758" s="1167"/>
      <c r="D758" s="1167"/>
      <c r="E758" s="1167"/>
      <c r="F758" s="1166"/>
      <c r="G758" s="1168"/>
      <c r="H758" s="1167"/>
      <c r="I758" s="1169"/>
      <c r="J758" s="1190"/>
      <c r="K758" s="1204"/>
      <c r="L758" s="1204"/>
      <c r="M758" s="1207"/>
      <c r="N758" s="1204"/>
      <c r="O758" s="1204"/>
      <c r="P758" s="1204"/>
      <c r="Q758" s="1204"/>
      <c r="R758" s="1204"/>
      <c r="S758" s="1211"/>
    </row>
    <row r="759" spans="1:19">
      <c r="A759" s="1164"/>
      <c r="B759" s="1165"/>
      <c r="C759" s="1167"/>
      <c r="D759" s="1167"/>
      <c r="E759" s="1167"/>
      <c r="F759" s="1166"/>
      <c r="G759" s="1168"/>
      <c r="H759" s="1167"/>
      <c r="I759" s="1169"/>
      <c r="J759" s="1190"/>
      <c r="K759" s="1204"/>
      <c r="L759" s="1204"/>
      <c r="M759" s="1207"/>
      <c r="N759" s="1204"/>
      <c r="O759" s="1204"/>
      <c r="P759" s="1204"/>
      <c r="Q759" s="1204"/>
      <c r="R759" s="1204"/>
      <c r="S759" s="1211"/>
    </row>
    <row r="760" spans="1:19">
      <c r="A760" s="1164"/>
      <c r="B760" s="1165"/>
      <c r="C760" s="1167"/>
      <c r="D760" s="1167"/>
      <c r="E760" s="1167"/>
      <c r="F760" s="1166"/>
      <c r="G760" s="1168"/>
      <c r="H760" s="1167"/>
      <c r="I760" s="1169"/>
      <c r="J760" s="1190"/>
      <c r="K760" s="1204"/>
      <c r="L760" s="1204"/>
      <c r="M760" s="1207"/>
      <c r="N760" s="1204"/>
      <c r="O760" s="1204"/>
      <c r="P760" s="1204"/>
      <c r="Q760" s="1204"/>
      <c r="R760" s="1204"/>
      <c r="S760" s="1211"/>
    </row>
    <row r="761" spans="1:19">
      <c r="A761" s="1164"/>
      <c r="B761" s="1165"/>
      <c r="C761" s="1167"/>
      <c r="D761" s="1167"/>
      <c r="E761" s="1167"/>
      <c r="F761" s="1166"/>
      <c r="G761" s="1168"/>
      <c r="H761" s="1167"/>
      <c r="I761" s="1169"/>
      <c r="J761" s="1190"/>
      <c r="K761" s="1204"/>
      <c r="L761" s="1204"/>
      <c r="M761" s="1207"/>
      <c r="N761" s="1204"/>
      <c r="O761" s="1204"/>
      <c r="P761" s="1204"/>
      <c r="Q761" s="1204"/>
      <c r="R761" s="1204"/>
      <c r="S761" s="1211"/>
    </row>
    <row r="762" spans="1:19">
      <c r="A762" s="1164"/>
      <c r="B762" s="1165"/>
      <c r="C762" s="1167"/>
      <c r="D762" s="1167"/>
      <c r="E762" s="1167"/>
      <c r="F762" s="1166"/>
      <c r="G762" s="1168"/>
      <c r="H762" s="1167"/>
      <c r="I762" s="1169"/>
      <c r="J762" s="1190"/>
      <c r="K762" s="1204"/>
      <c r="L762" s="1204"/>
      <c r="M762" s="1207"/>
      <c r="N762" s="1204"/>
      <c r="O762" s="1204"/>
      <c r="P762" s="1204"/>
      <c r="Q762" s="1204"/>
      <c r="R762" s="1204"/>
      <c r="S762" s="1211"/>
    </row>
    <row r="763" spans="1:19">
      <c r="A763" s="1164"/>
      <c r="B763" s="1165"/>
      <c r="C763" s="1167"/>
      <c r="D763" s="1167"/>
      <c r="E763" s="1167"/>
      <c r="F763" s="1166"/>
      <c r="G763" s="1168"/>
      <c r="H763" s="1167"/>
      <c r="I763" s="1169"/>
      <c r="J763" s="1190"/>
      <c r="K763" s="1204"/>
      <c r="L763" s="1204"/>
      <c r="M763" s="1207"/>
      <c r="N763" s="1204"/>
      <c r="O763" s="1204"/>
      <c r="P763" s="1204"/>
      <c r="Q763" s="1204"/>
      <c r="R763" s="1204"/>
      <c r="S763" s="1211"/>
    </row>
    <row r="764" spans="1:19">
      <c r="A764" s="1164"/>
      <c r="B764" s="1165"/>
      <c r="C764" s="1167"/>
      <c r="D764" s="1167"/>
      <c r="E764" s="1167"/>
      <c r="F764" s="1166"/>
      <c r="G764" s="1168"/>
      <c r="H764" s="1167"/>
      <c r="I764" s="1169"/>
      <c r="J764" s="1190"/>
      <c r="K764" s="1204"/>
      <c r="L764" s="1204"/>
      <c r="M764" s="1207"/>
      <c r="N764" s="1204"/>
      <c r="O764" s="1204"/>
      <c r="P764" s="1204"/>
      <c r="Q764" s="1204"/>
      <c r="R764" s="1204"/>
      <c r="S764" s="1211"/>
    </row>
    <row r="765" spans="1:19">
      <c r="A765" s="1164"/>
      <c r="B765" s="1165"/>
      <c r="C765" s="1167"/>
      <c r="D765" s="1167"/>
      <c r="E765" s="1167"/>
      <c r="F765" s="1166"/>
      <c r="G765" s="1168"/>
      <c r="H765" s="1167"/>
      <c r="I765" s="1169"/>
      <c r="J765" s="1190"/>
      <c r="K765" s="1204"/>
      <c r="L765" s="1204"/>
      <c r="M765" s="1207"/>
      <c r="N765" s="1204"/>
      <c r="O765" s="1204"/>
      <c r="P765" s="1204"/>
      <c r="Q765" s="1204"/>
      <c r="R765" s="1204"/>
      <c r="S765" s="1211"/>
    </row>
    <row r="766" spans="1:19">
      <c r="A766" s="1164"/>
      <c r="B766" s="1165"/>
      <c r="C766" s="1167"/>
      <c r="D766" s="1167"/>
      <c r="E766" s="1167"/>
      <c r="F766" s="1166"/>
      <c r="G766" s="1168"/>
      <c r="H766" s="1167"/>
      <c r="I766" s="1169"/>
      <c r="J766" s="1190"/>
      <c r="K766" s="1204"/>
      <c r="L766" s="1204"/>
      <c r="M766" s="1207"/>
      <c r="N766" s="1204"/>
      <c r="O766" s="1204"/>
      <c r="P766" s="1204"/>
      <c r="Q766" s="1204"/>
      <c r="R766" s="1204"/>
      <c r="S766" s="1211"/>
    </row>
    <row r="767" spans="1:19">
      <c r="A767" s="1164"/>
      <c r="B767" s="1165"/>
      <c r="C767" s="1167"/>
      <c r="D767" s="1167"/>
      <c r="E767" s="1167"/>
      <c r="F767" s="1166"/>
      <c r="G767" s="1168"/>
      <c r="H767" s="1167"/>
      <c r="I767" s="1169"/>
      <c r="J767" s="1190"/>
      <c r="K767" s="1204"/>
      <c r="L767" s="1204"/>
      <c r="M767" s="1207"/>
      <c r="N767" s="1204"/>
      <c r="O767" s="1204"/>
      <c r="P767" s="1204"/>
      <c r="Q767" s="1204"/>
      <c r="R767" s="1204"/>
      <c r="S767" s="1211"/>
    </row>
    <row r="768" spans="1:19">
      <c r="A768" s="1164"/>
      <c r="B768" s="1165"/>
      <c r="C768" s="1167"/>
      <c r="D768" s="1167"/>
      <c r="E768" s="1167"/>
      <c r="F768" s="1166"/>
      <c r="G768" s="1168"/>
      <c r="H768" s="1167"/>
      <c r="I768" s="1169"/>
      <c r="J768" s="1190"/>
      <c r="K768" s="1204"/>
      <c r="L768" s="1204"/>
      <c r="M768" s="1207"/>
      <c r="N768" s="1204"/>
      <c r="O768" s="1204"/>
      <c r="P768" s="1204"/>
      <c r="Q768" s="1204"/>
      <c r="R768" s="1204"/>
      <c r="S768" s="1211"/>
    </row>
    <row r="769" spans="1:19">
      <c r="A769" s="1164"/>
      <c r="B769" s="1165"/>
      <c r="C769" s="1167"/>
      <c r="D769" s="1167"/>
      <c r="E769" s="1167"/>
      <c r="F769" s="1166"/>
      <c r="G769" s="1168"/>
      <c r="H769" s="1167"/>
      <c r="I769" s="1169"/>
      <c r="J769" s="1190"/>
      <c r="K769" s="1204"/>
      <c r="L769" s="1204"/>
      <c r="M769" s="1207"/>
      <c r="N769" s="1204"/>
      <c r="O769" s="1204"/>
      <c r="P769" s="1204"/>
      <c r="Q769" s="1204"/>
      <c r="R769" s="1204"/>
      <c r="S769" s="1211"/>
    </row>
    <row r="770" spans="1:19">
      <c r="A770" s="1164"/>
      <c r="B770" s="1165"/>
      <c r="C770" s="1167"/>
      <c r="D770" s="1167"/>
      <c r="E770" s="1167"/>
      <c r="F770" s="1166"/>
      <c r="G770" s="1168"/>
      <c r="H770" s="1167"/>
      <c r="I770" s="1169"/>
      <c r="J770" s="1190"/>
      <c r="K770" s="1204"/>
      <c r="L770" s="1204"/>
      <c r="M770" s="1207"/>
      <c r="N770" s="1204"/>
      <c r="O770" s="1204"/>
      <c r="P770" s="1204"/>
      <c r="Q770" s="1204"/>
      <c r="R770" s="1204"/>
      <c r="S770" s="1211"/>
    </row>
    <row r="771" spans="1:19">
      <c r="A771" s="1164"/>
      <c r="B771" s="1165"/>
      <c r="C771" s="1167"/>
      <c r="D771" s="1167"/>
      <c r="E771" s="1167"/>
      <c r="F771" s="1166"/>
      <c r="G771" s="1168"/>
      <c r="H771" s="1167"/>
      <c r="I771" s="1169"/>
      <c r="J771" s="1190"/>
      <c r="K771" s="1204"/>
      <c r="L771" s="1204"/>
      <c r="M771" s="1207"/>
      <c r="N771" s="1204"/>
      <c r="O771" s="1204"/>
      <c r="P771" s="1204"/>
      <c r="Q771" s="1204"/>
      <c r="R771" s="1204"/>
      <c r="S771" s="1211"/>
    </row>
    <row r="772" spans="1:19">
      <c r="A772" s="1164"/>
      <c r="B772" s="1165"/>
      <c r="C772" s="1167"/>
      <c r="D772" s="1167"/>
      <c r="E772" s="1167"/>
      <c r="F772" s="1166"/>
      <c r="G772" s="1168"/>
      <c r="H772" s="1167"/>
      <c r="I772" s="1169"/>
      <c r="J772" s="1190"/>
      <c r="K772" s="1204"/>
      <c r="L772" s="1204"/>
      <c r="M772" s="1207"/>
      <c r="N772" s="1204"/>
      <c r="O772" s="1204"/>
      <c r="P772" s="1204"/>
      <c r="Q772" s="1204"/>
      <c r="R772" s="1204"/>
      <c r="S772" s="1211"/>
    </row>
    <row r="773" spans="1:19">
      <c r="A773" s="1164"/>
      <c r="B773" s="1165"/>
      <c r="C773" s="1167"/>
      <c r="D773" s="1167"/>
      <c r="E773" s="1167"/>
      <c r="F773" s="1166"/>
      <c r="G773" s="1168"/>
      <c r="H773" s="1167"/>
      <c r="I773" s="1169"/>
      <c r="J773" s="1190"/>
      <c r="K773" s="1204"/>
      <c r="L773" s="1204"/>
      <c r="M773" s="1207"/>
      <c r="N773" s="1204"/>
      <c r="O773" s="1204"/>
      <c r="P773" s="1204"/>
      <c r="Q773" s="1204"/>
      <c r="R773" s="1204"/>
      <c r="S773" s="1211"/>
    </row>
    <row r="774" spans="1:19">
      <c r="A774" s="1164"/>
      <c r="B774" s="1165"/>
      <c r="C774" s="1167"/>
      <c r="D774" s="1167"/>
      <c r="E774" s="1167"/>
      <c r="F774" s="1166"/>
      <c r="G774" s="1168"/>
      <c r="H774" s="1167"/>
      <c r="I774" s="1169"/>
      <c r="J774" s="1190"/>
      <c r="K774" s="1204"/>
      <c r="L774" s="1204"/>
      <c r="M774" s="1207"/>
      <c r="N774" s="1204"/>
      <c r="O774" s="1204"/>
      <c r="P774" s="1204"/>
      <c r="Q774" s="1204"/>
      <c r="R774" s="1204"/>
      <c r="S774" s="1211"/>
    </row>
    <row r="775" spans="1:19">
      <c r="A775" s="1164"/>
      <c r="B775" s="1165"/>
      <c r="C775" s="1167"/>
      <c r="D775" s="1167"/>
      <c r="E775" s="1167"/>
      <c r="F775" s="1166"/>
      <c r="G775" s="1168"/>
      <c r="H775" s="1167"/>
      <c r="I775" s="1169"/>
      <c r="J775" s="1190"/>
      <c r="K775" s="1204"/>
      <c r="L775" s="1204"/>
      <c r="M775" s="1207"/>
      <c r="N775" s="1204"/>
      <c r="O775" s="1204"/>
      <c r="P775" s="1204"/>
      <c r="Q775" s="1204"/>
      <c r="R775" s="1204"/>
      <c r="S775" s="1211"/>
    </row>
    <row r="776" spans="1:19">
      <c r="A776" s="1164"/>
      <c r="B776" s="1165"/>
      <c r="C776" s="1167"/>
      <c r="D776" s="1167"/>
      <c r="E776" s="1167"/>
      <c r="F776" s="1166"/>
      <c r="G776" s="1168"/>
      <c r="H776" s="1167"/>
      <c r="I776" s="1169"/>
      <c r="J776" s="1190"/>
      <c r="K776" s="1204"/>
      <c r="L776" s="1204"/>
      <c r="M776" s="1207"/>
      <c r="N776" s="1204"/>
      <c r="O776" s="1204"/>
      <c r="P776" s="1204"/>
      <c r="Q776" s="1204"/>
      <c r="R776" s="1204"/>
      <c r="S776" s="1211"/>
    </row>
    <row r="777" spans="1:19">
      <c r="A777" s="1164"/>
      <c r="B777" s="1165"/>
      <c r="C777" s="1167"/>
      <c r="D777" s="1167"/>
      <c r="E777" s="1167"/>
      <c r="F777" s="1166"/>
      <c r="G777" s="1168"/>
      <c r="H777" s="1167"/>
      <c r="I777" s="1169"/>
      <c r="J777" s="1190"/>
      <c r="K777" s="1204"/>
      <c r="L777" s="1204"/>
      <c r="M777" s="1207"/>
      <c r="N777" s="1204"/>
      <c r="O777" s="1204"/>
      <c r="P777" s="1204"/>
      <c r="Q777" s="1204"/>
      <c r="R777" s="1204"/>
      <c r="S777" s="1211"/>
    </row>
    <row r="778" spans="1:19">
      <c r="A778" s="1164"/>
      <c r="B778" s="1165"/>
      <c r="C778" s="1167"/>
      <c r="D778" s="1167"/>
      <c r="E778" s="1167"/>
      <c r="F778" s="1166"/>
      <c r="G778" s="1168"/>
      <c r="H778" s="1167"/>
      <c r="I778" s="1169"/>
      <c r="J778" s="1190"/>
      <c r="K778" s="1204"/>
      <c r="L778" s="1204"/>
      <c r="M778" s="1207"/>
      <c r="N778" s="1204"/>
      <c r="O778" s="1204"/>
      <c r="P778" s="1204"/>
      <c r="Q778" s="1204"/>
      <c r="R778" s="1204"/>
      <c r="S778" s="1211"/>
    </row>
    <row r="779" spans="1:19">
      <c r="A779" s="1164"/>
      <c r="B779" s="1165"/>
      <c r="C779" s="1167"/>
      <c r="D779" s="1167"/>
      <c r="E779" s="1167"/>
      <c r="F779" s="1166"/>
      <c r="G779" s="1168"/>
      <c r="H779" s="1167"/>
      <c r="I779" s="1169"/>
      <c r="J779" s="1190"/>
      <c r="K779" s="1204"/>
      <c r="L779" s="1204"/>
      <c r="M779" s="1207"/>
      <c r="N779" s="1204"/>
      <c r="O779" s="1204"/>
      <c r="P779" s="1204"/>
      <c r="Q779" s="1204"/>
      <c r="R779" s="1204"/>
      <c r="S779" s="1211"/>
    </row>
    <row r="780" spans="1:19">
      <c r="A780" s="1164"/>
      <c r="B780" s="1165"/>
      <c r="C780" s="1167"/>
      <c r="D780" s="1167"/>
      <c r="E780" s="1167"/>
      <c r="F780" s="1166"/>
      <c r="G780" s="1168"/>
      <c r="H780" s="1167"/>
      <c r="I780" s="1169"/>
      <c r="J780" s="1190"/>
      <c r="K780" s="1204"/>
      <c r="L780" s="1204"/>
      <c r="M780" s="1207"/>
      <c r="N780" s="1204"/>
      <c r="O780" s="1204"/>
      <c r="P780" s="1204"/>
      <c r="Q780" s="1204"/>
      <c r="R780" s="1204"/>
      <c r="S780" s="1211"/>
    </row>
    <row r="781" spans="1:19">
      <c r="A781" s="1164"/>
      <c r="B781" s="1165"/>
      <c r="C781" s="1167"/>
      <c r="D781" s="1167"/>
      <c r="E781" s="1167"/>
      <c r="F781" s="1166"/>
      <c r="G781" s="1168"/>
      <c r="H781" s="1167"/>
      <c r="I781" s="1169"/>
      <c r="J781" s="1190"/>
      <c r="K781" s="1204"/>
      <c r="L781" s="1204"/>
      <c r="M781" s="1207"/>
      <c r="N781" s="1204"/>
      <c r="O781" s="1204"/>
      <c r="P781" s="1204"/>
      <c r="Q781" s="1204"/>
      <c r="R781" s="1204"/>
      <c r="S781" s="1211"/>
    </row>
    <row r="782" spans="1:19">
      <c r="A782" s="1164"/>
      <c r="B782" s="1165"/>
      <c r="C782" s="1167"/>
      <c r="D782" s="1167"/>
      <c r="E782" s="1167"/>
      <c r="F782" s="1166"/>
      <c r="G782" s="1168"/>
      <c r="H782" s="1167"/>
      <c r="I782" s="1169"/>
      <c r="J782" s="1190"/>
      <c r="K782" s="1204"/>
      <c r="L782" s="1204"/>
      <c r="M782" s="1207"/>
      <c r="N782" s="1204"/>
      <c r="O782" s="1204"/>
      <c r="P782" s="1204"/>
      <c r="Q782" s="1204"/>
      <c r="R782" s="1204"/>
      <c r="S782" s="1211"/>
    </row>
    <row r="783" spans="1:19">
      <c r="A783" s="1164"/>
      <c r="B783" s="1165"/>
      <c r="C783" s="1167"/>
      <c r="D783" s="1167"/>
      <c r="E783" s="1167"/>
      <c r="F783" s="1166"/>
      <c r="G783" s="1168"/>
      <c r="H783" s="1167"/>
      <c r="I783" s="1169"/>
      <c r="J783" s="1190"/>
      <c r="K783" s="1204"/>
      <c r="L783" s="1204"/>
      <c r="M783" s="1207"/>
      <c r="N783" s="1204"/>
      <c r="O783" s="1204"/>
      <c r="P783" s="1204"/>
      <c r="Q783" s="1204"/>
      <c r="R783" s="1204"/>
      <c r="S783" s="1211"/>
    </row>
    <row r="784" spans="1:19">
      <c r="A784" s="1164"/>
      <c r="B784" s="1165"/>
      <c r="C784" s="1167"/>
      <c r="D784" s="1167"/>
      <c r="E784" s="1167"/>
      <c r="F784" s="1166"/>
      <c r="G784" s="1168"/>
      <c r="H784" s="1167"/>
      <c r="I784" s="1169"/>
      <c r="J784" s="1190"/>
      <c r="K784" s="1204"/>
      <c r="L784" s="1204"/>
      <c r="M784" s="1207"/>
      <c r="N784" s="1204"/>
      <c r="O784" s="1204"/>
      <c r="P784" s="1204"/>
      <c r="Q784" s="1204"/>
      <c r="R784" s="1204"/>
      <c r="S784" s="1211"/>
    </row>
    <row r="785" spans="1:19">
      <c r="A785" s="1164"/>
      <c r="B785" s="1165"/>
      <c r="C785" s="1167"/>
      <c r="D785" s="1167"/>
      <c r="E785" s="1167"/>
      <c r="F785" s="1166"/>
      <c r="G785" s="1168"/>
      <c r="H785" s="1167"/>
      <c r="I785" s="1169"/>
      <c r="J785" s="1190"/>
      <c r="K785" s="1204"/>
      <c r="L785" s="1204"/>
      <c r="M785" s="1207"/>
      <c r="N785" s="1204"/>
      <c r="O785" s="1204"/>
      <c r="P785" s="1204"/>
      <c r="Q785" s="1204"/>
      <c r="R785" s="1204"/>
      <c r="S785" s="1211"/>
    </row>
    <row r="786" spans="1:19">
      <c r="A786" s="1164"/>
      <c r="B786" s="1165"/>
      <c r="C786" s="1167"/>
      <c r="D786" s="1167"/>
      <c r="E786" s="1167"/>
      <c r="F786" s="1166"/>
      <c r="G786" s="1168"/>
      <c r="H786" s="1167"/>
      <c r="I786" s="1169"/>
      <c r="J786" s="1190"/>
      <c r="K786" s="1204"/>
      <c r="L786" s="1204"/>
      <c r="M786" s="1207"/>
      <c r="N786" s="1204"/>
      <c r="O786" s="1204"/>
      <c r="P786" s="1204"/>
      <c r="Q786" s="1204"/>
      <c r="R786" s="1204"/>
      <c r="S786" s="1211"/>
    </row>
    <row r="787" spans="1:19">
      <c r="A787" s="1164"/>
      <c r="B787" s="1165"/>
      <c r="C787" s="1167"/>
      <c r="D787" s="1167"/>
      <c r="E787" s="1167"/>
      <c r="F787" s="1166"/>
      <c r="G787" s="1168"/>
      <c r="H787" s="1167"/>
      <c r="I787" s="1169"/>
      <c r="J787" s="1190"/>
      <c r="K787" s="1204"/>
      <c r="L787" s="1204"/>
      <c r="M787" s="1207"/>
      <c r="N787" s="1204"/>
      <c r="O787" s="1204"/>
      <c r="P787" s="1204"/>
      <c r="Q787" s="1204"/>
      <c r="R787" s="1204"/>
      <c r="S787" s="1211"/>
    </row>
    <row r="788" spans="1:19">
      <c r="A788" s="1164"/>
      <c r="B788" s="1165"/>
      <c r="C788" s="1167"/>
      <c r="D788" s="1167"/>
      <c r="E788" s="1167"/>
      <c r="F788" s="1166"/>
      <c r="G788" s="1168"/>
      <c r="H788" s="1167"/>
      <c r="I788" s="1169"/>
      <c r="J788" s="1190"/>
      <c r="K788" s="1204"/>
      <c r="L788" s="1204"/>
      <c r="M788" s="1207"/>
      <c r="N788" s="1204"/>
      <c r="O788" s="1204"/>
      <c r="P788" s="1204"/>
      <c r="Q788" s="1204"/>
      <c r="R788" s="1204"/>
      <c r="S788" s="1211"/>
    </row>
    <row r="789" spans="1:19">
      <c r="A789" s="1164"/>
      <c r="B789" s="1165"/>
      <c r="C789" s="1167"/>
      <c r="D789" s="1167"/>
      <c r="E789" s="1167"/>
      <c r="F789" s="1166"/>
      <c r="G789" s="1168"/>
      <c r="H789" s="1167"/>
      <c r="I789" s="1169"/>
      <c r="J789" s="1190"/>
      <c r="K789" s="1204"/>
      <c r="L789" s="1204"/>
      <c r="M789" s="1207"/>
      <c r="N789" s="1204"/>
      <c r="O789" s="1204"/>
      <c r="P789" s="1204"/>
      <c r="Q789" s="1204"/>
      <c r="R789" s="1204"/>
      <c r="S789" s="1211"/>
    </row>
    <row r="790" spans="1:19">
      <c r="A790" s="1164"/>
      <c r="B790" s="1165"/>
      <c r="C790" s="1167"/>
      <c r="D790" s="1167"/>
      <c r="E790" s="1167"/>
      <c r="F790" s="1166"/>
      <c r="G790" s="1168"/>
      <c r="H790" s="1167"/>
      <c r="I790" s="1169"/>
      <c r="J790" s="1190"/>
      <c r="K790" s="1204"/>
      <c r="L790" s="1204"/>
      <c r="M790" s="1207"/>
      <c r="N790" s="1204"/>
      <c r="O790" s="1204"/>
      <c r="P790" s="1204"/>
      <c r="Q790" s="1204"/>
      <c r="R790" s="1204"/>
      <c r="S790" s="1211"/>
    </row>
    <row r="791" spans="1:19">
      <c r="A791" s="1164"/>
      <c r="B791" s="1165"/>
      <c r="C791" s="1167"/>
      <c r="D791" s="1167"/>
      <c r="E791" s="1167"/>
      <c r="F791" s="1166"/>
      <c r="G791" s="1168"/>
      <c r="H791" s="1167"/>
      <c r="I791" s="1169"/>
      <c r="J791" s="1190"/>
      <c r="K791" s="1204"/>
      <c r="L791" s="1204"/>
      <c r="M791" s="1207"/>
      <c r="N791" s="1204"/>
      <c r="O791" s="1204"/>
      <c r="P791" s="1204"/>
      <c r="Q791" s="1204"/>
      <c r="R791" s="1204"/>
      <c r="S791" s="1211"/>
    </row>
    <row r="792" spans="1:19">
      <c r="A792" s="1164"/>
      <c r="B792" s="1165"/>
      <c r="C792" s="1167"/>
      <c r="D792" s="1167"/>
      <c r="E792" s="1167"/>
      <c r="F792" s="1166"/>
      <c r="G792" s="1168"/>
      <c r="H792" s="1167"/>
      <c r="I792" s="1169"/>
      <c r="J792" s="1190"/>
      <c r="K792" s="1204"/>
      <c r="L792" s="1204"/>
      <c r="M792" s="1207"/>
      <c r="N792" s="1204"/>
      <c r="O792" s="1204"/>
      <c r="P792" s="1204"/>
      <c r="Q792" s="1204"/>
      <c r="R792" s="1204"/>
      <c r="S792" s="1211"/>
    </row>
    <row r="793" spans="1:19">
      <c r="A793" s="1164"/>
      <c r="B793" s="1165"/>
      <c r="C793" s="1167"/>
      <c r="D793" s="1167"/>
      <c r="E793" s="1167"/>
      <c r="F793" s="1166"/>
      <c r="G793" s="1168"/>
      <c r="H793" s="1167"/>
      <c r="I793" s="1169"/>
      <c r="J793" s="1190"/>
      <c r="K793" s="1204"/>
      <c r="L793" s="1204"/>
      <c r="M793" s="1207"/>
      <c r="N793" s="1204"/>
      <c r="O793" s="1204"/>
      <c r="P793" s="1204"/>
      <c r="Q793" s="1204"/>
      <c r="R793" s="1204"/>
      <c r="S793" s="1211"/>
    </row>
    <row r="794" spans="1:19">
      <c r="A794" s="1164"/>
      <c r="B794" s="1165"/>
      <c r="C794" s="1167"/>
      <c r="D794" s="1167"/>
      <c r="E794" s="1167"/>
      <c r="F794" s="1166"/>
      <c r="G794" s="1168"/>
      <c r="H794" s="1167"/>
      <c r="I794" s="1169"/>
      <c r="J794" s="1190"/>
      <c r="K794" s="1204"/>
      <c r="L794" s="1204"/>
      <c r="M794" s="1207"/>
      <c r="N794" s="1204"/>
      <c r="O794" s="1204"/>
      <c r="P794" s="1204"/>
      <c r="Q794" s="1204"/>
      <c r="R794" s="1204"/>
      <c r="S794" s="1211"/>
    </row>
    <row r="795" spans="1:19">
      <c r="A795" s="1164"/>
      <c r="B795" s="1165"/>
      <c r="C795" s="1167"/>
      <c r="D795" s="1167"/>
      <c r="E795" s="1167"/>
      <c r="F795" s="1166"/>
      <c r="G795" s="1168"/>
      <c r="H795" s="1167"/>
      <c r="I795" s="1169"/>
      <c r="J795" s="1190"/>
      <c r="K795" s="1204"/>
      <c r="L795" s="1204"/>
      <c r="M795" s="1207"/>
      <c r="N795" s="1204"/>
      <c r="O795" s="1204"/>
      <c r="P795" s="1204"/>
      <c r="Q795" s="1204"/>
      <c r="R795" s="1204"/>
      <c r="S795" s="1211"/>
    </row>
    <row r="796" spans="1:19">
      <c r="A796" s="1164"/>
      <c r="B796" s="1165"/>
      <c r="C796" s="1167"/>
      <c r="D796" s="1167"/>
      <c r="E796" s="1167"/>
      <c r="F796" s="1166"/>
      <c r="G796" s="1168"/>
      <c r="H796" s="1167"/>
      <c r="I796" s="1169"/>
      <c r="J796" s="1190"/>
      <c r="K796" s="1204"/>
      <c r="L796" s="1204"/>
      <c r="M796" s="1207"/>
      <c r="N796" s="1204"/>
      <c r="O796" s="1204"/>
      <c r="P796" s="1204"/>
      <c r="Q796" s="1204"/>
      <c r="R796" s="1204"/>
      <c r="S796" s="1211"/>
    </row>
    <row r="797" spans="1:19">
      <c r="A797" s="1164"/>
      <c r="B797" s="1165"/>
      <c r="C797" s="1167"/>
      <c r="D797" s="1167"/>
      <c r="E797" s="1167"/>
      <c r="F797" s="1166"/>
      <c r="G797" s="1168"/>
      <c r="H797" s="1167"/>
      <c r="I797" s="1169"/>
      <c r="J797" s="1190"/>
      <c r="K797" s="1204"/>
      <c r="L797" s="1204"/>
      <c r="M797" s="1207"/>
      <c r="N797" s="1204"/>
      <c r="O797" s="1204"/>
      <c r="P797" s="1204"/>
      <c r="Q797" s="1204"/>
      <c r="R797" s="1204"/>
      <c r="S797" s="1211"/>
    </row>
    <row r="798" spans="1:19">
      <c r="A798" s="1164"/>
      <c r="B798" s="1165"/>
      <c r="C798" s="1167"/>
      <c r="D798" s="1167"/>
      <c r="E798" s="1167"/>
      <c r="F798" s="1166"/>
      <c r="G798" s="1168"/>
      <c r="H798" s="1167"/>
      <c r="I798" s="1169"/>
      <c r="J798" s="1190"/>
      <c r="K798" s="1204"/>
      <c r="L798" s="1204"/>
      <c r="M798" s="1207"/>
      <c r="N798" s="1204"/>
      <c r="O798" s="1204"/>
      <c r="P798" s="1204"/>
      <c r="Q798" s="1204"/>
      <c r="R798" s="1204"/>
      <c r="S798" s="1211"/>
    </row>
    <row r="799" spans="1:19">
      <c r="A799" s="1164"/>
      <c r="B799" s="1165"/>
      <c r="C799" s="1167"/>
      <c r="D799" s="1167"/>
      <c r="E799" s="1167"/>
      <c r="F799" s="1166"/>
      <c r="G799" s="1168"/>
      <c r="H799" s="1167"/>
      <c r="I799" s="1169"/>
      <c r="J799" s="1190"/>
      <c r="K799" s="1204"/>
      <c r="L799" s="1204"/>
      <c r="M799" s="1207"/>
      <c r="N799" s="1204"/>
      <c r="O799" s="1204"/>
      <c r="P799" s="1204"/>
      <c r="Q799" s="1204"/>
      <c r="R799" s="1204"/>
      <c r="S799" s="1211"/>
    </row>
    <row r="800" spans="1:19">
      <c r="A800" s="1164"/>
      <c r="B800" s="1165"/>
      <c r="C800" s="1167"/>
      <c r="D800" s="1167"/>
      <c r="E800" s="1167"/>
      <c r="F800" s="1166"/>
      <c r="G800" s="1168"/>
      <c r="H800" s="1167"/>
      <c r="I800" s="1169"/>
      <c r="J800" s="1190"/>
      <c r="K800" s="1204"/>
      <c r="L800" s="1204"/>
      <c r="M800" s="1207"/>
      <c r="N800" s="1204"/>
      <c r="O800" s="1204"/>
      <c r="P800" s="1204"/>
      <c r="Q800" s="1204"/>
      <c r="R800" s="1204"/>
      <c r="S800" s="1211"/>
    </row>
    <row r="801" spans="1:19">
      <c r="A801" s="1164"/>
      <c r="B801" s="1165"/>
      <c r="C801" s="1167"/>
      <c r="D801" s="1167"/>
      <c r="E801" s="1167"/>
      <c r="F801" s="1166"/>
      <c r="G801" s="1168"/>
      <c r="H801" s="1167"/>
      <c r="I801" s="1169"/>
      <c r="J801" s="1190"/>
      <c r="K801" s="1204"/>
      <c r="L801" s="1204"/>
      <c r="M801" s="1207"/>
      <c r="N801" s="1204"/>
      <c r="O801" s="1204"/>
      <c r="P801" s="1204"/>
      <c r="Q801" s="1204"/>
      <c r="R801" s="1204"/>
      <c r="S801" s="1211"/>
    </row>
    <row r="802" spans="1:19">
      <c r="A802" s="1164"/>
      <c r="B802" s="1165"/>
      <c r="C802" s="1167"/>
      <c r="D802" s="1167"/>
      <c r="E802" s="1167"/>
      <c r="F802" s="1166"/>
      <c r="G802" s="1168"/>
      <c r="H802" s="1167"/>
      <c r="I802" s="1169"/>
      <c r="J802" s="1190"/>
      <c r="K802" s="1204"/>
      <c r="L802" s="1204"/>
      <c r="M802" s="1207"/>
      <c r="N802" s="1204"/>
      <c r="O802" s="1204"/>
      <c r="P802" s="1204"/>
      <c r="Q802" s="1204"/>
      <c r="R802" s="1204"/>
      <c r="S802" s="1211"/>
    </row>
    <row r="803" spans="1:19">
      <c r="A803" s="1164"/>
      <c r="B803" s="1165"/>
      <c r="C803" s="1167"/>
      <c r="D803" s="1167"/>
      <c r="E803" s="1167"/>
      <c r="F803" s="1166"/>
      <c r="G803" s="1168"/>
      <c r="H803" s="1167"/>
      <c r="I803" s="1169"/>
      <c r="J803" s="1190"/>
      <c r="K803" s="1204"/>
      <c r="L803" s="1204"/>
      <c r="M803" s="1207"/>
      <c r="N803" s="1204"/>
      <c r="O803" s="1204"/>
      <c r="P803" s="1204"/>
      <c r="Q803" s="1204"/>
      <c r="R803" s="1204"/>
      <c r="S803" s="1211"/>
    </row>
  </sheetData>
  <mergeCells count="18">
    <mergeCell ref="H9:H10"/>
    <mergeCell ref="R9:R10"/>
    <mergeCell ref="S9:S10"/>
    <mergeCell ref="I9:I10"/>
    <mergeCell ref="A9:A10"/>
    <mergeCell ref="B9:B10"/>
    <mergeCell ref="C9:C10"/>
    <mergeCell ref="D9:D10"/>
    <mergeCell ref="E9:G9"/>
    <mergeCell ref="K9:K10"/>
    <mergeCell ref="L9:L10"/>
    <mergeCell ref="O16:Q16"/>
    <mergeCell ref="K1:S1"/>
    <mergeCell ref="L3:S3"/>
    <mergeCell ref="K2:S2"/>
    <mergeCell ref="M9:M10"/>
    <mergeCell ref="N9:N10"/>
    <mergeCell ref="O9:Q9"/>
  </mergeCells>
  <phoneticPr fontId="14" type="noConversion"/>
  <pageMargins left="0.70866141732283472" right="0.70866141732283472" top="0.19685039370078741" bottom="0.35433070866141736" header="0.31496062992125984" footer="0.31496062992125984"/>
  <pageSetup paperSize="9" scale="87" fitToHeight="0" orientation="portrait" r:id="rId1"/>
  <rowBreaks count="1" manualBreakCount="1">
    <brk id="64" min="10" max="18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1B08-2001-428F-87E2-2F52AA6636E9}">
  <dimension ref="A1:D26"/>
  <sheetViews>
    <sheetView view="pageBreakPreview" topLeftCell="A4" zoomScale="130" zoomScaleNormal="100" zoomScaleSheetLayoutView="130" workbookViewId="0">
      <selection activeCell="B27" sqref="B27"/>
    </sheetView>
  </sheetViews>
  <sheetFormatPr baseColWidth="10" defaultRowHeight="13.2"/>
  <cols>
    <col min="2" max="2" width="69.6640625" customWidth="1"/>
  </cols>
  <sheetData>
    <row r="1" spans="1:4" ht="17.399999999999999">
      <c r="A1" s="1530" t="s">
        <v>2169</v>
      </c>
      <c r="B1" s="1531"/>
      <c r="C1" s="1531"/>
      <c r="D1" s="1532"/>
    </row>
    <row r="2" spans="1:4" ht="16.2">
      <c r="A2" s="1533" t="s">
        <v>257</v>
      </c>
      <c r="B2" s="1534"/>
      <c r="C2" s="1534"/>
      <c r="D2" s="1535"/>
    </row>
    <row r="3" spans="1:4" ht="22.8" customHeight="1">
      <c r="A3" s="1362" t="s">
        <v>2163</v>
      </c>
      <c r="B3" s="1536" t="s">
        <v>2164</v>
      </c>
      <c r="C3" s="1536"/>
      <c r="D3" s="1537"/>
    </row>
    <row r="4" spans="1:4">
      <c r="A4" s="1362" t="s">
        <v>2165</v>
      </c>
      <c r="B4" s="1369" t="s">
        <v>2166</v>
      </c>
      <c r="C4" s="1370"/>
      <c r="D4" s="1387"/>
    </row>
    <row r="5" spans="1:4">
      <c r="A5" s="1362" t="s">
        <v>2167</v>
      </c>
      <c r="B5" s="1374">
        <v>44636</v>
      </c>
      <c r="C5" s="1375"/>
      <c r="D5" s="1388"/>
    </row>
    <row r="6" spans="1:4">
      <c r="A6" s="1362" t="s">
        <v>2168</v>
      </c>
      <c r="B6" s="1378" t="s">
        <v>1140</v>
      </c>
      <c r="C6" s="1370"/>
      <c r="D6" s="1387"/>
    </row>
    <row r="7" spans="1:4">
      <c r="A7" s="1362" t="s">
        <v>2170</v>
      </c>
      <c r="B7" s="1369" t="s">
        <v>10</v>
      </c>
      <c r="C7" s="1370"/>
      <c r="D7" s="1387"/>
    </row>
    <row r="8" spans="1:4" ht="13.8" thickBot="1">
      <c r="A8" s="1380" t="s">
        <v>2171</v>
      </c>
      <c r="B8" s="1381" t="s">
        <v>2172</v>
      </c>
      <c r="C8" s="1364"/>
      <c r="D8" s="1389"/>
    </row>
    <row r="9" spans="1:4">
      <c r="A9" s="1507" t="s">
        <v>19</v>
      </c>
      <c r="B9" s="1525" t="s">
        <v>2110</v>
      </c>
      <c r="C9" s="1507" t="s">
        <v>2111</v>
      </c>
      <c r="D9" s="1516" t="s">
        <v>1</v>
      </c>
    </row>
    <row r="10" spans="1:4">
      <c r="A10" s="1527"/>
      <c r="B10" s="1528"/>
      <c r="C10" s="1527"/>
      <c r="D10" s="1529"/>
    </row>
    <row r="11" spans="1:4">
      <c r="A11" s="1428">
        <f>'SUSTENTO DE PARTIDAS NUEVAS'!K11</f>
        <v>1</v>
      </c>
      <c r="B11" s="1429" t="str">
        <f>'SUSTENTO DE PARTIDAS NUEVAS'!L11</f>
        <v>OBRAS PROVISIONALES, TRABAJOS PRELIMINARES, SEGURIDAD Y SALUD</v>
      </c>
      <c r="C11" s="1430"/>
      <c r="D11" s="1430"/>
    </row>
    <row r="12" spans="1:4">
      <c r="A12" s="1428">
        <f>'SUSTENTO DE PARTIDAS NUEVAS'!K12</f>
        <v>1.01</v>
      </c>
      <c r="B12" s="1427" t="str">
        <f>'SUSTENTO DE PARTIDAS NUEVAS'!L12</f>
        <v>SEGURIDAD Y SALUD</v>
      </c>
      <c r="C12" s="1430"/>
      <c r="D12" s="1430"/>
    </row>
    <row r="13" spans="1:4">
      <c r="A13" s="1430" t="str">
        <f>'SUSTENTO DE PARTIDAS NUEVAS'!K13</f>
        <v>1.01.01</v>
      </c>
      <c r="B13" s="1431" t="str">
        <f>'SUSTENTO DE PARTIDAS NUEVAS'!L13</f>
        <v>EQUIPOS DE PROTECCION INDIVIDUAL COMPLEMENTARIA</v>
      </c>
      <c r="C13" s="1430" t="str">
        <f>'SUSTENTO DE PARTIDAS NUEVAS'!M13</f>
        <v>UND</v>
      </c>
      <c r="D13" s="1432">
        <f>'SUSTENTO DE PARTIDAS NUEVAS'!S13</f>
        <v>29</v>
      </c>
    </row>
    <row r="14" spans="1:4">
      <c r="A14" s="1428">
        <f>'SUSTENTO DE PARTIDAS NUEVAS'!K15</f>
        <v>1.02</v>
      </c>
      <c r="B14" s="1427" t="str">
        <f>'SUSTENTO DE PARTIDAS NUEVAS'!L15</f>
        <v>OBRAS DE TRABAJOS PRELIMINARES</v>
      </c>
      <c r="C14" s="1430"/>
      <c r="D14" s="1430"/>
    </row>
    <row r="15" spans="1:4" s="1170" customFormat="1">
      <c r="A15" s="1433" t="s">
        <v>528</v>
      </c>
      <c r="B15" s="1431" t="s">
        <v>2176</v>
      </c>
      <c r="C15" s="1434" t="s">
        <v>36</v>
      </c>
      <c r="D15" s="1435">
        <f>'SUSTENTO DE PARTIDAS NUEVAS'!S16</f>
        <v>5827.92</v>
      </c>
    </row>
    <row r="16" spans="1:4">
      <c r="A16" s="1433" t="str">
        <f>'SUSTENTO DE PARTIDAS NUEVAS'!K17</f>
        <v>01.02.02</v>
      </c>
      <c r="B16" s="1431" t="str">
        <f>'SUSTENTO DE PARTIDAS NUEVAS'!L17</f>
        <v xml:space="preserve">DESCASCARAMIENTO DE TARRAJEO EXISTENTE </v>
      </c>
      <c r="C16" s="1430" t="str">
        <f>'SUSTENTO DE PARTIDAS NUEVAS'!M17</f>
        <v>m2</v>
      </c>
      <c r="D16" s="1432">
        <f>'SUSTENTO DE PARTIDAS NUEVAS'!S17</f>
        <v>593.31000000000006</v>
      </c>
    </row>
    <row r="17" spans="1:4">
      <c r="A17" s="1433" t="str">
        <f>'SUSTENTO DE PARTIDAS NUEVAS'!K27</f>
        <v>01.02.03</v>
      </c>
      <c r="B17" s="1431" t="str">
        <f>'SUSTENTO DE PARTIDAS NUEVAS'!L27</f>
        <v>DEMOLICION DE CONTRAPISO EXSISTENTE E=5mm</v>
      </c>
      <c r="C17" s="1433" t="str">
        <f>'SUSTENTO DE PARTIDAS NUEVAS'!M27</f>
        <v>m2</v>
      </c>
      <c r="D17" s="1432">
        <f>'SUSTENTO DE PARTIDAS NUEVAS'!S27</f>
        <v>987</v>
      </c>
    </row>
    <row r="18" spans="1:4">
      <c r="A18" s="1430" t="str">
        <f>'SUSTENTO DE PARTIDAS NUEVAS'!K33</f>
        <v>01.02.04</v>
      </c>
      <c r="B18" s="1431" t="str">
        <f>'SUSTENTO DE PARTIDAS NUEVAS'!L33</f>
        <v xml:space="preserve">ELIMINACION DE DESMONTE PROVENIENTE DE DEMOLICION </v>
      </c>
      <c r="C18" s="1430" t="str">
        <f>'SUSTENTO DE PARTIDAS NUEVAS'!M33</f>
        <v>m2</v>
      </c>
      <c r="D18" s="1432">
        <f>'SUSTENTO DE PARTIDAS NUEVAS'!S33</f>
        <v>6086</v>
      </c>
    </row>
    <row r="19" spans="1:4">
      <c r="A19" s="1430" t="str">
        <f>'SUSTENTO DE PARTIDAS NUEVAS'!K46</f>
        <v>01.03.01</v>
      </c>
      <c r="B19" s="1431" t="str">
        <f>'SUSTENTO DE PARTIDAS NUEVAS'!L46</f>
        <v>LIJADO DE MURO EN  PINTURA ESMALTE EXISTENTE</v>
      </c>
      <c r="C19" s="1430" t="str">
        <f>'SUSTENTO DE PARTIDAS NUEVAS'!M46</f>
        <v>m2</v>
      </c>
      <c r="D19" s="1432">
        <f>'SUSTENTO DE PARTIDAS NUEVAS'!S46</f>
        <v>962.8</v>
      </c>
    </row>
    <row r="20" spans="1:4">
      <c r="A20" s="1430" t="str">
        <f>'SUSTENTO DE PARTIDAS NUEVAS'!K53</f>
        <v>01.03.02</v>
      </c>
      <c r="B20" s="1431" t="str">
        <f>'SUSTENTO DE PARTIDAS NUEVAS'!L53</f>
        <v>MONTAJE Y DESMONTAJE DE ANDAMIO PARA PINTURA PARA EXTERIOR</v>
      </c>
      <c r="C20" s="1430" t="str">
        <f>'SUSTENTO DE PARTIDAS NUEVAS'!M53</f>
        <v>m2</v>
      </c>
      <c r="D20" s="1432">
        <f>'SUSTENTO DE PARTIDAS NUEVAS'!S53</f>
        <v>2217.52</v>
      </c>
    </row>
    <row r="21" spans="1:4">
      <c r="A21" s="1427" t="s">
        <v>534</v>
      </c>
      <c r="B21" s="1427" t="s">
        <v>2180</v>
      </c>
      <c r="C21" s="1430"/>
      <c r="D21" s="1430"/>
    </row>
    <row r="22" spans="1:4">
      <c r="A22" s="1436" t="s">
        <v>535</v>
      </c>
      <c r="B22" s="1437" t="s">
        <v>2181</v>
      </c>
      <c r="C22" s="1434" t="s">
        <v>36</v>
      </c>
      <c r="D22" s="1432">
        <f>'SUSTENTO DE PARTIDAS NUEVAS'!S66</f>
        <v>267.79000000000002</v>
      </c>
    </row>
    <row r="23" spans="1:4">
      <c r="A23" s="1429"/>
      <c r="B23" s="1429"/>
      <c r="C23" s="1430"/>
      <c r="D23" s="1430"/>
    </row>
    <row r="24" spans="1:4">
      <c r="A24" s="1423">
        <f>'SUSTENTO DE PARTIDAS NUEVAS'!K72</f>
        <v>0</v>
      </c>
      <c r="B24" s="1424">
        <f>'SUSTENTO DE PARTIDAS NUEVAS'!L72</f>
        <v>0</v>
      </c>
      <c r="C24" s="1425">
        <f>'SUSTENTO DE PARTIDAS NUEVAS'!M72</f>
        <v>0</v>
      </c>
      <c r="D24" s="1426">
        <f>'SUSTENTO DE PARTIDAS NUEVAS'!S72</f>
        <v>0</v>
      </c>
    </row>
    <row r="25" spans="1:4">
      <c r="A25" s="1390">
        <f>'SUSTENTO DE PARTIDAS NUEVAS'!K77</f>
        <v>0</v>
      </c>
      <c r="B25" s="1204">
        <f>'SUSTENTO DE PARTIDAS NUEVAS'!L77</f>
        <v>0</v>
      </c>
      <c r="C25" s="1204">
        <f>'SUSTENTO DE PARTIDAS NUEVAS'!M77</f>
        <v>0</v>
      </c>
      <c r="D25" s="1391">
        <f>'SUSTENTO DE PARTIDAS NUEVAS'!S77</f>
        <v>0</v>
      </c>
    </row>
    <row r="26" spans="1:4">
      <c r="A26" s="1392">
        <f>'SUSTENTO DE PARTIDAS NUEVAS'!K81</f>
        <v>0</v>
      </c>
      <c r="B26" s="1393">
        <f>'SUSTENTO DE PARTIDAS NUEVAS'!L81</f>
        <v>0</v>
      </c>
      <c r="C26" s="1393">
        <f>'SUSTENTO DE PARTIDAS NUEVAS'!M81</f>
        <v>0</v>
      </c>
      <c r="D26" s="1394">
        <f>'SUSTENTO DE PARTIDAS NUEVAS'!S81</f>
        <v>0</v>
      </c>
    </row>
  </sheetData>
  <mergeCells count="7">
    <mergeCell ref="A9:A10"/>
    <mergeCell ref="B9:B10"/>
    <mergeCell ref="C9:C10"/>
    <mergeCell ref="D9:D10"/>
    <mergeCell ref="A1:D1"/>
    <mergeCell ref="A2:D2"/>
    <mergeCell ref="B3:D3"/>
  </mergeCells>
  <pageMargins left="0.7" right="0.7" top="0.75" bottom="0.75" header="0.3" footer="0.3"/>
  <pageSetup paperSize="9" scale="8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M167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557" customWidth="1"/>
    <col min="5" max="5" width="9.109375" style="557" customWidth="1"/>
    <col min="6" max="8" width="7" style="557" customWidth="1"/>
    <col min="9" max="9" width="7" style="787" customWidth="1"/>
    <col min="10" max="11" width="7" style="557" customWidth="1"/>
    <col min="12" max="15" width="7" style="558" customWidth="1"/>
    <col min="16" max="16" width="7" style="808" customWidth="1"/>
    <col min="17" max="18" width="7" style="557" customWidth="1"/>
    <col min="19" max="22" width="7" style="558" customWidth="1"/>
    <col min="23" max="23" width="10.88671875" style="808" customWidth="1"/>
    <col min="24" max="24" width="9.44140625" style="558" customWidth="1"/>
    <col min="25" max="25" width="7" style="558" customWidth="1"/>
    <col min="26" max="26" width="10.44140625" style="558" customWidth="1"/>
    <col min="27" max="27" width="8.6640625" style="558" customWidth="1"/>
    <col min="28" max="28" width="7" style="558" customWidth="1"/>
    <col min="29" max="29" width="9.44140625" style="558" customWidth="1"/>
    <col min="30" max="30" width="7" style="808" customWidth="1"/>
    <col min="31" max="31" width="9.88671875" style="1007" customWidth="1"/>
    <col min="32" max="32" width="7" style="558" customWidth="1"/>
    <col min="33" max="33" width="9.109375" style="814" customWidth="1"/>
    <col min="34" max="34" width="9.109375" style="558" hidden="1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  <c r="P1" s="558"/>
      <c r="W1" s="558"/>
      <c r="AD1" s="558"/>
      <c r="AG1" s="558"/>
    </row>
    <row r="2" spans="1:39">
      <c r="A2" s="1539" t="s">
        <v>1788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  <c r="P2" s="558"/>
      <c r="W2" s="558"/>
      <c r="AD2" s="558"/>
      <c r="AG2" s="558"/>
    </row>
    <row r="3" spans="1:39">
      <c r="A3" s="615"/>
      <c r="G3" s="557">
        <v>7</v>
      </c>
      <c r="I3" s="557"/>
      <c r="P3" s="558"/>
      <c r="W3" s="558"/>
      <c r="AD3" s="558"/>
      <c r="AG3" s="558"/>
    </row>
    <row r="4" spans="1:39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  <c r="P4" s="558"/>
      <c r="W4" s="558"/>
      <c r="AD4" s="558"/>
      <c r="AG4" s="558"/>
    </row>
    <row r="5" spans="1:39" ht="12.75" customHeight="1">
      <c r="A5" s="617"/>
      <c r="B5" s="1541" t="e">
        <f>#REF!</f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  <c r="P5" s="558"/>
      <c r="W5" s="558"/>
      <c r="AD5" s="558"/>
      <c r="AG5" s="558"/>
    </row>
    <row r="6" spans="1:39" ht="13.5" customHeight="1">
      <c r="B6" s="619"/>
      <c r="C6" s="561"/>
      <c r="I6" s="557"/>
      <c r="P6" s="558"/>
      <c r="W6" s="558"/>
      <c r="AD6" s="558"/>
      <c r="AG6" s="558"/>
    </row>
    <row r="7" spans="1:39" ht="13.5" customHeight="1">
      <c r="B7" s="619"/>
      <c r="C7" s="561"/>
      <c r="I7" s="557"/>
      <c r="P7" s="558"/>
      <c r="W7" s="558"/>
      <c r="AD7" s="558"/>
      <c r="AG7" s="558"/>
    </row>
    <row r="8" spans="1:39" ht="13.5" customHeight="1" thickBot="1">
      <c r="B8" s="619"/>
      <c r="C8" s="561"/>
      <c r="D8" s="929" t="s">
        <v>1991</v>
      </c>
      <c r="E8" s="929" t="s">
        <v>1873</v>
      </c>
      <c r="F8" s="929" t="s">
        <v>1872</v>
      </c>
      <c r="G8" s="929" t="s">
        <v>1866</v>
      </c>
      <c r="H8" s="929" t="s">
        <v>1867</v>
      </c>
      <c r="I8" s="929" t="s">
        <v>1868</v>
      </c>
      <c r="J8" s="929" t="s">
        <v>1869</v>
      </c>
      <c r="K8" s="929" t="s">
        <v>1870</v>
      </c>
      <c r="L8" s="929" t="s">
        <v>1871</v>
      </c>
      <c r="M8" s="929" t="s">
        <v>1872</v>
      </c>
      <c r="N8" s="929" t="s">
        <v>1866</v>
      </c>
      <c r="O8" s="929" t="s">
        <v>1867</v>
      </c>
      <c r="P8" s="929" t="s">
        <v>1868</v>
      </c>
      <c r="Q8" s="929" t="s">
        <v>1869</v>
      </c>
      <c r="R8" s="929" t="s">
        <v>1870</v>
      </c>
      <c r="S8" s="929" t="s">
        <v>1871</v>
      </c>
      <c r="T8" s="929" t="s">
        <v>1872</v>
      </c>
      <c r="U8" s="929" t="s">
        <v>1866</v>
      </c>
      <c r="V8" s="929" t="s">
        <v>1867</v>
      </c>
      <c r="W8" s="929" t="s">
        <v>1868</v>
      </c>
      <c r="X8" s="929" t="s">
        <v>1869</v>
      </c>
      <c r="Y8" s="929" t="s">
        <v>1870</v>
      </c>
      <c r="Z8" s="929" t="s">
        <v>1871</v>
      </c>
      <c r="AA8" s="929" t="s">
        <v>1872</v>
      </c>
      <c r="AB8" s="929" t="s">
        <v>1866</v>
      </c>
      <c r="AC8" s="929" t="s">
        <v>1867</v>
      </c>
      <c r="AD8" s="929" t="s">
        <v>1868</v>
      </c>
      <c r="AE8" s="929" t="s">
        <v>1869</v>
      </c>
      <c r="AF8" s="929" t="s">
        <v>1870</v>
      </c>
      <c r="AG8" s="929" t="s">
        <v>1871</v>
      </c>
      <c r="AH8" s="929" t="s">
        <v>1869</v>
      </c>
      <c r="AI8" s="929"/>
    </row>
    <row r="9" spans="1:39" ht="13.8" thickBot="1">
      <c r="A9" s="1543" t="s">
        <v>284</v>
      </c>
      <c r="B9" s="1543" t="s">
        <v>19</v>
      </c>
      <c r="C9" s="562"/>
      <c r="D9" s="1050">
        <v>1</v>
      </c>
      <c r="E9" s="1050">
        <f>+D9+1</f>
        <v>2</v>
      </c>
      <c r="F9" s="788">
        <f t="shared" ref="F9:AH9" si="0">+E9+1</f>
        <v>3</v>
      </c>
      <c r="G9" s="1050">
        <f t="shared" si="0"/>
        <v>4</v>
      </c>
      <c r="H9" s="1050">
        <f t="shared" si="0"/>
        <v>5</v>
      </c>
      <c r="I9" s="1050">
        <f t="shared" si="0"/>
        <v>6</v>
      </c>
      <c r="J9" s="1050">
        <f t="shared" si="0"/>
        <v>7</v>
      </c>
      <c r="K9" s="1050">
        <f t="shared" si="0"/>
        <v>8</v>
      </c>
      <c r="L9" s="1050">
        <f t="shared" si="0"/>
        <v>9</v>
      </c>
      <c r="M9" s="788">
        <f t="shared" si="0"/>
        <v>10</v>
      </c>
      <c r="N9" s="1050">
        <f t="shared" si="0"/>
        <v>11</v>
      </c>
      <c r="O9" s="1050">
        <f t="shared" si="0"/>
        <v>12</v>
      </c>
      <c r="P9" s="1050">
        <f t="shared" si="0"/>
        <v>13</v>
      </c>
      <c r="Q9" s="1050">
        <f t="shared" si="0"/>
        <v>14</v>
      </c>
      <c r="R9" s="1050">
        <f t="shared" si="0"/>
        <v>15</v>
      </c>
      <c r="S9" s="1050">
        <f t="shared" si="0"/>
        <v>16</v>
      </c>
      <c r="T9" s="788">
        <f t="shared" si="0"/>
        <v>17</v>
      </c>
      <c r="U9" s="1050">
        <f t="shared" si="0"/>
        <v>18</v>
      </c>
      <c r="V9" s="1050">
        <f t="shared" si="0"/>
        <v>19</v>
      </c>
      <c r="W9" s="1050">
        <f t="shared" si="0"/>
        <v>20</v>
      </c>
      <c r="X9" s="1050">
        <f t="shared" si="0"/>
        <v>21</v>
      </c>
      <c r="Y9" s="1050">
        <f t="shared" si="0"/>
        <v>22</v>
      </c>
      <c r="Z9" s="1050">
        <f t="shared" si="0"/>
        <v>23</v>
      </c>
      <c r="AA9" s="788">
        <f t="shared" si="0"/>
        <v>24</v>
      </c>
      <c r="AB9" s="1050">
        <f t="shared" si="0"/>
        <v>25</v>
      </c>
      <c r="AC9" s="1050">
        <f t="shared" si="0"/>
        <v>26</v>
      </c>
      <c r="AD9" s="1050">
        <f t="shared" si="0"/>
        <v>27</v>
      </c>
      <c r="AE9" s="564">
        <f t="shared" si="0"/>
        <v>28</v>
      </c>
      <c r="AF9" s="1050">
        <f t="shared" si="0"/>
        <v>29</v>
      </c>
      <c r="AG9" s="1050">
        <f t="shared" si="0"/>
        <v>30</v>
      </c>
      <c r="AH9" s="1050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44"/>
      <c r="B10" s="1544"/>
      <c r="C10" s="951" t="s">
        <v>72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568" t="s">
        <v>291</v>
      </c>
      <c r="AC10" s="568" t="s">
        <v>291</v>
      </c>
      <c r="AD10" s="568" t="s">
        <v>291</v>
      </c>
      <c r="AE10" s="569" t="s">
        <v>291</v>
      </c>
      <c r="AF10" s="568" t="s">
        <v>291</v>
      </c>
      <c r="AG10" s="1024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579" customFormat="1">
      <c r="A11" s="606" t="s">
        <v>32</v>
      </c>
      <c r="B11" s="606" t="s">
        <v>1118</v>
      </c>
      <c r="C11" s="630"/>
      <c r="D11" s="571"/>
      <c r="E11" s="572"/>
      <c r="F11" s="872"/>
      <c r="G11" s="571"/>
      <c r="H11" s="571"/>
      <c r="I11" s="1022"/>
      <c r="J11" s="573"/>
      <c r="K11" s="573"/>
      <c r="L11" s="575"/>
      <c r="M11" s="872"/>
      <c r="N11" s="575"/>
      <c r="O11" s="575"/>
      <c r="P11" s="575"/>
      <c r="Q11" s="583"/>
      <c r="R11" s="583"/>
      <c r="S11" s="575"/>
      <c r="T11" s="872"/>
      <c r="U11" s="575"/>
      <c r="V11" s="575"/>
      <c r="W11" s="575"/>
      <c r="X11" s="575"/>
      <c r="Y11" s="575"/>
      <c r="Z11" s="575"/>
      <c r="AA11" s="872"/>
      <c r="AB11" s="575"/>
      <c r="AC11" s="575"/>
      <c r="AD11" s="575"/>
      <c r="AE11" s="753"/>
      <c r="AF11" s="575"/>
      <c r="AG11" s="588"/>
      <c r="AH11" s="842"/>
      <c r="AI11" s="738">
        <f t="shared" ref="AI11:AI21" si="1">ROUND((SUM(D11:AH11)),2)</f>
        <v>0</v>
      </c>
      <c r="AJ11" s="949"/>
      <c r="AK11" s="581"/>
      <c r="AL11" s="747"/>
      <c r="AM11" s="744"/>
    </row>
    <row r="12" spans="1:39" s="560" customFormat="1">
      <c r="A12" s="492" t="s">
        <v>534</v>
      </c>
      <c r="B12" s="608" t="s">
        <v>1131</v>
      </c>
      <c r="C12" s="679"/>
      <c r="D12" s="580"/>
      <c r="E12" s="581"/>
      <c r="F12" s="778"/>
      <c r="G12" s="581"/>
      <c r="H12" s="581"/>
      <c r="I12" s="949"/>
      <c r="J12" s="949"/>
      <c r="K12" s="949"/>
      <c r="L12" s="575"/>
      <c r="M12" s="778"/>
      <c r="N12" s="575"/>
      <c r="O12" s="575"/>
      <c r="P12" s="575"/>
      <c r="Q12" s="583"/>
      <c r="R12" s="583"/>
      <c r="S12" s="575"/>
      <c r="T12" s="778"/>
      <c r="U12" s="575"/>
      <c r="V12" s="575"/>
      <c r="W12" s="575"/>
      <c r="X12" s="575"/>
      <c r="Y12" s="575"/>
      <c r="Z12" s="575"/>
      <c r="AA12" s="778"/>
      <c r="AB12" s="575"/>
      <c r="AC12" s="575"/>
      <c r="AD12" s="575"/>
      <c r="AE12" s="753"/>
      <c r="AF12" s="575"/>
      <c r="AG12" s="588"/>
      <c r="AH12" s="842"/>
      <c r="AI12" s="738">
        <f t="shared" si="1"/>
        <v>0</v>
      </c>
      <c r="AJ12" s="949">
        <v>0</v>
      </c>
      <c r="AK12" s="581">
        <f t="shared" ref="AK12:AK36" si="2">AI12+AJ12</f>
        <v>0</v>
      </c>
      <c r="AL12" s="746"/>
      <c r="AM12" s="743">
        <f t="shared" ref="AM12:AM36" si="3">AL12-AK12</f>
        <v>0</v>
      </c>
    </row>
    <row r="13" spans="1:39" s="560" customFormat="1" ht="13.8" thickBot="1">
      <c r="A13" s="604" t="s">
        <v>536</v>
      </c>
      <c r="B13" s="604" t="s">
        <v>1805</v>
      </c>
      <c r="C13" s="530" t="s">
        <v>36</v>
      </c>
      <c r="D13" s="580"/>
      <c r="E13" s="581"/>
      <c r="F13" s="778"/>
      <c r="G13" s="581"/>
      <c r="H13" s="581"/>
      <c r="I13" s="949"/>
      <c r="J13" s="949"/>
      <c r="K13" s="949"/>
      <c r="L13" s="1039">
        <f>10*1.2*1.2+2*2.73*0.25+2*6.15*0.25+3.18*6*0.25-12.89</f>
        <v>10.719999999999999</v>
      </c>
      <c r="M13" s="778"/>
      <c r="N13" s="575"/>
      <c r="O13" s="575"/>
      <c r="P13" s="575"/>
      <c r="Q13" s="583"/>
      <c r="R13" s="583"/>
      <c r="S13" s="575"/>
      <c r="T13" s="778"/>
      <c r="U13" s="575"/>
      <c r="V13" s="575"/>
      <c r="W13" s="575"/>
      <c r="X13" s="810"/>
      <c r="Y13" s="575"/>
      <c r="Z13" s="575"/>
      <c r="AA13" s="778"/>
      <c r="AB13" s="583"/>
      <c r="AC13" s="575"/>
      <c r="AD13" s="575"/>
      <c r="AE13" s="753"/>
      <c r="AF13" s="575"/>
      <c r="AG13" s="588"/>
      <c r="AH13" s="842"/>
      <c r="AI13" s="1065">
        <f t="shared" si="1"/>
        <v>10.72</v>
      </c>
      <c r="AJ13" s="949">
        <v>154.35</v>
      </c>
      <c r="AK13" s="581">
        <f>AI13+AJ13</f>
        <v>165.07</v>
      </c>
      <c r="AL13" s="746" t="s">
        <v>1442</v>
      </c>
      <c r="AM13" s="743">
        <f>AL13-AK13</f>
        <v>491.72999999999996</v>
      </c>
    </row>
    <row r="14" spans="1:39" s="897" customFormat="1">
      <c r="A14" s="1016" t="s">
        <v>41</v>
      </c>
      <c r="B14" s="1016" t="s">
        <v>1140</v>
      </c>
      <c r="C14" s="1017"/>
      <c r="D14" s="580"/>
      <c r="E14" s="581"/>
      <c r="F14" s="778"/>
      <c r="G14" s="581"/>
      <c r="H14" s="581"/>
      <c r="I14" s="949"/>
      <c r="J14" s="949"/>
      <c r="K14" s="949"/>
      <c r="L14" s="575"/>
      <c r="M14" s="778"/>
      <c r="N14" s="575"/>
      <c r="O14" s="575"/>
      <c r="P14" s="575"/>
      <c r="Q14" s="583"/>
      <c r="R14" s="583"/>
      <c r="S14" s="575"/>
      <c r="T14" s="778"/>
      <c r="U14" s="575"/>
      <c r="V14" s="575"/>
      <c r="W14" s="575"/>
      <c r="X14" s="575"/>
      <c r="Y14" s="575"/>
      <c r="Z14" s="575"/>
      <c r="AA14" s="778"/>
      <c r="AB14" s="575"/>
      <c r="AC14" s="575"/>
      <c r="AD14" s="575"/>
      <c r="AE14" s="753"/>
      <c r="AF14" s="575"/>
      <c r="AG14" s="588"/>
      <c r="AH14" s="842"/>
      <c r="AI14" s="894">
        <f t="shared" si="1"/>
        <v>0</v>
      </c>
      <c r="AJ14" s="890">
        <v>0</v>
      </c>
      <c r="AK14" s="889">
        <f t="shared" si="2"/>
        <v>0</v>
      </c>
      <c r="AL14" s="895"/>
      <c r="AM14" s="896">
        <f t="shared" si="3"/>
        <v>0</v>
      </c>
    </row>
    <row r="15" spans="1:39" s="560" customFormat="1">
      <c r="A15" s="492" t="s">
        <v>42</v>
      </c>
      <c r="B15" s="608" t="s">
        <v>1141</v>
      </c>
      <c r="C15" s="679"/>
      <c r="D15" s="580"/>
      <c r="E15" s="581"/>
      <c r="F15" s="778"/>
      <c r="G15" s="581"/>
      <c r="H15" s="581"/>
      <c r="I15" s="949"/>
      <c r="J15" s="949"/>
      <c r="K15" s="949"/>
      <c r="L15" s="575"/>
      <c r="M15" s="778"/>
      <c r="N15" s="575"/>
      <c r="O15" s="575"/>
      <c r="P15" s="575"/>
      <c r="Q15" s="583"/>
      <c r="R15" s="583"/>
      <c r="S15" s="575"/>
      <c r="T15" s="778"/>
      <c r="U15" s="575"/>
      <c r="V15" s="575"/>
      <c r="W15" s="575"/>
      <c r="X15" s="575"/>
      <c r="Y15" s="575"/>
      <c r="Z15" s="575"/>
      <c r="AA15" s="778"/>
      <c r="AB15" s="575"/>
      <c r="AC15" s="575"/>
      <c r="AD15" s="575"/>
      <c r="AE15" s="753"/>
      <c r="AF15" s="575"/>
      <c r="AG15" s="588"/>
      <c r="AH15" s="842"/>
      <c r="AI15" s="738">
        <f t="shared" si="1"/>
        <v>0</v>
      </c>
      <c r="AJ15" s="949">
        <v>0</v>
      </c>
      <c r="AK15" s="581">
        <f t="shared" si="2"/>
        <v>0</v>
      </c>
      <c r="AL15" s="746"/>
      <c r="AM15" s="743">
        <f t="shared" si="3"/>
        <v>0</v>
      </c>
    </row>
    <row r="16" spans="1:39" s="560" customFormat="1">
      <c r="A16" s="607" t="s">
        <v>557</v>
      </c>
      <c r="B16" s="607" t="s">
        <v>1155</v>
      </c>
      <c r="C16" s="1042"/>
      <c r="D16" s="741"/>
      <c r="E16" s="741"/>
      <c r="F16" s="828"/>
      <c r="G16" s="741"/>
      <c r="H16" s="581"/>
      <c r="I16" s="949"/>
      <c r="J16" s="949"/>
      <c r="K16" s="949"/>
      <c r="L16" s="575"/>
      <c r="M16" s="778"/>
      <c r="N16" s="575"/>
      <c r="O16" s="575"/>
      <c r="P16" s="575"/>
      <c r="Q16" s="583"/>
      <c r="R16" s="583"/>
      <c r="S16" s="575"/>
      <c r="T16" s="778"/>
      <c r="U16" s="575"/>
      <c r="V16" s="575"/>
      <c r="W16" s="575"/>
      <c r="X16" s="575"/>
      <c r="Y16" s="575"/>
      <c r="Z16" s="575"/>
      <c r="AA16" s="778"/>
      <c r="AB16" s="575"/>
      <c r="AC16" s="575"/>
      <c r="AD16" s="575"/>
      <c r="AE16" s="753"/>
      <c r="AF16" s="575"/>
      <c r="AG16" s="588"/>
      <c r="AH16" s="842"/>
      <c r="AI16" s="738">
        <f t="shared" si="1"/>
        <v>0</v>
      </c>
      <c r="AJ16" s="949">
        <v>0</v>
      </c>
      <c r="AK16" s="581">
        <f t="shared" si="2"/>
        <v>0</v>
      </c>
      <c r="AL16" s="746"/>
      <c r="AM16" s="743">
        <f t="shared" si="3"/>
        <v>0</v>
      </c>
    </row>
    <row r="17" spans="1:39" s="560" customFormat="1">
      <c r="A17" s="604" t="s">
        <v>558</v>
      </c>
      <c r="B17" s="604" t="s">
        <v>1156</v>
      </c>
      <c r="C17" s="1042"/>
      <c r="D17" s="741"/>
      <c r="E17" s="741"/>
      <c r="F17" s="828"/>
      <c r="G17" s="741"/>
      <c r="H17" s="581"/>
      <c r="I17" s="949"/>
      <c r="J17" s="949"/>
      <c r="K17" s="949"/>
      <c r="L17" s="575"/>
      <c r="M17" s="778"/>
      <c r="N17" s="575"/>
      <c r="O17" s="575"/>
      <c r="P17" s="575"/>
      <c r="Q17" s="583"/>
      <c r="R17" s="583"/>
      <c r="S17" s="575"/>
      <c r="T17" s="778"/>
      <c r="U17" s="575"/>
      <c r="V17" s="575"/>
      <c r="W17" s="575"/>
      <c r="X17" s="575"/>
      <c r="Y17" s="575"/>
      <c r="Z17" s="575"/>
      <c r="AA17" s="778"/>
      <c r="AB17" s="575"/>
      <c r="AC17" s="575"/>
      <c r="AD17" s="575"/>
      <c r="AE17" s="753"/>
      <c r="AF17" s="575"/>
      <c r="AG17" s="588"/>
      <c r="AH17" s="842"/>
      <c r="AI17" s="738">
        <f t="shared" si="1"/>
        <v>0</v>
      </c>
      <c r="AJ17" s="949">
        <v>0</v>
      </c>
      <c r="AK17" s="581">
        <f t="shared" si="2"/>
        <v>0</v>
      </c>
      <c r="AL17" s="746"/>
      <c r="AM17" s="743">
        <f t="shared" si="3"/>
        <v>0</v>
      </c>
    </row>
    <row r="18" spans="1:39" s="560" customFormat="1">
      <c r="A18" s="604" t="s">
        <v>559</v>
      </c>
      <c r="B18" s="604" t="s">
        <v>1157</v>
      </c>
      <c r="C18" s="1040" t="s">
        <v>39</v>
      </c>
      <c r="D18" s="741"/>
      <c r="E18" s="741"/>
      <c r="F18" s="828"/>
      <c r="G18" s="741"/>
      <c r="H18" s="581"/>
      <c r="I18" s="949"/>
      <c r="J18" s="1034">
        <f>2*1.2*1.2*0.4</f>
        <v>1.1519999999999999</v>
      </c>
      <c r="K18" s="949"/>
      <c r="L18" s="575"/>
      <c r="M18" s="778"/>
      <c r="N18" s="575"/>
      <c r="O18" s="575"/>
      <c r="P18" s="575"/>
      <c r="Q18" s="583"/>
      <c r="R18" s="583"/>
      <c r="S18" s="575"/>
      <c r="T18" s="778"/>
      <c r="U18" s="575"/>
      <c r="V18" s="575"/>
      <c r="W18" s="575"/>
      <c r="X18" s="575"/>
      <c r="Y18" s="575"/>
      <c r="Z18" s="575"/>
      <c r="AA18" s="778"/>
      <c r="AB18" s="575"/>
      <c r="AC18" s="575"/>
      <c r="AD18" s="575"/>
      <c r="AE18" s="753"/>
      <c r="AF18" s="575"/>
      <c r="AG18" s="588"/>
      <c r="AH18" s="753"/>
      <c r="AI18" s="1065">
        <f t="shared" si="1"/>
        <v>1.1499999999999999</v>
      </c>
      <c r="AJ18" s="949">
        <v>0</v>
      </c>
      <c r="AK18" s="581">
        <f t="shared" si="2"/>
        <v>1.1499999999999999</v>
      </c>
      <c r="AL18" s="746" t="s">
        <v>1456</v>
      </c>
      <c r="AM18" s="743">
        <f t="shared" si="3"/>
        <v>3.4600000000000004</v>
      </c>
    </row>
    <row r="19" spans="1:39" s="560" customFormat="1">
      <c r="A19" s="604" t="s">
        <v>560</v>
      </c>
      <c r="B19" s="604" t="s">
        <v>1158</v>
      </c>
      <c r="C19" s="1040" t="s">
        <v>47</v>
      </c>
      <c r="D19" s="741"/>
      <c r="E19" s="741"/>
      <c r="F19" s="828"/>
      <c r="G19" s="741"/>
      <c r="H19" s="581"/>
      <c r="I19" s="949"/>
      <c r="J19" s="1034">
        <f>26.61+21.56</f>
        <v>48.17</v>
      </c>
      <c r="K19" s="949"/>
      <c r="L19" s="575"/>
      <c r="M19" s="778"/>
      <c r="N19" s="575"/>
      <c r="O19" s="575"/>
      <c r="P19" s="575"/>
      <c r="Q19" s="583"/>
      <c r="R19" s="583"/>
      <c r="S19" s="575"/>
      <c r="T19" s="778"/>
      <c r="U19" s="575"/>
      <c r="V19" s="575"/>
      <c r="W19" s="575"/>
      <c r="X19" s="575"/>
      <c r="Y19" s="575"/>
      <c r="Z19" s="575"/>
      <c r="AA19" s="778"/>
      <c r="AB19" s="575"/>
      <c r="AC19" s="575"/>
      <c r="AD19" s="575"/>
      <c r="AE19" s="753"/>
      <c r="AF19" s="575"/>
      <c r="AG19" s="588"/>
      <c r="AH19" s="753"/>
      <c r="AI19" s="1065">
        <f t="shared" si="1"/>
        <v>48.17</v>
      </c>
      <c r="AJ19" s="949">
        <v>0</v>
      </c>
      <c r="AK19" s="581">
        <f t="shared" si="2"/>
        <v>48.17</v>
      </c>
      <c r="AL19" s="746" t="s">
        <v>1457</v>
      </c>
      <c r="AM19" s="743">
        <f t="shared" si="3"/>
        <v>144.52999999999997</v>
      </c>
    </row>
    <row r="20" spans="1:39" s="560" customFormat="1">
      <c r="A20" s="604" t="s">
        <v>561</v>
      </c>
      <c r="B20" s="604" t="s">
        <v>1159</v>
      </c>
      <c r="C20" s="1042"/>
      <c r="D20" s="741"/>
      <c r="E20" s="741"/>
      <c r="F20" s="828"/>
      <c r="G20" s="741"/>
      <c r="H20" s="581"/>
      <c r="I20" s="949"/>
      <c r="J20" s="949"/>
      <c r="K20" s="949"/>
      <c r="L20" s="575"/>
      <c r="M20" s="778"/>
      <c r="N20" s="575"/>
      <c r="O20" s="575"/>
      <c r="P20" s="575"/>
      <c r="Q20" s="583"/>
      <c r="R20" s="583"/>
      <c r="S20" s="575"/>
      <c r="T20" s="778"/>
      <c r="U20" s="575"/>
      <c r="V20" s="575"/>
      <c r="W20" s="575"/>
      <c r="X20" s="575"/>
      <c r="Y20" s="575"/>
      <c r="Z20" s="575"/>
      <c r="AA20" s="778"/>
      <c r="AB20" s="575"/>
      <c r="AC20" s="575"/>
      <c r="AD20" s="575"/>
      <c r="AE20" s="753"/>
      <c r="AF20" s="575"/>
      <c r="AG20" s="588"/>
      <c r="AH20" s="842"/>
      <c r="AI20" s="738">
        <f t="shared" si="1"/>
        <v>0</v>
      </c>
      <c r="AJ20" s="949">
        <v>0</v>
      </c>
      <c r="AK20" s="581">
        <f t="shared" si="2"/>
        <v>0</v>
      </c>
      <c r="AL20" s="746"/>
      <c r="AM20" s="743">
        <f t="shared" si="3"/>
        <v>0</v>
      </c>
    </row>
    <row r="21" spans="1:39" s="560" customFormat="1">
      <c r="A21" s="604" t="s">
        <v>562</v>
      </c>
      <c r="B21" s="604" t="s">
        <v>1160</v>
      </c>
      <c r="C21" s="1040" t="s">
        <v>39</v>
      </c>
      <c r="D21" s="741"/>
      <c r="E21" s="741"/>
      <c r="F21" s="828"/>
      <c r="G21" s="741"/>
      <c r="H21" s="581"/>
      <c r="I21" s="949"/>
      <c r="J21" s="949"/>
      <c r="K21" s="949"/>
      <c r="L21" s="575"/>
      <c r="M21" s="778"/>
      <c r="N21" s="575"/>
      <c r="O21" s="575"/>
      <c r="P21" s="575"/>
      <c r="Q21" s="583"/>
      <c r="R21" s="583"/>
      <c r="S21" s="1039">
        <v>1.93</v>
      </c>
      <c r="T21" s="778"/>
      <c r="U21" s="575"/>
      <c r="V21" s="575"/>
      <c r="W21" s="575"/>
      <c r="X21" s="575"/>
      <c r="Y21" s="575"/>
      <c r="Z21" s="575"/>
      <c r="AA21" s="778"/>
      <c r="AB21" s="575"/>
      <c r="AC21" s="575"/>
      <c r="AD21" s="575"/>
      <c r="AE21" s="753"/>
      <c r="AF21" s="575"/>
      <c r="AG21" s="588"/>
      <c r="AH21" s="842"/>
      <c r="AI21" s="1065">
        <f t="shared" si="1"/>
        <v>1.93</v>
      </c>
      <c r="AJ21" s="949">
        <v>0</v>
      </c>
      <c r="AK21" s="581">
        <f t="shared" si="2"/>
        <v>1.93</v>
      </c>
      <c r="AL21" s="746" t="s">
        <v>1458</v>
      </c>
      <c r="AM21" s="743">
        <f t="shared" si="3"/>
        <v>0</v>
      </c>
    </row>
    <row r="22" spans="1:39" s="560" customFormat="1">
      <c r="A22" s="604" t="s">
        <v>563</v>
      </c>
      <c r="B22" s="604" t="s">
        <v>1161</v>
      </c>
      <c r="C22" s="1040" t="s">
        <v>36</v>
      </c>
      <c r="D22" s="741"/>
      <c r="E22" s="741"/>
      <c r="F22" s="828"/>
      <c r="G22" s="741"/>
      <c r="H22" s="581"/>
      <c r="I22" s="949"/>
      <c r="J22" s="949"/>
      <c r="L22" s="575"/>
      <c r="M22" s="778"/>
      <c r="N22" s="949"/>
      <c r="O22" s="575"/>
      <c r="P22" s="575"/>
      <c r="Q22" s="583"/>
      <c r="R22" s="583"/>
      <c r="S22" s="1039">
        <v>15.42</v>
      </c>
      <c r="T22" s="778"/>
      <c r="U22" s="575"/>
      <c r="V22" s="575"/>
      <c r="W22" s="575"/>
      <c r="X22" s="575"/>
      <c r="Y22" s="575"/>
      <c r="Z22" s="575"/>
      <c r="AA22" s="778"/>
      <c r="AB22" s="575"/>
      <c r="AC22" s="575"/>
      <c r="AD22" s="575"/>
      <c r="AE22" s="753"/>
      <c r="AF22" s="575"/>
      <c r="AG22" s="588"/>
      <c r="AH22" s="842"/>
      <c r="AI22" s="1065">
        <f>ROUND((SUM(F22:AH22)),2)</f>
        <v>15.42</v>
      </c>
      <c r="AJ22" s="949">
        <v>0</v>
      </c>
      <c r="AK22" s="581">
        <f t="shared" si="2"/>
        <v>15.42</v>
      </c>
      <c r="AL22" s="746" t="s">
        <v>1459</v>
      </c>
      <c r="AM22" s="743">
        <f t="shared" si="3"/>
        <v>0</v>
      </c>
    </row>
    <row r="23" spans="1:39" s="579" customFormat="1">
      <c r="A23" s="604" t="s">
        <v>564</v>
      </c>
      <c r="B23" s="604" t="s">
        <v>1162</v>
      </c>
      <c r="C23" s="1040" t="s">
        <v>47</v>
      </c>
      <c r="D23" s="744"/>
      <c r="E23" s="744"/>
      <c r="F23" s="874"/>
      <c r="G23" s="744"/>
      <c r="H23" s="587"/>
      <c r="I23" s="949"/>
      <c r="J23" s="588"/>
      <c r="K23" s="1034">
        <f>99.83-17.86</f>
        <v>81.97</v>
      </c>
      <c r="L23" s="575"/>
      <c r="M23" s="783"/>
      <c r="N23" s="575"/>
      <c r="O23" s="575"/>
      <c r="P23" s="575"/>
      <c r="Q23" s="583"/>
      <c r="R23" s="583"/>
      <c r="S23" s="575"/>
      <c r="T23" s="783"/>
      <c r="U23" s="575"/>
      <c r="V23" s="575"/>
      <c r="W23" s="575"/>
      <c r="X23" s="575"/>
      <c r="Y23" s="575"/>
      <c r="Z23" s="575"/>
      <c r="AA23" s="783"/>
      <c r="AB23" s="575"/>
      <c r="AC23" s="575"/>
      <c r="AD23" s="575"/>
      <c r="AE23" s="753"/>
      <c r="AF23" s="575"/>
      <c r="AG23" s="588"/>
      <c r="AH23" s="1023"/>
      <c r="AI23" s="1065">
        <f>ROUND((SUM(F23:AH23)),2)</f>
        <v>81.97</v>
      </c>
      <c r="AJ23" s="949">
        <v>0</v>
      </c>
      <c r="AK23" s="581">
        <f t="shared" si="2"/>
        <v>81.97</v>
      </c>
      <c r="AL23" s="747" t="s">
        <v>1460</v>
      </c>
      <c r="AM23" s="743">
        <f t="shared" si="3"/>
        <v>193.58</v>
      </c>
    </row>
    <row r="24" spans="1:39" s="579" customFormat="1">
      <c r="A24" s="604" t="s">
        <v>565</v>
      </c>
      <c r="B24" s="604" t="s">
        <v>1163</v>
      </c>
      <c r="C24" s="1042"/>
      <c r="D24" s="587"/>
      <c r="E24" s="587"/>
      <c r="F24" s="783"/>
      <c r="G24" s="587"/>
      <c r="H24" s="587"/>
      <c r="I24" s="949"/>
      <c r="J24" s="588"/>
      <c r="K24" s="588"/>
      <c r="L24" s="575"/>
      <c r="M24" s="783"/>
      <c r="N24" s="575"/>
      <c r="O24" s="575"/>
      <c r="P24" s="575"/>
      <c r="Q24" s="583"/>
      <c r="R24" s="583"/>
      <c r="S24" s="575"/>
      <c r="T24" s="783"/>
      <c r="U24" s="575"/>
      <c r="V24" s="575"/>
      <c r="W24" s="575"/>
      <c r="X24" s="575"/>
      <c r="Y24" s="575"/>
      <c r="Z24" s="575"/>
      <c r="AA24" s="783"/>
      <c r="AB24" s="575"/>
      <c r="AC24" s="575"/>
      <c r="AD24" s="575"/>
      <c r="AE24" s="753"/>
      <c r="AF24" s="575"/>
      <c r="AG24" s="588"/>
      <c r="AH24" s="842"/>
      <c r="AI24" s="738">
        <f t="shared" ref="AI24:AI47" si="4">ROUND((SUM(D24:AH24)),2)</f>
        <v>0</v>
      </c>
      <c r="AJ24" s="949">
        <v>0</v>
      </c>
      <c r="AK24" s="581">
        <f t="shared" si="2"/>
        <v>0</v>
      </c>
      <c r="AL24" s="747"/>
      <c r="AM24" s="743">
        <f t="shared" si="3"/>
        <v>0</v>
      </c>
    </row>
    <row r="25" spans="1:39" s="560" customFormat="1">
      <c r="A25" s="604" t="s">
        <v>566</v>
      </c>
      <c r="B25" s="604" t="s">
        <v>1164</v>
      </c>
      <c r="C25" s="1040" t="s">
        <v>39</v>
      </c>
      <c r="D25" s="581"/>
      <c r="E25" s="581"/>
      <c r="F25" s="778"/>
      <c r="G25" s="581"/>
      <c r="H25" s="581"/>
      <c r="I25" s="949"/>
      <c r="J25" s="949"/>
      <c r="K25" s="949"/>
      <c r="L25" s="575"/>
      <c r="M25" s="778"/>
      <c r="N25" s="575"/>
      <c r="O25" s="575"/>
      <c r="P25" s="575"/>
      <c r="Q25" s="583"/>
      <c r="R25" s="583"/>
      <c r="S25" s="575"/>
      <c r="T25" s="778"/>
      <c r="U25" s="1046">
        <f>8*0.25*0.25*3.5</f>
        <v>1.75</v>
      </c>
      <c r="V25" s="575"/>
      <c r="W25" s="575"/>
      <c r="X25" s="575"/>
      <c r="Y25" s="575"/>
      <c r="Z25" s="575"/>
      <c r="AA25" s="778"/>
      <c r="AB25" s="1043">
        <f>0.6*0.25*0.25*2</f>
        <v>7.4999999999999997E-2</v>
      </c>
      <c r="AC25" s="575"/>
      <c r="AD25" s="575"/>
      <c r="AE25" s="753"/>
      <c r="AF25" s="575"/>
      <c r="AG25" s="588"/>
      <c r="AH25" s="842"/>
      <c r="AI25" s="1065">
        <f t="shared" si="4"/>
        <v>1.83</v>
      </c>
      <c r="AJ25" s="949">
        <v>0</v>
      </c>
      <c r="AK25" s="581">
        <f t="shared" si="2"/>
        <v>1.83</v>
      </c>
      <c r="AL25" s="746" t="s">
        <v>1461</v>
      </c>
      <c r="AM25" s="743">
        <f t="shared" si="3"/>
        <v>1</v>
      </c>
    </row>
    <row r="26" spans="1:39" s="560" customFormat="1">
      <c r="A26" s="604" t="s">
        <v>567</v>
      </c>
      <c r="B26" s="604" t="s">
        <v>1165</v>
      </c>
      <c r="C26" s="1040" t="s">
        <v>36</v>
      </c>
      <c r="D26" s="581"/>
      <c r="E26" s="581"/>
      <c r="F26" s="778"/>
      <c r="G26" s="581"/>
      <c r="H26" s="581"/>
      <c r="I26" s="949"/>
      <c r="J26" s="949"/>
      <c r="K26" s="949"/>
      <c r="L26" s="575"/>
      <c r="M26" s="778"/>
      <c r="N26" s="575"/>
      <c r="O26" s="575"/>
      <c r="P26" s="575"/>
      <c r="Q26" s="583"/>
      <c r="R26" s="583"/>
      <c r="T26" s="778"/>
      <c r="U26" s="1046">
        <f>8*1*3.5</f>
        <v>28</v>
      </c>
      <c r="V26" s="575"/>
      <c r="W26" s="575"/>
      <c r="X26" s="575"/>
      <c r="Y26" s="575"/>
      <c r="Z26" s="575"/>
      <c r="AA26" s="778"/>
      <c r="AB26" s="1043">
        <f>0.6*(1)*2</f>
        <v>1.2</v>
      </c>
      <c r="AC26" s="575"/>
      <c r="AD26" s="575"/>
      <c r="AE26" s="753"/>
      <c r="AF26" s="575"/>
      <c r="AG26" s="588"/>
      <c r="AH26" s="842"/>
      <c r="AI26" s="1065">
        <f t="shared" si="4"/>
        <v>29.2</v>
      </c>
      <c r="AJ26" s="949">
        <v>0</v>
      </c>
      <c r="AK26" s="581">
        <f t="shared" si="2"/>
        <v>29.2</v>
      </c>
      <c r="AL26" s="746" t="s">
        <v>1462</v>
      </c>
      <c r="AM26" s="743">
        <f t="shared" si="3"/>
        <v>10.820000000000004</v>
      </c>
    </row>
    <row r="27" spans="1:39" s="560" customFormat="1">
      <c r="A27" s="604" t="s">
        <v>568</v>
      </c>
      <c r="B27" s="604" t="s">
        <v>1166</v>
      </c>
      <c r="C27" s="1040" t="s">
        <v>47</v>
      </c>
      <c r="D27" s="581"/>
      <c r="E27" s="581"/>
      <c r="F27" s="778"/>
      <c r="G27" s="581"/>
      <c r="H27" s="581"/>
      <c r="I27" s="949"/>
      <c r="J27" s="1034">
        <f>2*55.56</f>
        <v>111.12</v>
      </c>
      <c r="K27" s="949"/>
      <c r="L27" s="575"/>
      <c r="M27" s="778"/>
      <c r="N27" s="575"/>
      <c r="O27" s="575"/>
      <c r="P27" s="575"/>
      <c r="Q27" s="583"/>
      <c r="R27" s="583"/>
      <c r="S27" s="575"/>
      <c r="T27" s="778"/>
      <c r="U27" s="575"/>
      <c r="V27" s="575"/>
      <c r="W27" s="575"/>
      <c r="X27" s="575"/>
      <c r="Y27" s="575"/>
      <c r="Z27" s="575"/>
      <c r="AA27" s="778"/>
      <c r="AB27" s="583"/>
      <c r="AC27" s="575"/>
      <c r="AD27" s="575"/>
      <c r="AE27" s="753"/>
      <c r="AF27" s="575"/>
      <c r="AG27" s="588"/>
      <c r="AH27" s="1023"/>
      <c r="AI27" s="1065">
        <f t="shared" si="4"/>
        <v>111.12</v>
      </c>
      <c r="AJ27" s="949">
        <v>0</v>
      </c>
      <c r="AK27" s="581">
        <f t="shared" si="2"/>
        <v>111.12</v>
      </c>
      <c r="AL27" s="746" t="s">
        <v>1463</v>
      </c>
      <c r="AM27" s="743">
        <f t="shared" si="3"/>
        <v>333.36</v>
      </c>
    </row>
    <row r="28" spans="1:39" s="560" customFormat="1">
      <c r="A28" s="604" t="s">
        <v>573</v>
      </c>
      <c r="B28" s="604" t="s">
        <v>1171</v>
      </c>
      <c r="C28" s="679"/>
      <c r="D28" s="580"/>
      <c r="E28" s="581"/>
      <c r="F28" s="778"/>
      <c r="G28" s="581"/>
      <c r="H28" s="581"/>
      <c r="I28" s="949"/>
      <c r="J28" s="949"/>
      <c r="K28" s="949"/>
      <c r="L28" s="575"/>
      <c r="M28" s="778"/>
      <c r="N28" s="575"/>
      <c r="O28" s="575"/>
      <c r="P28" s="575"/>
      <c r="Q28" s="583"/>
      <c r="R28" s="583"/>
      <c r="S28" s="575"/>
      <c r="T28" s="778"/>
      <c r="U28" s="575"/>
      <c r="V28" s="575"/>
      <c r="W28" s="575"/>
      <c r="X28" s="575"/>
      <c r="Y28" s="575"/>
      <c r="Z28" s="575"/>
      <c r="AA28" s="778"/>
      <c r="AB28" s="575"/>
      <c r="AC28" s="575"/>
      <c r="AD28" s="575"/>
      <c r="AE28" s="753"/>
      <c r="AF28" s="575"/>
      <c r="AG28" s="588"/>
      <c r="AH28" s="842"/>
      <c r="AI28" s="738">
        <f t="shared" si="4"/>
        <v>0</v>
      </c>
      <c r="AJ28" s="949">
        <v>0</v>
      </c>
      <c r="AK28" s="581">
        <f t="shared" si="2"/>
        <v>0</v>
      </c>
      <c r="AL28" s="746"/>
      <c r="AM28" s="743">
        <f t="shared" si="3"/>
        <v>0</v>
      </c>
    </row>
    <row r="29" spans="1:39" s="560" customFormat="1">
      <c r="A29" s="604" t="s">
        <v>574</v>
      </c>
      <c r="B29" s="604" t="s">
        <v>1172</v>
      </c>
      <c r="C29" s="530" t="s">
        <v>39</v>
      </c>
      <c r="D29" s="580"/>
      <c r="E29" s="581"/>
      <c r="F29" s="778"/>
      <c r="G29" s="581"/>
      <c r="H29" s="581"/>
      <c r="I29" s="949"/>
      <c r="J29" s="949"/>
      <c r="K29" s="949"/>
      <c r="L29" s="575"/>
      <c r="M29" s="778"/>
      <c r="N29" s="575"/>
      <c r="O29" s="575"/>
      <c r="P29" s="575"/>
      <c r="Q29" s="583"/>
      <c r="R29" s="583"/>
      <c r="T29" s="778"/>
      <c r="V29" s="1043">
        <f>5.25*0.25*0.4*2</f>
        <v>1.05</v>
      </c>
      <c r="W29" s="575"/>
      <c r="X29" s="575"/>
      <c r="Y29" s="575"/>
      <c r="Z29" s="575"/>
      <c r="AA29" s="778"/>
      <c r="AB29" s="1043">
        <f>5.75*0.25*0.4*3+6.15*0.25*0.4*2</f>
        <v>2.9550000000000001</v>
      </c>
      <c r="AC29" s="575"/>
      <c r="AD29" s="575"/>
      <c r="AE29" s="753"/>
      <c r="AF29" s="575"/>
      <c r="AG29" s="588"/>
      <c r="AH29" s="842"/>
      <c r="AI29" s="1065">
        <f t="shared" si="4"/>
        <v>4.01</v>
      </c>
      <c r="AJ29" s="949">
        <v>0</v>
      </c>
      <c r="AK29" s="581">
        <f t="shared" si="2"/>
        <v>4.01</v>
      </c>
      <c r="AL29" s="746" t="s">
        <v>1467</v>
      </c>
      <c r="AM29" s="743">
        <f t="shared" si="3"/>
        <v>0.53000000000000025</v>
      </c>
    </row>
    <row r="30" spans="1:39" s="560" customFormat="1">
      <c r="A30" s="604" t="s">
        <v>575</v>
      </c>
      <c r="B30" s="604" t="s">
        <v>1173</v>
      </c>
      <c r="C30" s="530" t="s">
        <v>36</v>
      </c>
      <c r="D30" s="580"/>
      <c r="E30" s="581"/>
      <c r="F30" s="778"/>
      <c r="G30" s="581"/>
      <c r="H30" s="581"/>
      <c r="I30" s="949"/>
      <c r="J30" s="949"/>
      <c r="K30" s="949"/>
      <c r="L30" s="575"/>
      <c r="M30" s="778"/>
      <c r="N30" s="575"/>
      <c r="O30" s="575"/>
      <c r="P30" s="575"/>
      <c r="Q30" s="583"/>
      <c r="R30" s="583"/>
      <c r="T30" s="778"/>
      <c r="V30" s="1043">
        <f>5.5+7.5+1.3</f>
        <v>14.3</v>
      </c>
      <c r="W30" s="1043">
        <v>24.63</v>
      </c>
      <c r="X30" s="583"/>
      <c r="Y30" s="575"/>
      <c r="Z30" s="575"/>
      <c r="AA30" s="778"/>
      <c r="AB30" s="583"/>
      <c r="AC30" s="575"/>
      <c r="AD30" s="575"/>
      <c r="AE30" s="753"/>
      <c r="AF30" s="575"/>
      <c r="AG30" s="588"/>
      <c r="AH30" s="842"/>
      <c r="AI30" s="1065">
        <f t="shared" si="4"/>
        <v>38.93</v>
      </c>
      <c r="AJ30" s="949">
        <v>0</v>
      </c>
      <c r="AK30" s="581">
        <f t="shared" si="2"/>
        <v>38.93</v>
      </c>
      <c r="AL30" s="746" t="s">
        <v>1468</v>
      </c>
      <c r="AM30" s="743">
        <f t="shared" si="3"/>
        <v>0</v>
      </c>
    </row>
    <row r="31" spans="1:39" s="560" customFormat="1">
      <c r="A31" s="604" t="s">
        <v>576</v>
      </c>
      <c r="B31" s="604" t="s">
        <v>1174</v>
      </c>
      <c r="C31" s="530" t="s">
        <v>47</v>
      </c>
      <c r="D31" s="580"/>
      <c r="E31" s="581"/>
      <c r="F31" s="778"/>
      <c r="G31" s="581"/>
      <c r="H31" s="581"/>
      <c r="I31" s="949"/>
      <c r="J31" s="949"/>
      <c r="K31" s="949"/>
      <c r="L31" s="575"/>
      <c r="M31" s="778"/>
      <c r="N31" s="575"/>
      <c r="O31" s="575"/>
      <c r="P31" s="575"/>
      <c r="Q31" s="583"/>
      <c r="R31" s="583"/>
      <c r="T31" s="778"/>
      <c r="V31" s="1043">
        <f>3*85.56</f>
        <v>256.68</v>
      </c>
      <c r="W31" s="1043">
        <v>307.12999999999994</v>
      </c>
      <c r="X31" s="583"/>
      <c r="Y31" s="575"/>
      <c r="Z31" s="575"/>
      <c r="AA31" s="778"/>
      <c r="AB31" s="583"/>
      <c r="AC31" s="575"/>
      <c r="AD31" s="575"/>
      <c r="AE31" s="753"/>
      <c r="AF31" s="575"/>
      <c r="AG31" s="588"/>
      <c r="AH31" s="842"/>
      <c r="AI31" s="1065">
        <f t="shared" si="4"/>
        <v>563.80999999999995</v>
      </c>
      <c r="AJ31" s="949">
        <v>0</v>
      </c>
      <c r="AK31" s="581">
        <f t="shared" si="2"/>
        <v>563.80999999999995</v>
      </c>
      <c r="AL31" s="746" t="s">
        <v>1469</v>
      </c>
      <c r="AM31" s="743">
        <f t="shared" si="3"/>
        <v>0</v>
      </c>
    </row>
    <row r="32" spans="1:39" s="579" customFormat="1">
      <c r="A32" s="604" t="s">
        <v>577</v>
      </c>
      <c r="B32" s="604" t="s">
        <v>1175</v>
      </c>
      <c r="C32" s="679"/>
      <c r="D32" s="586"/>
      <c r="E32" s="587"/>
      <c r="F32" s="783"/>
      <c r="G32" s="587"/>
      <c r="H32" s="587"/>
      <c r="I32" s="949"/>
      <c r="J32" s="588"/>
      <c r="K32" s="588"/>
      <c r="L32" s="575"/>
      <c r="M32" s="783"/>
      <c r="N32" s="575"/>
      <c r="O32" s="575"/>
      <c r="P32" s="575"/>
      <c r="Q32" s="583"/>
      <c r="R32" s="583"/>
      <c r="S32" s="575"/>
      <c r="T32" s="783"/>
      <c r="U32" s="575"/>
      <c r="V32" s="575"/>
      <c r="W32" s="575"/>
      <c r="X32" s="575"/>
      <c r="Y32" s="575"/>
      <c r="Z32" s="575"/>
      <c r="AA32" s="783"/>
      <c r="AB32" s="583"/>
      <c r="AC32" s="575"/>
      <c r="AD32" s="575"/>
      <c r="AE32" s="753"/>
      <c r="AF32" s="575"/>
      <c r="AG32" s="588"/>
      <c r="AH32" s="842"/>
      <c r="AI32" s="738">
        <f t="shared" si="4"/>
        <v>0</v>
      </c>
      <c r="AJ32" s="949">
        <v>0</v>
      </c>
      <c r="AK32" s="581">
        <f t="shared" si="2"/>
        <v>0</v>
      </c>
      <c r="AL32" s="747"/>
      <c r="AM32" s="743">
        <f t="shared" si="3"/>
        <v>0</v>
      </c>
    </row>
    <row r="33" spans="1:39" s="560" customFormat="1">
      <c r="A33" s="604" t="s">
        <v>578</v>
      </c>
      <c r="B33" s="604" t="s">
        <v>1176</v>
      </c>
      <c r="C33" s="530" t="s">
        <v>39</v>
      </c>
      <c r="D33" s="580"/>
      <c r="E33" s="581"/>
      <c r="F33" s="778"/>
      <c r="G33" s="581"/>
      <c r="H33" s="581"/>
      <c r="I33" s="949"/>
      <c r="J33" s="949"/>
      <c r="K33" s="949"/>
      <c r="L33" s="575"/>
      <c r="M33" s="778"/>
      <c r="N33" s="575"/>
      <c r="O33" s="575"/>
      <c r="P33" s="575"/>
      <c r="Q33" s="583"/>
      <c r="R33" s="583"/>
      <c r="S33" s="575"/>
      <c r="T33" s="778"/>
      <c r="U33" s="575"/>
      <c r="V33" s="575"/>
      <c r="W33" s="575"/>
      <c r="X33" s="575"/>
      <c r="Y33" s="575"/>
      <c r="Z33" s="575"/>
      <c r="AA33" s="778"/>
      <c r="AB33" s="1043">
        <f>(0.05*7.35*6.35+2*6.35*0.2*0.2+0.5*0.2*7.35+20.05*0.2*0.2+6.95*0.1*0.15*11+4*0.2*0.2*0.6)-1.97</f>
        <v>3.6513749999999998</v>
      </c>
      <c r="AC33" s="575"/>
      <c r="AD33" s="575"/>
      <c r="AE33" s="753"/>
      <c r="AF33" s="575"/>
      <c r="AG33" s="588"/>
      <c r="AH33" s="842"/>
      <c r="AI33" s="1065">
        <f t="shared" si="4"/>
        <v>3.65</v>
      </c>
      <c r="AJ33" s="949">
        <v>0</v>
      </c>
      <c r="AK33" s="581">
        <f t="shared" si="2"/>
        <v>3.65</v>
      </c>
      <c r="AL33" s="746" t="s">
        <v>1470</v>
      </c>
      <c r="AM33" s="743">
        <f t="shared" si="3"/>
        <v>0</v>
      </c>
    </row>
    <row r="34" spans="1:39" s="560" customFormat="1">
      <c r="A34" s="604" t="s">
        <v>579</v>
      </c>
      <c r="B34" s="604" t="s">
        <v>1177</v>
      </c>
      <c r="C34" s="530" t="s">
        <v>36</v>
      </c>
      <c r="D34" s="580"/>
      <c r="E34" s="581"/>
      <c r="F34" s="778"/>
      <c r="G34" s="581"/>
      <c r="H34" s="581"/>
      <c r="I34" s="949"/>
      <c r="J34" s="949"/>
      <c r="K34" s="949"/>
      <c r="L34" s="575"/>
      <c r="M34" s="778"/>
      <c r="N34" s="575"/>
      <c r="O34" s="575"/>
      <c r="P34" s="575"/>
      <c r="Q34" s="583"/>
      <c r="R34" s="583"/>
      <c r="T34" s="778"/>
      <c r="V34" s="1043">
        <f>2.72*0.25*7</f>
        <v>4.7600000000000007</v>
      </c>
      <c r="W34" s="1043">
        <f>18.5*0.6</f>
        <v>11.1</v>
      </c>
      <c r="X34" s="1046">
        <v>25.91</v>
      </c>
      <c r="Y34" s="575"/>
      <c r="Z34" s="575"/>
      <c r="AA34" s="778"/>
      <c r="AB34" s="583"/>
      <c r="AC34" s="575"/>
      <c r="AD34" s="575"/>
      <c r="AE34" s="753"/>
      <c r="AF34" s="575"/>
      <c r="AG34" s="588"/>
      <c r="AH34" s="842"/>
      <c r="AI34" s="1065">
        <f t="shared" si="4"/>
        <v>41.77</v>
      </c>
      <c r="AJ34" s="949">
        <v>0</v>
      </c>
      <c r="AK34" s="581">
        <f t="shared" si="2"/>
        <v>41.77</v>
      </c>
      <c r="AL34" s="746" t="s">
        <v>1471</v>
      </c>
      <c r="AM34" s="743">
        <f t="shared" si="3"/>
        <v>0</v>
      </c>
    </row>
    <row r="35" spans="1:39" s="560" customFormat="1">
      <c r="A35" s="604" t="s">
        <v>580</v>
      </c>
      <c r="B35" s="604" t="s">
        <v>1178</v>
      </c>
      <c r="C35" s="530" t="s">
        <v>47</v>
      </c>
      <c r="D35" s="580"/>
      <c r="E35" s="581"/>
      <c r="F35" s="778"/>
      <c r="G35" s="581"/>
      <c r="H35" s="581"/>
      <c r="I35" s="949"/>
      <c r="J35" s="949"/>
      <c r="K35" s="949"/>
      <c r="L35" s="575"/>
      <c r="M35" s="778"/>
      <c r="N35" s="575"/>
      <c r="O35" s="575"/>
      <c r="P35" s="575"/>
      <c r="Q35" s="583"/>
      <c r="R35" s="583"/>
      <c r="S35" s="575"/>
      <c r="T35" s="778"/>
      <c r="U35" s="575"/>
      <c r="V35" s="575"/>
      <c r="W35" s="1043">
        <v>94.05</v>
      </c>
      <c r="X35" s="1046">
        <f>204.34-0.15</f>
        <v>204.19</v>
      </c>
      <c r="Y35" s="575"/>
      <c r="Z35" s="575"/>
      <c r="AA35" s="778"/>
      <c r="AB35" s="583"/>
      <c r="AC35" s="575"/>
      <c r="AD35" s="575"/>
      <c r="AE35" s="753"/>
      <c r="AF35" s="575"/>
      <c r="AG35" s="588"/>
      <c r="AH35" s="842"/>
      <c r="AI35" s="1065">
        <f t="shared" si="4"/>
        <v>298.24</v>
      </c>
      <c r="AJ35" s="949">
        <v>0</v>
      </c>
      <c r="AK35" s="581">
        <f t="shared" si="2"/>
        <v>298.24</v>
      </c>
      <c r="AL35" s="746" t="s">
        <v>1472</v>
      </c>
      <c r="AM35" s="743">
        <f t="shared" si="3"/>
        <v>0</v>
      </c>
    </row>
    <row r="36" spans="1:39" s="560" customFormat="1">
      <c r="A36" s="604" t="s">
        <v>581</v>
      </c>
      <c r="B36" s="604" t="s">
        <v>1179</v>
      </c>
      <c r="C36" s="614" t="s">
        <v>1436</v>
      </c>
      <c r="D36" s="580"/>
      <c r="E36" s="581"/>
      <c r="F36" s="778"/>
      <c r="G36" s="581"/>
      <c r="H36" s="581"/>
      <c r="I36" s="949"/>
      <c r="J36" s="949"/>
      <c r="K36" s="949"/>
      <c r="L36" s="575"/>
      <c r="M36" s="778"/>
      <c r="N36" s="575"/>
      <c r="O36" s="575"/>
      <c r="P36" s="575"/>
      <c r="Q36" s="583"/>
      <c r="R36" s="583"/>
      <c r="S36" s="575"/>
      <c r="T36" s="778"/>
      <c r="U36" s="575"/>
      <c r="V36" s="575"/>
      <c r="W36" s="575"/>
      <c r="X36" s="1048">
        <v>200</v>
      </c>
      <c r="Z36" s="575"/>
      <c r="AA36" s="778"/>
      <c r="AB36" s="583"/>
      <c r="AC36" s="575"/>
      <c r="AD36" s="575"/>
      <c r="AE36" s="753"/>
      <c r="AF36" s="575"/>
      <c r="AG36" s="588"/>
      <c r="AH36" s="842"/>
      <c r="AI36" s="1065">
        <f t="shared" si="4"/>
        <v>200</v>
      </c>
      <c r="AJ36" s="949">
        <v>0</v>
      </c>
      <c r="AK36" s="581">
        <f t="shared" si="2"/>
        <v>200</v>
      </c>
      <c r="AL36" s="746" t="s">
        <v>1473</v>
      </c>
      <c r="AM36" s="743">
        <f t="shared" si="3"/>
        <v>147.94999999999999</v>
      </c>
    </row>
    <row r="37" spans="1:39" s="560" customFormat="1">
      <c r="A37" s="607" t="s">
        <v>588</v>
      </c>
      <c r="B37" s="607" t="s">
        <v>1186</v>
      </c>
      <c r="C37" s="690"/>
      <c r="D37" s="580"/>
      <c r="E37" s="581"/>
      <c r="F37" s="778"/>
      <c r="G37" s="581"/>
      <c r="H37" s="581"/>
      <c r="I37" s="949"/>
      <c r="J37" s="949"/>
      <c r="K37" s="949"/>
      <c r="L37" s="575"/>
      <c r="M37" s="778"/>
      <c r="N37" s="575"/>
      <c r="O37" s="575"/>
      <c r="P37" s="575"/>
      <c r="Q37" s="583"/>
      <c r="R37" s="583"/>
      <c r="S37" s="575"/>
      <c r="T37" s="778"/>
      <c r="U37" s="575"/>
      <c r="V37" s="575"/>
      <c r="W37" s="575"/>
      <c r="X37" s="575"/>
      <c r="Y37" s="575"/>
      <c r="Z37" s="575"/>
      <c r="AA37" s="778"/>
      <c r="AB37" s="575"/>
      <c r="AC37" s="575"/>
      <c r="AD37" s="575"/>
      <c r="AE37" s="753"/>
      <c r="AF37" s="575"/>
      <c r="AG37" s="588"/>
      <c r="AH37" s="842"/>
      <c r="AI37" s="738">
        <f t="shared" si="4"/>
        <v>0</v>
      </c>
      <c r="AJ37" s="949">
        <v>0</v>
      </c>
      <c r="AK37" s="581">
        <f t="shared" ref="AK37:AK54" si="5">AI37+AJ37</f>
        <v>0</v>
      </c>
      <c r="AL37" s="746"/>
      <c r="AM37" s="743">
        <f t="shared" ref="AM37:AM54" si="6">AL37-AK37</f>
        <v>0</v>
      </c>
    </row>
    <row r="38" spans="1:39" s="560" customFormat="1">
      <c r="A38" s="604" t="s">
        <v>589</v>
      </c>
      <c r="B38" s="604" t="s">
        <v>1187</v>
      </c>
      <c r="C38" s="530" t="s">
        <v>37</v>
      </c>
      <c r="D38" s="580"/>
      <c r="E38" s="581"/>
      <c r="F38" s="778"/>
      <c r="G38" s="581"/>
      <c r="H38" s="581"/>
      <c r="I38" s="949"/>
      <c r="J38" s="949"/>
      <c r="K38" s="949"/>
      <c r="L38" s="575"/>
      <c r="M38" s="778"/>
      <c r="N38" s="575"/>
      <c r="O38" s="575"/>
      <c r="P38" s="575"/>
      <c r="Q38" s="583"/>
      <c r="R38" s="583"/>
      <c r="S38" s="575"/>
      <c r="T38" s="778"/>
      <c r="U38" s="575"/>
      <c r="V38" s="575"/>
      <c r="W38" s="575"/>
      <c r="X38" s="575"/>
      <c r="Y38" s="575"/>
      <c r="Z38" s="575"/>
      <c r="AA38" s="778"/>
      <c r="AB38" s="575"/>
      <c r="AC38" s="575"/>
      <c r="AD38" s="575"/>
      <c r="AE38" s="753"/>
      <c r="AF38" s="575"/>
      <c r="AG38" s="588"/>
      <c r="AH38" s="842"/>
      <c r="AI38" s="738">
        <f t="shared" si="4"/>
        <v>0</v>
      </c>
      <c r="AJ38" s="949">
        <v>0</v>
      </c>
      <c r="AK38" s="581">
        <f t="shared" si="5"/>
        <v>0</v>
      </c>
      <c r="AL38" s="746" t="s">
        <v>1478</v>
      </c>
      <c r="AM38" s="743">
        <f t="shared" si="6"/>
        <v>100.3</v>
      </c>
    </row>
    <row r="39" spans="1:39" s="579" customFormat="1">
      <c r="A39" s="604" t="s">
        <v>590</v>
      </c>
      <c r="B39" s="604" t="s">
        <v>224</v>
      </c>
      <c r="C39" s="530" t="s">
        <v>1436</v>
      </c>
      <c r="D39" s="586"/>
      <c r="E39" s="587"/>
      <c r="F39" s="783"/>
      <c r="G39" s="587"/>
      <c r="H39" s="587"/>
      <c r="I39" s="949"/>
      <c r="J39" s="588"/>
      <c r="K39" s="588"/>
      <c r="L39" s="575"/>
      <c r="M39" s="783"/>
      <c r="N39" s="575"/>
      <c r="O39" s="575"/>
      <c r="P39" s="575"/>
      <c r="Q39" s="583"/>
      <c r="R39" s="583"/>
      <c r="S39" s="575"/>
      <c r="T39" s="783"/>
      <c r="U39" s="575"/>
      <c r="V39" s="575"/>
      <c r="W39" s="575"/>
      <c r="X39" s="575"/>
      <c r="Y39" s="575"/>
      <c r="Z39" s="575"/>
      <c r="AA39" s="783"/>
      <c r="AB39" s="575"/>
      <c r="AC39" s="575"/>
      <c r="AD39" s="575"/>
      <c r="AE39" s="753"/>
      <c r="AF39" s="575"/>
      <c r="AG39" s="1038">
        <v>2</v>
      </c>
      <c r="AH39" s="842"/>
      <c r="AI39" s="1065">
        <f t="shared" si="4"/>
        <v>2</v>
      </c>
      <c r="AJ39" s="949">
        <v>0</v>
      </c>
      <c r="AK39" s="581">
        <f t="shared" si="5"/>
        <v>2</v>
      </c>
      <c r="AL39" s="747" t="s">
        <v>1479</v>
      </c>
      <c r="AM39" s="743">
        <f t="shared" si="6"/>
        <v>13</v>
      </c>
    </row>
    <row r="40" spans="1:39" s="782" customFormat="1">
      <c r="A40" s="868" t="s">
        <v>43</v>
      </c>
      <c r="B40" s="869" t="s">
        <v>1188</v>
      </c>
      <c r="C40" s="880"/>
      <c r="D40" s="580"/>
      <c r="E40" s="581"/>
      <c r="F40" s="778"/>
      <c r="G40" s="581"/>
      <c r="H40" s="581"/>
      <c r="I40" s="949"/>
      <c r="J40" s="949"/>
      <c r="K40" s="949"/>
      <c r="L40" s="575"/>
      <c r="M40" s="778"/>
      <c r="N40" s="575"/>
      <c r="O40" s="575"/>
      <c r="P40" s="575"/>
      <c r="Q40" s="583"/>
      <c r="R40" s="583"/>
      <c r="S40" s="575"/>
      <c r="T40" s="778"/>
      <c r="U40" s="575"/>
      <c r="V40" s="575"/>
      <c r="W40" s="575"/>
      <c r="X40" s="575"/>
      <c r="Y40" s="575"/>
      <c r="Z40" s="575"/>
      <c r="AA40" s="778"/>
      <c r="AB40" s="575"/>
      <c r="AC40" s="575"/>
      <c r="AD40" s="575"/>
      <c r="AE40" s="753"/>
      <c r="AF40" s="575"/>
      <c r="AG40" s="588"/>
      <c r="AH40" s="842"/>
      <c r="AI40" s="839">
        <f t="shared" si="4"/>
        <v>0</v>
      </c>
      <c r="AJ40" s="777">
        <v>0</v>
      </c>
      <c r="AK40" s="778">
        <f t="shared" si="5"/>
        <v>0</v>
      </c>
      <c r="AL40" s="780"/>
      <c r="AM40" s="781">
        <f t="shared" si="6"/>
        <v>0</v>
      </c>
    </row>
    <row r="41" spans="1:39" s="560" customFormat="1">
      <c r="A41" s="607" t="s">
        <v>53</v>
      </c>
      <c r="B41" s="607" t="s">
        <v>45</v>
      </c>
      <c r="C41" s="679"/>
      <c r="D41" s="580"/>
      <c r="E41" s="581"/>
      <c r="F41" s="778"/>
      <c r="G41" s="581"/>
      <c r="H41" s="581"/>
      <c r="I41" s="949"/>
      <c r="J41" s="949"/>
      <c r="K41" s="949"/>
      <c r="L41" s="575"/>
      <c r="M41" s="778"/>
      <c r="N41" s="575"/>
      <c r="O41" s="575"/>
      <c r="P41" s="575"/>
      <c r="Q41" s="583"/>
      <c r="R41" s="583"/>
      <c r="S41" s="575"/>
      <c r="T41" s="778"/>
      <c r="U41" s="575"/>
      <c r="V41" s="575"/>
      <c r="W41" s="575"/>
      <c r="X41" s="575"/>
      <c r="Y41" s="575"/>
      <c r="Z41" s="575"/>
      <c r="AA41" s="778"/>
      <c r="AB41" s="575"/>
      <c r="AC41" s="575"/>
      <c r="AD41" s="575"/>
      <c r="AE41" s="753"/>
      <c r="AF41" s="575"/>
      <c r="AG41" s="588"/>
      <c r="AH41" s="842"/>
      <c r="AI41" s="738">
        <f t="shared" si="4"/>
        <v>0</v>
      </c>
      <c r="AJ41" s="949">
        <v>0</v>
      </c>
      <c r="AK41" s="581">
        <f t="shared" si="5"/>
        <v>0</v>
      </c>
      <c r="AL41" s="746"/>
      <c r="AM41" s="743">
        <f t="shared" si="6"/>
        <v>0</v>
      </c>
    </row>
    <row r="42" spans="1:39" s="560" customFormat="1">
      <c r="A42" s="604" t="s">
        <v>593</v>
      </c>
      <c r="B42" s="604" t="s">
        <v>1144</v>
      </c>
      <c r="C42" s="614" t="s">
        <v>39</v>
      </c>
      <c r="D42" s="580"/>
      <c r="E42" s="581"/>
      <c r="F42" s="778"/>
      <c r="G42" s="581"/>
      <c r="H42" s="581"/>
      <c r="I42" s="949"/>
      <c r="J42" s="949"/>
      <c r="K42" s="949"/>
      <c r="L42" s="575"/>
      <c r="M42" s="778"/>
      <c r="N42" s="575"/>
      <c r="O42" s="575"/>
      <c r="P42" s="575"/>
      <c r="Q42" s="583"/>
      <c r="R42" s="583"/>
      <c r="S42" s="575"/>
      <c r="T42" s="778"/>
      <c r="U42" s="575"/>
      <c r="V42" s="575"/>
      <c r="W42" s="575"/>
      <c r="X42" s="575"/>
      <c r="Y42" s="1043">
        <f>2.5*2.5*0.3</f>
        <v>1.875</v>
      </c>
      <c r="Z42" s="575"/>
      <c r="AA42" s="778"/>
      <c r="AB42" s="575"/>
      <c r="AC42" s="575"/>
      <c r="AD42" s="575"/>
      <c r="AE42" s="753"/>
      <c r="AF42" s="575"/>
      <c r="AG42" s="588"/>
      <c r="AH42" s="842"/>
      <c r="AI42" s="1065">
        <f t="shared" si="4"/>
        <v>1.88</v>
      </c>
      <c r="AJ42" s="949">
        <v>0</v>
      </c>
      <c r="AK42" s="581">
        <f t="shared" si="5"/>
        <v>1.88</v>
      </c>
      <c r="AL42" s="746" t="s">
        <v>1482</v>
      </c>
      <c r="AM42" s="743">
        <f t="shared" si="6"/>
        <v>26.490000000000002</v>
      </c>
    </row>
    <row r="43" spans="1:39" s="560" customFormat="1">
      <c r="A43" s="607" t="s">
        <v>602</v>
      </c>
      <c r="B43" s="607" t="s">
        <v>1155</v>
      </c>
      <c r="C43" s="679"/>
      <c r="D43" s="580"/>
      <c r="E43" s="581"/>
      <c r="F43" s="778"/>
      <c r="G43" s="581"/>
      <c r="H43" s="581"/>
      <c r="I43" s="949"/>
      <c r="J43" s="949"/>
      <c r="K43" s="949"/>
      <c r="L43" s="575"/>
      <c r="M43" s="778"/>
      <c r="N43" s="575"/>
      <c r="O43" s="575"/>
      <c r="P43" s="575"/>
      <c r="Q43" s="583"/>
      <c r="R43" s="583"/>
      <c r="S43" s="575"/>
      <c r="T43" s="778"/>
      <c r="U43" s="575"/>
      <c r="V43" s="575"/>
      <c r="W43" s="575"/>
      <c r="X43" s="575"/>
      <c r="Y43" s="575"/>
      <c r="Z43" s="575"/>
      <c r="AA43" s="778"/>
      <c r="AB43" s="575"/>
      <c r="AC43" s="575"/>
      <c r="AD43" s="575"/>
      <c r="AE43" s="753"/>
      <c r="AF43" s="575"/>
      <c r="AG43" s="588"/>
      <c r="AH43" s="842"/>
      <c r="AI43" s="738">
        <f t="shared" si="4"/>
        <v>0</v>
      </c>
      <c r="AJ43" s="949">
        <v>0</v>
      </c>
      <c r="AK43" s="581">
        <f t="shared" si="5"/>
        <v>0</v>
      </c>
      <c r="AL43" s="746"/>
      <c r="AM43" s="743">
        <f t="shared" si="6"/>
        <v>0</v>
      </c>
    </row>
    <row r="44" spans="1:39" s="560" customFormat="1">
      <c r="A44" s="604" t="s">
        <v>614</v>
      </c>
      <c r="B44" s="604" t="s">
        <v>1167</v>
      </c>
      <c r="C44" s="679"/>
      <c r="D44" s="580"/>
      <c r="E44" s="581"/>
      <c r="F44" s="778"/>
      <c r="G44" s="581"/>
      <c r="H44" s="581"/>
      <c r="I44" s="949"/>
      <c r="J44" s="949"/>
      <c r="K44" s="949"/>
      <c r="L44" s="575"/>
      <c r="M44" s="778"/>
      <c r="N44" s="575"/>
      <c r="O44" s="575"/>
      <c r="P44" s="575"/>
      <c r="Q44" s="583"/>
      <c r="R44" s="583"/>
      <c r="S44" s="575"/>
      <c r="T44" s="778"/>
      <c r="U44" s="575"/>
      <c r="V44" s="575"/>
      <c r="W44" s="575"/>
      <c r="X44" s="575"/>
      <c r="Y44" s="575"/>
      <c r="Z44" s="575"/>
      <c r="AA44" s="778"/>
      <c r="AB44" s="575"/>
      <c r="AC44" s="575"/>
      <c r="AD44" s="575"/>
      <c r="AE44" s="753"/>
      <c r="AF44" s="575"/>
      <c r="AG44" s="588"/>
      <c r="AH44" s="842"/>
      <c r="AI44" s="738">
        <f t="shared" si="4"/>
        <v>0</v>
      </c>
      <c r="AJ44" s="949">
        <v>0</v>
      </c>
      <c r="AK44" s="581">
        <f t="shared" si="5"/>
        <v>0</v>
      </c>
      <c r="AL44" s="746"/>
      <c r="AM44" s="743">
        <f t="shared" si="6"/>
        <v>0</v>
      </c>
    </row>
    <row r="45" spans="1:39" s="560" customFormat="1">
      <c r="A45" s="604" t="s">
        <v>615</v>
      </c>
      <c r="B45" s="604" t="s">
        <v>1168</v>
      </c>
      <c r="C45" s="530" t="s">
        <v>39</v>
      </c>
      <c r="D45" s="580"/>
      <c r="E45" s="581"/>
      <c r="F45" s="778"/>
      <c r="G45" s="581"/>
      <c r="H45" s="581"/>
      <c r="I45" s="949"/>
      <c r="J45" s="949"/>
      <c r="K45" s="1034">
        <f>8*0.24*0.15*3.48</f>
        <v>1.00224</v>
      </c>
      <c r="L45" s="575"/>
      <c r="M45" s="778"/>
      <c r="N45" s="1034">
        <f>4*0.15*0.24</f>
        <v>0.14399999999999999</v>
      </c>
      <c r="O45" s="1034">
        <f>6*0.15*0.24</f>
        <v>0.21599999999999997</v>
      </c>
      <c r="P45" s="575"/>
      <c r="Q45" s="1043">
        <v>0.67</v>
      </c>
      <c r="R45" s="583"/>
      <c r="S45" s="575"/>
      <c r="T45" s="778"/>
      <c r="U45" s="1047">
        <f>2*0.25*0.35*3.5</f>
        <v>0.61249999999999993</v>
      </c>
      <c r="V45" s="575"/>
      <c r="W45" s="575"/>
      <c r="X45" s="575"/>
      <c r="Y45" s="575"/>
      <c r="Z45" s="575"/>
      <c r="AA45" s="778"/>
      <c r="AB45" s="575"/>
      <c r="AC45" s="575"/>
      <c r="AD45" s="1043">
        <f>(4*0.25*0.2*2.45)-0.31</f>
        <v>0.18000000000000005</v>
      </c>
      <c r="AE45" s="753"/>
      <c r="AF45" s="575"/>
      <c r="AG45" s="588"/>
      <c r="AH45" s="842"/>
      <c r="AI45" s="1065">
        <f t="shared" si="4"/>
        <v>2.82</v>
      </c>
      <c r="AJ45" s="949">
        <v>0</v>
      </c>
      <c r="AK45" s="581">
        <f t="shared" si="5"/>
        <v>2.82</v>
      </c>
      <c r="AL45" s="746" t="s">
        <v>1497</v>
      </c>
      <c r="AM45" s="743">
        <f t="shared" si="6"/>
        <v>0</v>
      </c>
    </row>
    <row r="46" spans="1:39" s="560" customFormat="1">
      <c r="A46" s="604" t="s">
        <v>616</v>
      </c>
      <c r="B46" s="604" t="s">
        <v>1169</v>
      </c>
      <c r="C46" s="614" t="s">
        <v>36</v>
      </c>
      <c r="D46" s="580"/>
      <c r="E46" s="581"/>
      <c r="F46" s="778"/>
      <c r="G46" s="581"/>
      <c r="H46" s="581"/>
      <c r="I46" s="949"/>
      <c r="K46" s="1034">
        <f>8*(2*0.15+0.24)</f>
        <v>4.32</v>
      </c>
      <c r="L46" s="1034">
        <f>2*(2*0.15+0.24)</f>
        <v>1.08</v>
      </c>
      <c r="M46" s="778"/>
      <c r="N46" s="1034">
        <f>4*(2*0.15+0.24)</f>
        <v>2.16</v>
      </c>
      <c r="O46" s="1034">
        <f>6*(2*0.15+0.24)</f>
        <v>3.24</v>
      </c>
      <c r="P46" s="575"/>
      <c r="Q46" s="1043">
        <v>7.87</v>
      </c>
      <c r="R46" s="583"/>
      <c r="S46" s="575"/>
      <c r="T46" s="778"/>
      <c r="U46" s="1047">
        <f>2*3.5*0.95</f>
        <v>6.6499999999999995</v>
      </c>
      <c r="V46" s="575"/>
      <c r="W46" s="575"/>
      <c r="X46" s="575"/>
      <c r="Y46" s="575"/>
      <c r="Z46" s="575"/>
      <c r="AA46" s="778"/>
      <c r="AB46" s="575"/>
      <c r="AC46" s="575"/>
      <c r="AD46" s="1043">
        <f>4*(0.25+0.2+0.2)*2.45</f>
        <v>6.370000000000001</v>
      </c>
      <c r="AE46" s="1043">
        <f>(0.25+0.2+0.2)*2.45</f>
        <v>1.5925000000000002</v>
      </c>
      <c r="AF46" s="575"/>
      <c r="AG46" s="588"/>
      <c r="AH46" s="842"/>
      <c r="AI46" s="1065">
        <f t="shared" si="4"/>
        <v>33.28</v>
      </c>
      <c r="AJ46" s="949">
        <v>0</v>
      </c>
      <c r="AK46" s="581">
        <f t="shared" si="5"/>
        <v>33.28</v>
      </c>
      <c r="AL46" s="746" t="s">
        <v>1498</v>
      </c>
      <c r="AM46" s="743">
        <f t="shared" si="6"/>
        <v>2.1599999999999966</v>
      </c>
    </row>
    <row r="47" spans="1:39" s="560" customFormat="1">
      <c r="A47" s="604" t="s">
        <v>617</v>
      </c>
      <c r="B47" s="604" t="s">
        <v>1170</v>
      </c>
      <c r="C47" s="530" t="s">
        <v>47</v>
      </c>
      <c r="D47" s="580"/>
      <c r="E47" s="581"/>
      <c r="F47" s="778"/>
      <c r="G47" s="581"/>
      <c r="H47" s="581"/>
      <c r="I47" s="949"/>
      <c r="K47" s="1034">
        <f>8*10.61</f>
        <v>84.88</v>
      </c>
      <c r="L47" s="1034">
        <f>2*10.61</f>
        <v>21.22</v>
      </c>
      <c r="M47" s="778"/>
      <c r="N47" s="1034">
        <f>4*10.61</f>
        <v>42.44</v>
      </c>
      <c r="O47" s="1034">
        <f>6*10.61</f>
        <v>63.66</v>
      </c>
      <c r="P47" s="575"/>
      <c r="Q47" s="1043">
        <v>42.44</v>
      </c>
      <c r="R47" s="583"/>
      <c r="S47" s="575"/>
      <c r="T47" s="778"/>
      <c r="U47" s="1047">
        <f>2*10.61</f>
        <v>21.22</v>
      </c>
      <c r="V47" s="575"/>
      <c r="W47" s="575"/>
      <c r="X47" s="575"/>
      <c r="Y47" s="575"/>
      <c r="Z47" s="575"/>
      <c r="AA47" s="778"/>
      <c r="AB47" s="575"/>
      <c r="AC47" s="575"/>
      <c r="AD47" s="575"/>
      <c r="AE47" s="753"/>
      <c r="AF47" s="575"/>
      <c r="AG47" s="588"/>
      <c r="AH47" s="842"/>
      <c r="AI47" s="1065">
        <f t="shared" si="4"/>
        <v>275.86</v>
      </c>
      <c r="AJ47" s="949">
        <v>0</v>
      </c>
      <c r="AK47" s="581">
        <f t="shared" si="5"/>
        <v>275.86</v>
      </c>
      <c r="AL47" s="746" t="s">
        <v>1499</v>
      </c>
      <c r="AM47" s="743">
        <f t="shared" si="6"/>
        <v>261.08000000000004</v>
      </c>
    </row>
    <row r="48" spans="1:39" s="579" customFormat="1">
      <c r="A48" s="607" t="s">
        <v>633</v>
      </c>
      <c r="B48" s="607" t="s">
        <v>1186</v>
      </c>
      <c r="C48" s="690"/>
      <c r="D48" s="586"/>
      <c r="E48" s="587"/>
      <c r="F48" s="783"/>
      <c r="G48" s="587"/>
      <c r="H48" s="587"/>
      <c r="I48" s="949"/>
      <c r="J48" s="588"/>
      <c r="K48" s="588"/>
      <c r="L48" s="575"/>
      <c r="M48" s="783"/>
      <c r="N48" s="575"/>
      <c r="O48" s="575"/>
      <c r="P48" s="575"/>
      <c r="Q48" s="583"/>
      <c r="R48" s="583"/>
      <c r="S48" s="575"/>
      <c r="T48" s="783"/>
      <c r="U48" s="575"/>
      <c r="V48" s="575"/>
      <c r="W48" s="575"/>
      <c r="X48" s="575"/>
      <c r="Y48" s="575"/>
      <c r="Z48" s="575"/>
      <c r="AA48" s="783"/>
      <c r="AB48" s="575"/>
      <c r="AC48" s="575"/>
      <c r="AD48" s="575"/>
      <c r="AE48" s="753"/>
      <c r="AF48" s="575"/>
      <c r="AG48" s="588"/>
      <c r="AH48" s="842"/>
      <c r="AI48" s="738">
        <f t="shared" ref="AI48:AI58" si="7">ROUND((SUM(D48:AH48)),2)</f>
        <v>0</v>
      </c>
      <c r="AJ48" s="949">
        <v>0</v>
      </c>
      <c r="AK48" s="581">
        <f t="shared" si="5"/>
        <v>0</v>
      </c>
      <c r="AL48" s="747"/>
      <c r="AM48" s="743">
        <f t="shared" si="6"/>
        <v>0</v>
      </c>
    </row>
    <row r="49" spans="1:39" s="579" customFormat="1">
      <c r="A49" s="604" t="s">
        <v>634</v>
      </c>
      <c r="B49" s="604" t="s">
        <v>1187</v>
      </c>
      <c r="C49" s="530" t="s">
        <v>37</v>
      </c>
      <c r="D49" s="586"/>
      <c r="E49" s="587"/>
      <c r="F49" s="783"/>
      <c r="G49" s="587"/>
      <c r="H49" s="587"/>
      <c r="I49" s="949"/>
      <c r="J49" s="588"/>
      <c r="K49" s="588"/>
      <c r="L49" s="575"/>
      <c r="M49" s="783"/>
      <c r="N49" s="575"/>
      <c r="O49" s="575"/>
      <c r="P49" s="575"/>
      <c r="Q49" s="583"/>
      <c r="R49" s="583"/>
      <c r="S49" s="575"/>
      <c r="T49" s="783"/>
      <c r="U49" s="575"/>
      <c r="V49" s="575"/>
      <c r="W49" s="575"/>
      <c r="X49" s="575"/>
      <c r="Y49" s="575"/>
      <c r="Z49" s="575"/>
      <c r="AA49" s="783"/>
      <c r="AB49" s="575"/>
      <c r="AC49" s="575"/>
      <c r="AD49" s="575"/>
      <c r="AE49" s="753"/>
      <c r="AF49" s="575"/>
      <c r="AG49" s="588"/>
      <c r="AH49" s="842"/>
      <c r="AI49" s="738">
        <f t="shared" si="7"/>
        <v>0</v>
      </c>
      <c r="AJ49" s="949">
        <v>0</v>
      </c>
      <c r="AK49" s="581">
        <f t="shared" si="5"/>
        <v>0</v>
      </c>
      <c r="AL49" s="747" t="s">
        <v>1510</v>
      </c>
      <c r="AM49" s="743">
        <f t="shared" si="6"/>
        <v>83.2</v>
      </c>
    </row>
    <row r="50" spans="1:39" s="560" customFormat="1">
      <c r="A50" s="604" t="s">
        <v>635</v>
      </c>
      <c r="B50" s="604" t="s">
        <v>224</v>
      </c>
      <c r="C50" s="530" t="s">
        <v>1436</v>
      </c>
      <c r="D50" s="580"/>
      <c r="E50" s="581"/>
      <c r="F50" s="778"/>
      <c r="G50" s="581"/>
      <c r="H50" s="581"/>
      <c r="I50" s="949"/>
      <c r="J50" s="949"/>
      <c r="K50" s="949"/>
      <c r="L50" s="575"/>
      <c r="M50" s="778"/>
      <c r="N50" s="575"/>
      <c r="O50" s="575"/>
      <c r="P50" s="575"/>
      <c r="Q50" s="583"/>
      <c r="R50" s="583"/>
      <c r="S50" s="575"/>
      <c r="T50" s="778"/>
      <c r="U50" s="575"/>
      <c r="V50" s="575"/>
      <c r="W50" s="575"/>
      <c r="X50" s="575"/>
      <c r="Y50" s="575"/>
      <c r="Z50" s="575"/>
      <c r="AA50" s="778"/>
      <c r="AB50" s="575"/>
      <c r="AC50" s="575"/>
      <c r="AD50" s="575"/>
      <c r="AE50" s="753"/>
      <c r="AF50" s="575"/>
      <c r="AG50" s="1038">
        <v>2</v>
      </c>
      <c r="AH50" s="843"/>
      <c r="AI50" s="1065">
        <f t="shared" si="7"/>
        <v>2</v>
      </c>
      <c r="AJ50" s="949">
        <v>0</v>
      </c>
      <c r="AK50" s="581">
        <f t="shared" si="5"/>
        <v>2</v>
      </c>
      <c r="AL50" s="746" t="s">
        <v>1479</v>
      </c>
      <c r="AM50" s="743">
        <f t="shared" si="6"/>
        <v>13</v>
      </c>
    </row>
    <row r="51" spans="1:39" s="782" customFormat="1">
      <c r="A51" s="868" t="s">
        <v>51</v>
      </c>
      <c r="B51" s="869" t="s">
        <v>1195</v>
      </c>
      <c r="C51" s="880"/>
      <c r="D51" s="580"/>
      <c r="E51" s="581"/>
      <c r="F51" s="778"/>
      <c r="G51" s="581"/>
      <c r="H51" s="581"/>
      <c r="I51" s="949"/>
      <c r="J51" s="949"/>
      <c r="K51" s="949"/>
      <c r="L51" s="575"/>
      <c r="M51" s="778"/>
      <c r="N51" s="575"/>
      <c r="O51" s="575"/>
      <c r="P51" s="575"/>
      <c r="Q51" s="583"/>
      <c r="R51" s="583"/>
      <c r="S51" s="575"/>
      <c r="T51" s="778"/>
      <c r="U51" s="575"/>
      <c r="V51" s="575"/>
      <c r="W51" s="575"/>
      <c r="X51" s="575"/>
      <c r="Y51" s="575"/>
      <c r="Z51" s="575"/>
      <c r="AA51" s="778"/>
      <c r="AB51" s="575"/>
      <c r="AC51" s="575"/>
      <c r="AD51" s="575"/>
      <c r="AE51" s="753"/>
      <c r="AF51" s="575"/>
      <c r="AG51" s="588"/>
      <c r="AH51" s="842"/>
      <c r="AI51" s="738">
        <f t="shared" si="7"/>
        <v>0</v>
      </c>
      <c r="AJ51" s="777">
        <v>0</v>
      </c>
      <c r="AK51" s="778">
        <f t="shared" si="5"/>
        <v>0</v>
      </c>
      <c r="AL51" s="780"/>
      <c r="AM51" s="781">
        <f t="shared" si="6"/>
        <v>0</v>
      </c>
    </row>
    <row r="52" spans="1:39" s="560" customFormat="1">
      <c r="A52" s="607" t="s">
        <v>55</v>
      </c>
      <c r="B52" s="607" t="s">
        <v>45</v>
      </c>
      <c r="C52" s="690"/>
      <c r="D52" s="580"/>
      <c r="E52" s="581"/>
      <c r="F52" s="778"/>
      <c r="G52" s="581"/>
      <c r="H52" s="581"/>
      <c r="I52" s="949"/>
      <c r="J52" s="949"/>
      <c r="K52" s="949"/>
      <c r="L52" s="583"/>
      <c r="M52" s="778"/>
      <c r="N52" s="583"/>
      <c r="O52" s="583"/>
      <c r="P52" s="583"/>
      <c r="Q52" s="583"/>
      <c r="R52" s="583"/>
      <c r="S52" s="583"/>
      <c r="T52" s="778"/>
      <c r="U52" s="583"/>
      <c r="V52" s="583"/>
      <c r="W52" s="583"/>
      <c r="X52" s="583"/>
      <c r="Y52" s="583"/>
      <c r="Z52" s="583"/>
      <c r="AA52" s="778"/>
      <c r="AB52" s="583"/>
      <c r="AC52" s="583"/>
      <c r="AD52" s="583"/>
      <c r="AE52" s="753"/>
      <c r="AF52" s="583"/>
      <c r="AG52" s="949"/>
      <c r="AH52" s="843"/>
      <c r="AI52" s="738">
        <f t="shared" si="7"/>
        <v>0</v>
      </c>
      <c r="AJ52" s="949">
        <v>0</v>
      </c>
      <c r="AK52" s="581">
        <f t="shared" si="5"/>
        <v>0</v>
      </c>
      <c r="AL52" s="746"/>
      <c r="AM52" s="743">
        <f t="shared" si="6"/>
        <v>0</v>
      </c>
    </row>
    <row r="53" spans="1:39" s="560" customFormat="1">
      <c r="A53" s="604" t="s">
        <v>640</v>
      </c>
      <c r="B53" s="604" t="s">
        <v>1146</v>
      </c>
      <c r="C53" s="614" t="s">
        <v>39</v>
      </c>
      <c r="D53" s="580"/>
      <c r="E53" s="581"/>
      <c r="F53" s="778"/>
      <c r="G53" s="581"/>
      <c r="H53" s="581"/>
      <c r="I53" s="949"/>
      <c r="J53" s="949"/>
      <c r="K53" s="949"/>
      <c r="L53" s="575"/>
      <c r="M53" s="778"/>
      <c r="N53" s="575"/>
      <c r="O53" s="1043">
        <f>10-2.03</f>
        <v>7.9700000000000006</v>
      </c>
      <c r="P53" s="575"/>
      <c r="Q53" s="583"/>
      <c r="R53" s="583"/>
      <c r="S53" s="575"/>
      <c r="T53" s="778"/>
      <c r="U53" s="575"/>
      <c r="V53" s="575"/>
      <c r="W53" s="575"/>
      <c r="X53" s="575"/>
      <c r="Y53" s="575"/>
      <c r="Z53" s="575"/>
      <c r="AA53" s="778"/>
      <c r="AB53" s="575"/>
      <c r="AC53" s="575"/>
      <c r="AD53" s="575"/>
      <c r="AE53" s="753"/>
      <c r="AF53" s="575"/>
      <c r="AG53" s="1038"/>
      <c r="AH53" s="842"/>
      <c r="AI53" s="1065">
        <f t="shared" si="7"/>
        <v>7.97</v>
      </c>
      <c r="AJ53" s="949">
        <v>0</v>
      </c>
      <c r="AK53" s="581">
        <f t="shared" si="5"/>
        <v>7.97</v>
      </c>
      <c r="AL53" s="746" t="s">
        <v>1515</v>
      </c>
      <c r="AM53" s="743">
        <f t="shared" si="6"/>
        <v>9.2200000000000024</v>
      </c>
    </row>
    <row r="54" spans="1:39" s="579" customFormat="1">
      <c r="A54" s="607" t="s">
        <v>56</v>
      </c>
      <c r="B54" s="607" t="s">
        <v>1148</v>
      </c>
      <c r="C54" s="690"/>
      <c r="D54" s="586"/>
      <c r="E54" s="587"/>
      <c r="F54" s="783"/>
      <c r="G54" s="587"/>
      <c r="H54" s="587"/>
      <c r="I54" s="949"/>
      <c r="J54" s="588"/>
      <c r="K54" s="588"/>
      <c r="L54" s="575"/>
      <c r="M54" s="783"/>
      <c r="N54" s="575"/>
      <c r="O54" s="575"/>
      <c r="P54" s="575"/>
      <c r="Q54" s="583"/>
      <c r="R54" s="583"/>
      <c r="S54" s="575"/>
      <c r="T54" s="783"/>
      <c r="U54" s="575"/>
      <c r="V54" s="575"/>
      <c r="W54" s="575"/>
      <c r="X54" s="575"/>
      <c r="Y54" s="575"/>
      <c r="Z54" s="575"/>
      <c r="AA54" s="783"/>
      <c r="AB54" s="575"/>
      <c r="AC54" s="575"/>
      <c r="AD54" s="810"/>
      <c r="AE54" s="753"/>
      <c r="AF54" s="575"/>
      <c r="AG54" s="588"/>
      <c r="AH54" s="842"/>
      <c r="AI54" s="738">
        <f t="shared" si="7"/>
        <v>0</v>
      </c>
      <c r="AJ54" s="949">
        <v>0</v>
      </c>
      <c r="AK54" s="581">
        <f t="shared" si="5"/>
        <v>0</v>
      </c>
      <c r="AL54" s="747"/>
      <c r="AM54" s="743">
        <f t="shared" si="6"/>
        <v>0</v>
      </c>
    </row>
    <row r="55" spans="1:39" s="560" customFormat="1">
      <c r="A55" s="604" t="s">
        <v>643</v>
      </c>
      <c r="B55" s="604" t="s">
        <v>1190</v>
      </c>
      <c r="C55" s="614" t="s">
        <v>39</v>
      </c>
      <c r="D55" s="580"/>
      <c r="E55" s="581"/>
      <c r="F55" s="778"/>
      <c r="G55" s="581"/>
      <c r="H55" s="581"/>
      <c r="I55" s="949"/>
      <c r="J55" s="949"/>
      <c r="K55" s="949"/>
      <c r="L55" s="575"/>
      <c r="M55" s="778"/>
      <c r="N55" s="575"/>
      <c r="O55" s="575"/>
      <c r="P55" s="575"/>
      <c r="Q55" s="583"/>
      <c r="R55" s="583"/>
      <c r="S55" s="575"/>
      <c r="T55" s="778"/>
      <c r="U55" s="575"/>
      <c r="V55" s="575"/>
      <c r="W55" s="575"/>
      <c r="X55" s="575"/>
      <c r="Y55" s="575"/>
      <c r="Z55" s="575"/>
      <c r="AA55" s="778"/>
      <c r="AB55" s="575"/>
      <c r="AC55" s="575"/>
      <c r="AD55" s="575"/>
      <c r="AE55" s="1043">
        <f>2.6*0.6*0.5</f>
        <v>0.78</v>
      </c>
      <c r="AF55" s="575"/>
      <c r="AG55" s="588"/>
      <c r="AH55" s="842"/>
      <c r="AI55" s="1065">
        <f t="shared" si="7"/>
        <v>0.78</v>
      </c>
      <c r="AJ55" s="949">
        <v>0</v>
      </c>
      <c r="AK55" s="581">
        <f t="shared" ref="AK55:AK83" si="8">AI55+AJ55</f>
        <v>0.78</v>
      </c>
      <c r="AL55" s="746" t="s">
        <v>1517</v>
      </c>
      <c r="AM55" s="743">
        <f t="shared" ref="AM55:AM83" si="9">AL55-AK55</f>
        <v>9.620000000000001</v>
      </c>
    </row>
    <row r="56" spans="1:39" s="560" customFormat="1">
      <c r="A56" s="604" t="s">
        <v>644</v>
      </c>
      <c r="B56" s="604" t="s">
        <v>1191</v>
      </c>
      <c r="C56" s="614" t="s">
        <v>39</v>
      </c>
      <c r="D56" s="580"/>
      <c r="E56" s="581"/>
      <c r="F56" s="778"/>
      <c r="G56" s="581"/>
      <c r="H56" s="581"/>
      <c r="I56" s="949"/>
      <c r="J56" s="949"/>
      <c r="K56" s="949"/>
      <c r="L56" s="575"/>
      <c r="M56" s="778"/>
      <c r="N56" s="575"/>
      <c r="O56" s="575"/>
      <c r="P56" s="575"/>
      <c r="Q56" s="583"/>
      <c r="R56" s="583"/>
      <c r="S56" s="575"/>
      <c r="T56" s="778"/>
      <c r="U56" s="575"/>
      <c r="V56" s="575"/>
      <c r="W56" s="575"/>
      <c r="X56" s="575"/>
      <c r="Y56" s="575"/>
      <c r="Z56" s="575"/>
      <c r="AA56" s="778"/>
      <c r="AB56" s="575"/>
      <c r="AC56" s="575"/>
      <c r="AD56" s="575"/>
      <c r="AE56" s="753"/>
      <c r="AF56" s="1039">
        <f>2.6*0.5*0.15</f>
        <v>0.19500000000000001</v>
      </c>
      <c r="AG56" s="588"/>
      <c r="AH56" s="842"/>
      <c r="AI56" s="1065">
        <f t="shared" si="7"/>
        <v>0.2</v>
      </c>
      <c r="AJ56" s="949">
        <v>0</v>
      </c>
      <c r="AK56" s="581">
        <f t="shared" si="8"/>
        <v>0.2</v>
      </c>
      <c r="AL56" s="746" t="s">
        <v>1518</v>
      </c>
      <c r="AM56" s="743">
        <f t="shared" si="9"/>
        <v>1.9800000000000002</v>
      </c>
    </row>
    <row r="57" spans="1:39" s="560" customFormat="1">
      <c r="A57" s="604" t="s">
        <v>645</v>
      </c>
      <c r="B57" s="604" t="s">
        <v>1153</v>
      </c>
      <c r="C57" s="614" t="s">
        <v>36</v>
      </c>
      <c r="D57" s="580"/>
      <c r="E57" s="581"/>
      <c r="F57" s="778"/>
      <c r="G57" s="581"/>
      <c r="H57" s="581"/>
      <c r="I57" s="949"/>
      <c r="J57" s="949"/>
      <c r="K57" s="949"/>
      <c r="L57" s="575"/>
      <c r="M57" s="778"/>
      <c r="N57" s="575"/>
      <c r="O57" s="575"/>
      <c r="P57" s="575"/>
      <c r="Q57" s="583"/>
      <c r="R57" s="583"/>
      <c r="S57" s="575"/>
      <c r="T57" s="778"/>
      <c r="U57" s="575"/>
      <c r="V57" s="575"/>
      <c r="W57" s="575"/>
      <c r="X57" s="575"/>
      <c r="Y57" s="575"/>
      <c r="Z57" s="575"/>
      <c r="AA57" s="778"/>
      <c r="AB57" s="575"/>
      <c r="AC57" s="575"/>
      <c r="AD57" s="575"/>
      <c r="AE57" s="753"/>
      <c r="AF57" s="1043">
        <f>2.6*0.5*2</f>
        <v>2.6</v>
      </c>
      <c r="AG57" s="588"/>
      <c r="AH57" s="842"/>
      <c r="AI57" s="1065">
        <f t="shared" si="7"/>
        <v>2.6</v>
      </c>
      <c r="AJ57" s="949">
        <v>0</v>
      </c>
      <c r="AK57" s="581">
        <f t="shared" si="8"/>
        <v>2.6</v>
      </c>
      <c r="AL57" s="746" t="s">
        <v>1519</v>
      </c>
      <c r="AM57" s="743">
        <f t="shared" si="9"/>
        <v>26.43</v>
      </c>
    </row>
    <row r="58" spans="1:39" s="560" customFormat="1">
      <c r="A58" s="607" t="s">
        <v>647</v>
      </c>
      <c r="B58" s="607" t="s">
        <v>1155</v>
      </c>
      <c r="C58" s="690"/>
      <c r="D58" s="580"/>
      <c r="E58" s="581"/>
      <c r="F58" s="778"/>
      <c r="G58" s="581"/>
      <c r="H58" s="581"/>
      <c r="I58" s="949"/>
      <c r="J58" s="949"/>
      <c r="K58" s="949"/>
      <c r="L58" s="575"/>
      <c r="M58" s="778"/>
      <c r="N58" s="575"/>
      <c r="O58" s="575"/>
      <c r="P58" s="575"/>
      <c r="Q58" s="583"/>
      <c r="R58" s="583"/>
      <c r="S58" s="575"/>
      <c r="T58" s="778"/>
      <c r="U58" s="575"/>
      <c r="V58" s="575"/>
      <c r="W58" s="575"/>
      <c r="X58" s="575"/>
      <c r="Y58" s="575"/>
      <c r="Z58" s="575"/>
      <c r="AA58" s="778"/>
      <c r="AB58" s="575"/>
      <c r="AC58" s="575"/>
      <c r="AD58" s="575"/>
      <c r="AE58" s="753"/>
      <c r="AF58" s="575"/>
      <c r="AG58" s="588"/>
      <c r="AH58" s="842"/>
      <c r="AI58" s="738">
        <f t="shared" si="7"/>
        <v>0</v>
      </c>
      <c r="AJ58" s="949">
        <v>0</v>
      </c>
      <c r="AK58" s="581">
        <f t="shared" si="8"/>
        <v>0</v>
      </c>
      <c r="AL58" s="746"/>
      <c r="AM58" s="743">
        <f t="shared" si="9"/>
        <v>0</v>
      </c>
    </row>
    <row r="59" spans="1:39" s="560" customFormat="1">
      <c r="A59" s="604" t="s">
        <v>659</v>
      </c>
      <c r="B59" s="604" t="s">
        <v>1167</v>
      </c>
      <c r="C59" s="690"/>
      <c r="D59" s="580"/>
      <c r="E59" s="581"/>
      <c r="F59" s="778"/>
      <c r="G59" s="581"/>
      <c r="H59" s="581"/>
      <c r="I59" s="949"/>
      <c r="J59" s="949"/>
      <c r="K59" s="949"/>
      <c r="L59" s="575"/>
      <c r="M59" s="778"/>
      <c r="N59" s="575"/>
      <c r="P59" s="575"/>
      <c r="Q59" s="583"/>
      <c r="R59" s="583"/>
      <c r="S59" s="575"/>
      <c r="T59" s="778"/>
      <c r="U59" s="575"/>
      <c r="V59" s="575"/>
      <c r="W59" s="575"/>
      <c r="X59" s="575"/>
      <c r="Y59" s="575"/>
      <c r="Z59" s="575"/>
      <c r="AA59" s="778"/>
      <c r="AB59" s="575"/>
      <c r="AC59" s="575"/>
      <c r="AD59" s="575"/>
      <c r="AE59" s="753"/>
      <c r="AF59" s="575"/>
      <c r="AG59" s="588"/>
      <c r="AH59" s="842"/>
      <c r="AI59" s="738">
        <f t="shared" ref="AI59:AI69" si="10">ROUND((SUM(D59:AH59)),2)</f>
        <v>0</v>
      </c>
      <c r="AJ59" s="949">
        <v>0</v>
      </c>
      <c r="AK59" s="581">
        <f t="shared" si="8"/>
        <v>0</v>
      </c>
      <c r="AL59" s="746"/>
      <c r="AM59" s="743">
        <f t="shared" si="9"/>
        <v>0</v>
      </c>
    </row>
    <row r="60" spans="1:39" s="560" customFormat="1">
      <c r="A60" s="604" t="s">
        <v>660</v>
      </c>
      <c r="B60" s="604" t="s">
        <v>1168</v>
      </c>
      <c r="C60" s="614" t="s">
        <v>39</v>
      </c>
      <c r="D60" s="580"/>
      <c r="E60" s="581"/>
      <c r="F60" s="778"/>
      <c r="G60" s="581"/>
      <c r="H60" s="581"/>
      <c r="I60" s="949"/>
      <c r="J60" s="949"/>
      <c r="K60" s="949"/>
      <c r="L60" s="575"/>
      <c r="M60" s="778"/>
      <c r="N60" s="575"/>
      <c r="O60" s="575"/>
      <c r="P60" s="1043">
        <v>0.25</v>
      </c>
      <c r="Q60" s="583"/>
      <c r="R60" s="583"/>
      <c r="S60" s="575"/>
      <c r="T60" s="778"/>
      <c r="U60" s="575"/>
      <c r="V60" s="575"/>
      <c r="W60" s="575"/>
      <c r="X60" s="575"/>
      <c r="Y60" s="575"/>
      <c r="Z60" s="575"/>
      <c r="AA60" s="778"/>
      <c r="AB60" s="575"/>
      <c r="AC60" s="575"/>
      <c r="AD60" s="575"/>
      <c r="AE60" s="753"/>
      <c r="AF60" s="1039">
        <f>4*0.25*0.25*2.45</f>
        <v>0.61250000000000004</v>
      </c>
      <c r="AG60" s="588"/>
      <c r="AH60" s="842"/>
      <c r="AI60" s="1065">
        <f t="shared" si="10"/>
        <v>0.86</v>
      </c>
      <c r="AJ60" s="949">
        <v>0</v>
      </c>
      <c r="AK60" s="581">
        <f t="shared" si="8"/>
        <v>0.86</v>
      </c>
      <c r="AL60" s="746" t="s">
        <v>1528</v>
      </c>
      <c r="AM60" s="743">
        <f t="shared" si="9"/>
        <v>2.58</v>
      </c>
    </row>
    <row r="61" spans="1:39" s="560" customFormat="1">
      <c r="A61" s="604" t="s">
        <v>661</v>
      </c>
      <c r="B61" s="604" t="s">
        <v>1169</v>
      </c>
      <c r="C61" s="614" t="s">
        <v>36</v>
      </c>
      <c r="D61" s="580"/>
      <c r="E61" s="581"/>
      <c r="F61" s="778"/>
      <c r="G61" s="581"/>
      <c r="H61" s="581"/>
      <c r="I61" s="949"/>
      <c r="J61" s="949"/>
      <c r="K61" s="949"/>
      <c r="L61" s="575"/>
      <c r="M61" s="778"/>
      <c r="N61" s="575"/>
      <c r="O61" s="575"/>
      <c r="P61" s="1043">
        <v>3.2</v>
      </c>
      <c r="Q61" s="583"/>
      <c r="R61" s="583"/>
      <c r="S61" s="575"/>
      <c r="T61" s="778"/>
      <c r="U61" s="575"/>
      <c r="V61" s="575"/>
      <c r="W61" s="575"/>
      <c r="X61" s="575"/>
      <c r="Y61" s="575"/>
      <c r="Z61" s="575"/>
      <c r="AA61" s="778"/>
      <c r="AB61" s="575"/>
      <c r="AC61" s="575"/>
      <c r="AD61" s="575"/>
      <c r="AE61" s="1043">
        <f>(0.25+0.2+0.2)*2.45</f>
        <v>1.5925000000000002</v>
      </c>
      <c r="AF61" s="1043">
        <f>4*(0.25+0.2+0.2)*2.45</f>
        <v>6.370000000000001</v>
      </c>
      <c r="AG61" s="588"/>
      <c r="AH61" s="842"/>
      <c r="AI61" s="1065">
        <f t="shared" si="10"/>
        <v>11.16</v>
      </c>
      <c r="AJ61" s="949">
        <v>0</v>
      </c>
      <c r="AK61" s="581">
        <f t="shared" si="8"/>
        <v>11.16</v>
      </c>
      <c r="AL61" s="746" t="s">
        <v>1529</v>
      </c>
      <c r="AM61" s="743">
        <f t="shared" si="9"/>
        <v>10.3</v>
      </c>
    </row>
    <row r="62" spans="1:39" s="560" customFormat="1">
      <c r="A62" s="604" t="s">
        <v>662</v>
      </c>
      <c r="B62" s="604" t="s">
        <v>1170</v>
      </c>
      <c r="C62" s="614" t="s">
        <v>47</v>
      </c>
      <c r="D62" s="580"/>
      <c r="E62" s="581"/>
      <c r="F62" s="778"/>
      <c r="G62" s="581"/>
      <c r="H62" s="581"/>
      <c r="I62" s="949"/>
      <c r="J62" s="949"/>
      <c r="K62" s="949"/>
      <c r="L62" s="575"/>
      <c r="M62" s="778"/>
      <c r="N62" s="575"/>
      <c r="O62" s="575"/>
      <c r="P62" s="1043">
        <v>21.22</v>
      </c>
      <c r="Q62" s="583"/>
      <c r="R62" s="583"/>
      <c r="S62" s="1043">
        <v>15.96</v>
      </c>
      <c r="T62" s="778"/>
      <c r="U62" s="575"/>
      <c r="V62" s="575"/>
      <c r="W62" s="575"/>
      <c r="X62" s="575"/>
      <c r="Y62" s="575"/>
      <c r="Z62" s="575"/>
      <c r="AA62" s="778"/>
      <c r="AB62" s="575"/>
      <c r="AC62" s="575"/>
      <c r="AD62" s="1043">
        <f>4*2.6*0.599+24*0.84*0.25</f>
        <v>11.269600000000001</v>
      </c>
      <c r="AE62" s="753"/>
      <c r="AF62" s="575"/>
      <c r="AG62" s="588"/>
      <c r="AH62" s="842"/>
      <c r="AI62" s="1065">
        <f t="shared" si="10"/>
        <v>48.45</v>
      </c>
      <c r="AJ62" s="949">
        <v>0</v>
      </c>
      <c r="AK62" s="581">
        <f t="shared" si="8"/>
        <v>48.45</v>
      </c>
      <c r="AL62" s="746" t="s">
        <v>1530</v>
      </c>
      <c r="AM62" s="743">
        <f t="shared" si="9"/>
        <v>254.45</v>
      </c>
    </row>
    <row r="63" spans="1:39" s="560" customFormat="1">
      <c r="A63" s="607" t="s">
        <v>678</v>
      </c>
      <c r="B63" s="607" t="s">
        <v>1186</v>
      </c>
      <c r="C63" s="614"/>
      <c r="D63" s="580"/>
      <c r="E63" s="581"/>
      <c r="F63" s="778"/>
      <c r="G63" s="581"/>
      <c r="H63" s="581"/>
      <c r="I63" s="949"/>
      <c r="J63" s="949"/>
      <c r="K63" s="949"/>
      <c r="L63" s="575"/>
      <c r="M63" s="778"/>
      <c r="N63" s="575"/>
      <c r="O63" s="575"/>
      <c r="P63" s="575"/>
      <c r="Q63" s="583"/>
      <c r="R63" s="583"/>
      <c r="S63" s="575"/>
      <c r="T63" s="778"/>
      <c r="U63" s="575"/>
      <c r="V63" s="575"/>
      <c r="W63" s="575"/>
      <c r="X63" s="575"/>
      <c r="Y63" s="575"/>
      <c r="Z63" s="575"/>
      <c r="AA63" s="778"/>
      <c r="AB63" s="575"/>
      <c r="AC63" s="575"/>
      <c r="AD63" s="575"/>
      <c r="AE63" s="753"/>
      <c r="AF63" s="575"/>
      <c r="AG63" s="588"/>
      <c r="AH63" s="842"/>
      <c r="AI63" s="738">
        <f t="shared" si="10"/>
        <v>0</v>
      </c>
      <c r="AJ63" s="949">
        <v>0</v>
      </c>
      <c r="AK63" s="581">
        <f t="shared" si="8"/>
        <v>0</v>
      </c>
      <c r="AL63" s="746"/>
      <c r="AM63" s="743">
        <f t="shared" si="9"/>
        <v>0</v>
      </c>
    </row>
    <row r="64" spans="1:39" s="560" customFormat="1">
      <c r="A64" s="604" t="s">
        <v>680</v>
      </c>
      <c r="B64" s="604" t="s">
        <v>224</v>
      </c>
      <c r="C64" s="614" t="s">
        <v>1436</v>
      </c>
      <c r="D64" s="580"/>
      <c r="E64" s="581"/>
      <c r="F64" s="778"/>
      <c r="G64" s="581"/>
      <c r="H64" s="581"/>
      <c r="I64" s="949"/>
      <c r="J64" s="949"/>
      <c r="K64" s="949"/>
      <c r="L64" s="575"/>
      <c r="M64" s="778"/>
      <c r="N64" s="575"/>
      <c r="O64" s="575"/>
      <c r="P64" s="575"/>
      <c r="Q64" s="583"/>
      <c r="R64" s="583"/>
      <c r="S64" s="575"/>
      <c r="T64" s="778"/>
      <c r="U64" s="575"/>
      <c r="V64" s="575"/>
      <c r="W64" s="575"/>
      <c r="X64" s="575"/>
      <c r="Y64" s="575"/>
      <c r="Z64" s="575"/>
      <c r="AA64" s="778"/>
      <c r="AB64" s="575"/>
      <c r="AC64" s="575"/>
      <c r="AD64" s="575"/>
      <c r="AE64" s="753"/>
      <c r="AF64" s="575"/>
      <c r="AG64" s="1038">
        <v>4</v>
      </c>
      <c r="AH64" s="843"/>
      <c r="AI64" s="1065">
        <f t="shared" si="10"/>
        <v>4</v>
      </c>
      <c r="AJ64" s="949">
        <v>0</v>
      </c>
      <c r="AK64" s="581">
        <f t="shared" si="8"/>
        <v>4</v>
      </c>
      <c r="AL64" s="746" t="s">
        <v>1479</v>
      </c>
      <c r="AM64" s="743">
        <f t="shared" si="9"/>
        <v>11</v>
      </c>
    </row>
    <row r="65" spans="1:39" s="560" customFormat="1">
      <c r="A65" s="868" t="s">
        <v>502</v>
      </c>
      <c r="B65" s="869" t="s">
        <v>1196</v>
      </c>
      <c r="C65" s="898"/>
      <c r="D65" s="580"/>
      <c r="E65" s="581"/>
      <c r="F65" s="778"/>
      <c r="G65" s="581"/>
      <c r="H65" s="581"/>
      <c r="I65" s="949"/>
      <c r="J65" s="949"/>
      <c r="K65" s="949"/>
      <c r="L65" s="575"/>
      <c r="M65" s="778"/>
      <c r="N65" s="575"/>
      <c r="O65" s="575"/>
      <c r="P65" s="575"/>
      <c r="Q65" s="583"/>
      <c r="R65" s="583"/>
      <c r="S65" s="575"/>
      <c r="T65" s="778"/>
      <c r="U65" s="575"/>
      <c r="V65" s="575"/>
      <c r="W65" s="575"/>
      <c r="X65" s="575"/>
      <c r="Y65" s="575"/>
      <c r="Z65" s="575"/>
      <c r="AA65" s="778"/>
      <c r="AB65" s="575"/>
      <c r="AC65" s="575"/>
      <c r="AD65" s="575"/>
      <c r="AE65" s="753"/>
      <c r="AF65" s="575"/>
      <c r="AG65" s="588"/>
      <c r="AH65" s="842"/>
      <c r="AI65" s="839">
        <f t="shared" si="10"/>
        <v>0</v>
      </c>
      <c r="AJ65" s="777">
        <v>0</v>
      </c>
      <c r="AK65" s="581">
        <f t="shared" si="8"/>
        <v>0</v>
      </c>
      <c r="AL65" s="746"/>
      <c r="AM65" s="743">
        <f t="shared" si="9"/>
        <v>0</v>
      </c>
    </row>
    <row r="66" spans="1:39" s="560" customFormat="1">
      <c r="A66" s="607" t="s">
        <v>503</v>
      </c>
      <c r="B66" s="607" t="s">
        <v>45</v>
      </c>
      <c r="C66" s="690"/>
      <c r="D66" s="580"/>
      <c r="E66" s="581"/>
      <c r="F66" s="778"/>
      <c r="G66" s="581"/>
      <c r="H66" s="581"/>
      <c r="I66" s="949"/>
      <c r="J66" s="949"/>
      <c r="K66" s="949"/>
      <c r="L66" s="575"/>
      <c r="M66" s="778"/>
      <c r="N66" s="575"/>
      <c r="O66" s="575"/>
      <c r="P66" s="575"/>
      <c r="Q66" s="583"/>
      <c r="R66" s="583"/>
      <c r="S66" s="575"/>
      <c r="T66" s="778"/>
      <c r="U66" s="575"/>
      <c r="V66" s="575"/>
      <c r="W66" s="575"/>
      <c r="X66" s="575"/>
      <c r="Y66" s="575"/>
      <c r="Z66" s="575"/>
      <c r="AA66" s="778"/>
      <c r="AB66" s="575"/>
      <c r="AC66" s="575"/>
      <c r="AD66" s="575"/>
      <c r="AE66" s="753"/>
      <c r="AF66" s="575"/>
      <c r="AG66" s="588"/>
      <c r="AH66" s="842"/>
      <c r="AI66" s="738">
        <f t="shared" si="10"/>
        <v>0</v>
      </c>
      <c r="AJ66" s="949">
        <v>0</v>
      </c>
      <c r="AK66" s="581">
        <f t="shared" si="8"/>
        <v>0</v>
      </c>
      <c r="AL66" s="746"/>
      <c r="AM66" s="743">
        <f t="shared" si="9"/>
        <v>0</v>
      </c>
    </row>
    <row r="67" spans="1:39" s="560" customFormat="1">
      <c r="A67" s="604" t="s">
        <v>681</v>
      </c>
      <c r="B67" s="604" t="s">
        <v>1142</v>
      </c>
      <c r="C67" s="614" t="s">
        <v>39</v>
      </c>
      <c r="D67" s="1030">
        <f>8*1.35*1.35*1.8+3*1.35*1.35*1.25</f>
        <v>33.078375000000008</v>
      </c>
      <c r="E67" s="581"/>
      <c r="F67" s="778"/>
      <c r="G67" s="581"/>
      <c r="H67" s="581"/>
      <c r="I67" s="949"/>
      <c r="J67" s="949"/>
      <c r="K67" s="949"/>
      <c r="L67" s="575"/>
      <c r="M67" s="778"/>
      <c r="N67" s="575"/>
      <c r="O67" s="575"/>
      <c r="P67" s="575"/>
      <c r="Q67" s="583"/>
      <c r="R67" s="583"/>
      <c r="S67" s="575"/>
      <c r="T67" s="778"/>
      <c r="U67" s="575"/>
      <c r="V67" s="575"/>
      <c r="W67" s="575"/>
      <c r="X67" s="575"/>
      <c r="Y67" s="575"/>
      <c r="Z67" s="575"/>
      <c r="AA67" s="778"/>
      <c r="AB67" s="575"/>
      <c r="AC67" s="575"/>
      <c r="AD67" s="575"/>
      <c r="AE67" s="753"/>
      <c r="AF67" s="575"/>
      <c r="AG67" s="588"/>
      <c r="AH67" s="842"/>
      <c r="AI67" s="1065">
        <f t="shared" si="10"/>
        <v>33.08</v>
      </c>
      <c r="AJ67" s="949">
        <v>0</v>
      </c>
      <c r="AK67" s="581">
        <f t="shared" si="8"/>
        <v>33.08</v>
      </c>
      <c r="AL67" s="746" t="s">
        <v>1542</v>
      </c>
      <c r="AM67" s="743">
        <f t="shared" si="9"/>
        <v>6.7800000000000011</v>
      </c>
    </row>
    <row r="68" spans="1:39" s="560" customFormat="1">
      <c r="A68" s="604" t="s">
        <v>682</v>
      </c>
      <c r="B68" s="604" t="s">
        <v>1143</v>
      </c>
      <c r="C68" s="614" t="s">
        <v>39</v>
      </c>
      <c r="D68" s="1030">
        <f>13.8*1.7*0.8-9.67</f>
        <v>9.0980000000000008</v>
      </c>
      <c r="E68" s="581"/>
      <c r="F68" s="778"/>
      <c r="G68" s="581"/>
      <c r="H68" s="581"/>
      <c r="I68" s="949"/>
      <c r="J68" s="949"/>
      <c r="K68" s="949"/>
      <c r="L68" s="575"/>
      <c r="M68" s="778"/>
      <c r="N68" s="575"/>
      <c r="O68" s="575"/>
      <c r="P68" s="575"/>
      <c r="Q68" s="583"/>
      <c r="R68" s="583"/>
      <c r="S68" s="575"/>
      <c r="T68" s="778"/>
      <c r="U68" s="575"/>
      <c r="V68" s="575"/>
      <c r="W68" s="575"/>
      <c r="X68" s="575"/>
      <c r="Y68" s="575"/>
      <c r="Z68" s="575"/>
      <c r="AA68" s="778"/>
      <c r="AB68" s="575"/>
      <c r="AC68" s="575"/>
      <c r="AD68" s="575"/>
      <c r="AE68" s="753"/>
      <c r="AF68" s="575"/>
      <c r="AG68" s="588"/>
      <c r="AH68" s="842"/>
      <c r="AI68" s="1065">
        <f t="shared" si="10"/>
        <v>9.1</v>
      </c>
      <c r="AJ68" s="949">
        <v>0</v>
      </c>
      <c r="AK68" s="581">
        <f t="shared" si="8"/>
        <v>9.1</v>
      </c>
      <c r="AL68" s="746" t="s">
        <v>1543</v>
      </c>
      <c r="AM68" s="743">
        <f t="shared" si="9"/>
        <v>0</v>
      </c>
    </row>
    <row r="69" spans="1:39" s="560" customFormat="1">
      <c r="A69" s="604" t="s">
        <v>683</v>
      </c>
      <c r="B69" s="604" t="s">
        <v>1144</v>
      </c>
      <c r="C69" s="614" t="s">
        <v>39</v>
      </c>
      <c r="D69" s="580"/>
      <c r="E69" s="581"/>
      <c r="F69" s="778"/>
      <c r="G69" s="581"/>
      <c r="H69" s="1035">
        <f>4.75*3.5*0.7</f>
        <v>11.637499999999999</v>
      </c>
      <c r="I69" s="949"/>
      <c r="J69" s="949"/>
      <c r="K69" s="949"/>
      <c r="L69" s="575"/>
      <c r="M69" s="778"/>
      <c r="N69" s="575"/>
      <c r="O69" s="575"/>
      <c r="P69" s="575"/>
      <c r="Q69" s="583"/>
      <c r="R69" s="1039">
        <f>4.2*2*0.5-0.12</f>
        <v>4.08</v>
      </c>
      <c r="S69" s="575"/>
      <c r="T69" s="778"/>
      <c r="U69" s="575"/>
      <c r="V69" s="575"/>
      <c r="W69" s="575"/>
      <c r="X69" s="583"/>
      <c r="Y69" s="575"/>
      <c r="Z69" s="575"/>
      <c r="AA69" s="778"/>
      <c r="AB69" s="575"/>
      <c r="AC69" s="575"/>
      <c r="AD69" s="575"/>
      <c r="AE69" s="753"/>
      <c r="AF69" s="575"/>
      <c r="AG69" s="588"/>
      <c r="AH69" s="842"/>
      <c r="AI69" s="1065">
        <f t="shared" si="10"/>
        <v>15.72</v>
      </c>
      <c r="AJ69" s="949">
        <v>0</v>
      </c>
      <c r="AK69" s="581">
        <f t="shared" si="8"/>
        <v>15.72</v>
      </c>
      <c r="AL69" s="746" t="s">
        <v>1544</v>
      </c>
      <c r="AM69" s="743">
        <f t="shared" si="9"/>
        <v>0</v>
      </c>
    </row>
    <row r="70" spans="1:39" s="560" customFormat="1">
      <c r="A70" s="604" t="s">
        <v>685</v>
      </c>
      <c r="B70" s="604" t="s">
        <v>1146</v>
      </c>
      <c r="C70" s="614" t="s">
        <v>39</v>
      </c>
      <c r="D70" s="586"/>
      <c r="E70" s="587"/>
      <c r="F70" s="783"/>
      <c r="G70" s="587"/>
      <c r="H70" s="581"/>
      <c r="I70" s="949"/>
      <c r="J70" s="1034">
        <f>10.5*1.3</f>
        <v>13.65</v>
      </c>
      <c r="K70" s="1034">
        <f>9.24*1.3</f>
        <v>12.012</v>
      </c>
      <c r="L70" s="1039">
        <f>6.125*1.3</f>
        <v>7.9625000000000004</v>
      </c>
      <c r="M70" s="778"/>
      <c r="N70" s="575"/>
      <c r="O70" s="575"/>
      <c r="P70" s="575"/>
      <c r="Q70" s="583"/>
      <c r="R70" s="583"/>
      <c r="S70" s="575"/>
      <c r="T70" s="778"/>
      <c r="U70" s="575"/>
      <c r="V70" s="575"/>
      <c r="W70" s="575"/>
      <c r="X70" s="575"/>
      <c r="Y70" s="575"/>
      <c r="Z70" s="575"/>
      <c r="AA70" s="778"/>
      <c r="AB70" s="575"/>
      <c r="AC70" s="575"/>
      <c r="AD70" s="575"/>
      <c r="AE70" s="753"/>
      <c r="AF70" s="575"/>
      <c r="AG70" s="588"/>
      <c r="AH70" s="842"/>
      <c r="AI70" s="1065">
        <f t="shared" ref="AI70:AI78" si="11">ROUND((SUM(D70:AH70)),2)</f>
        <v>33.619999999999997</v>
      </c>
      <c r="AJ70" s="949">
        <v>0</v>
      </c>
      <c r="AK70" s="581">
        <f t="shared" si="8"/>
        <v>33.619999999999997</v>
      </c>
      <c r="AL70" s="746" t="s">
        <v>1546</v>
      </c>
      <c r="AM70" s="743">
        <f t="shared" si="9"/>
        <v>7.9400000000000048</v>
      </c>
    </row>
    <row r="71" spans="1:39" s="560" customFormat="1">
      <c r="A71" s="607" t="s">
        <v>687</v>
      </c>
      <c r="B71" s="607" t="s">
        <v>1148</v>
      </c>
      <c r="C71" s="690"/>
      <c r="D71" s="580"/>
      <c r="E71" s="581"/>
      <c r="F71" s="778"/>
      <c r="G71" s="581"/>
      <c r="H71" s="581"/>
      <c r="I71" s="949"/>
      <c r="J71" s="949"/>
      <c r="K71" s="949"/>
      <c r="L71" s="575"/>
      <c r="M71" s="778"/>
      <c r="N71" s="575"/>
      <c r="O71" s="575"/>
      <c r="P71" s="575"/>
      <c r="Q71" s="583"/>
      <c r="R71" s="583"/>
      <c r="S71" s="575"/>
      <c r="T71" s="778"/>
      <c r="U71" s="575"/>
      <c r="V71" s="575"/>
      <c r="W71" s="575"/>
      <c r="X71" s="575"/>
      <c r="Y71" s="575"/>
      <c r="Z71" s="575"/>
      <c r="AA71" s="778"/>
      <c r="AB71" s="575"/>
      <c r="AC71" s="575"/>
      <c r="AD71" s="575"/>
      <c r="AE71" s="753"/>
      <c r="AF71" s="575"/>
      <c r="AG71" s="588"/>
      <c r="AH71" s="842"/>
      <c r="AI71" s="738">
        <f t="shared" si="11"/>
        <v>0</v>
      </c>
      <c r="AJ71" s="949">
        <v>0</v>
      </c>
      <c r="AK71" s="581">
        <f t="shared" si="8"/>
        <v>0</v>
      </c>
      <c r="AL71" s="746"/>
      <c r="AM71" s="743">
        <f t="shared" si="9"/>
        <v>0</v>
      </c>
    </row>
    <row r="72" spans="1:39" s="560" customFormat="1">
      <c r="A72" s="604" t="s">
        <v>688</v>
      </c>
      <c r="B72" s="604" t="s">
        <v>1149</v>
      </c>
      <c r="C72" s="614" t="s">
        <v>39</v>
      </c>
      <c r="D72" s="1030">
        <f>3*1.35*1.35*1.25</f>
        <v>6.8343750000000014</v>
      </c>
      <c r="E72" s="581"/>
      <c r="F72" s="778"/>
      <c r="G72" s="581"/>
      <c r="H72" s="581"/>
      <c r="I72" s="949"/>
      <c r="J72" s="949"/>
      <c r="K72" s="949"/>
      <c r="L72" s="575"/>
      <c r="M72" s="778"/>
      <c r="N72" s="575"/>
      <c r="O72" s="575"/>
      <c r="P72" s="575"/>
      <c r="Q72" s="583"/>
      <c r="R72" s="583"/>
      <c r="S72" s="575"/>
      <c r="T72" s="778"/>
      <c r="U72" s="575"/>
      <c r="V72" s="575"/>
      <c r="W72" s="575"/>
      <c r="X72" s="575"/>
      <c r="Y72" s="575"/>
      <c r="Z72" s="575"/>
      <c r="AA72" s="778"/>
      <c r="AB72" s="575"/>
      <c r="AC72" s="575"/>
      <c r="AD72" s="575"/>
      <c r="AE72" s="753"/>
      <c r="AF72" s="575"/>
      <c r="AG72" s="588"/>
      <c r="AH72" s="842"/>
      <c r="AI72" s="1065">
        <f t="shared" si="11"/>
        <v>6.83</v>
      </c>
      <c r="AJ72" s="949">
        <v>0</v>
      </c>
      <c r="AK72" s="581">
        <f t="shared" si="8"/>
        <v>6.83</v>
      </c>
      <c r="AL72" s="746" t="s">
        <v>1547</v>
      </c>
      <c r="AM72" s="743">
        <f t="shared" si="9"/>
        <v>13.450000000000001</v>
      </c>
    </row>
    <row r="73" spans="1:39" s="560" customFormat="1">
      <c r="A73" s="604" t="s">
        <v>689</v>
      </c>
      <c r="B73" s="604" t="s">
        <v>1189</v>
      </c>
      <c r="C73" s="614" t="s">
        <v>36</v>
      </c>
      <c r="D73" s="1030">
        <f>8*1.35*1.35</f>
        <v>14.580000000000002</v>
      </c>
      <c r="E73" s="581"/>
      <c r="F73" s="778"/>
      <c r="G73" s="581"/>
      <c r="H73" s="581"/>
      <c r="I73" s="949"/>
      <c r="J73" s="949"/>
      <c r="K73" s="949"/>
      <c r="L73" s="575"/>
      <c r="M73" s="778"/>
      <c r="N73" s="575"/>
      <c r="O73" s="575"/>
      <c r="P73" s="575"/>
      <c r="Q73" s="583"/>
      <c r="R73" s="583"/>
      <c r="S73" s="575"/>
      <c r="T73" s="778"/>
      <c r="U73" s="575"/>
      <c r="V73" s="575"/>
      <c r="W73" s="575"/>
      <c r="X73" s="575"/>
      <c r="Y73" s="575"/>
      <c r="Z73" s="575"/>
      <c r="AA73" s="778"/>
      <c r="AB73" s="575"/>
      <c r="AC73" s="575"/>
      <c r="AD73" s="575"/>
      <c r="AE73" s="753"/>
      <c r="AF73" s="575"/>
      <c r="AG73" s="588"/>
      <c r="AH73" s="842"/>
      <c r="AI73" s="1065">
        <f t="shared" si="11"/>
        <v>14.58</v>
      </c>
      <c r="AJ73" s="949">
        <v>0</v>
      </c>
      <c r="AK73" s="581">
        <f t="shared" si="8"/>
        <v>14.58</v>
      </c>
      <c r="AL73" s="746" t="s">
        <v>1548</v>
      </c>
      <c r="AM73" s="743">
        <f t="shared" si="9"/>
        <v>0.20999999999999908</v>
      </c>
    </row>
    <row r="74" spans="1:39" s="560" customFormat="1">
      <c r="A74" s="607" t="s">
        <v>694</v>
      </c>
      <c r="B74" s="607" t="s">
        <v>1155</v>
      </c>
      <c r="C74" s="690"/>
      <c r="D74" s="580"/>
      <c r="E74" s="581"/>
      <c r="F74" s="778"/>
      <c r="G74" s="581"/>
      <c r="H74" s="581"/>
      <c r="I74" s="949"/>
      <c r="J74" s="949"/>
      <c r="K74" s="949"/>
      <c r="L74" s="575"/>
      <c r="M74" s="778"/>
      <c r="N74" s="575"/>
      <c r="O74" s="575"/>
      <c r="P74" s="575"/>
      <c r="Q74" s="583"/>
      <c r="R74" s="583"/>
      <c r="S74" s="575"/>
      <c r="T74" s="778"/>
      <c r="U74" s="575"/>
      <c r="V74" s="575"/>
      <c r="W74" s="575"/>
      <c r="X74" s="575"/>
      <c r="Y74" s="575"/>
      <c r="Z74" s="575"/>
      <c r="AA74" s="778"/>
      <c r="AB74" s="575"/>
      <c r="AC74" s="575"/>
      <c r="AD74" s="575"/>
      <c r="AE74" s="753"/>
      <c r="AF74" s="575"/>
      <c r="AG74" s="588"/>
      <c r="AH74" s="842"/>
      <c r="AI74" s="738">
        <f t="shared" si="11"/>
        <v>0</v>
      </c>
      <c r="AJ74" s="949">
        <v>0</v>
      </c>
      <c r="AK74" s="581">
        <f t="shared" si="8"/>
        <v>0</v>
      </c>
      <c r="AL74" s="746"/>
      <c r="AM74" s="743">
        <f t="shared" si="9"/>
        <v>0</v>
      </c>
    </row>
    <row r="75" spans="1:39" s="560" customFormat="1">
      <c r="A75" s="604" t="s">
        <v>695</v>
      </c>
      <c r="B75" s="604" t="s">
        <v>1156</v>
      </c>
      <c r="C75" s="690"/>
      <c r="D75" s="580"/>
      <c r="E75" s="581"/>
      <c r="F75" s="778"/>
      <c r="G75" s="581"/>
      <c r="H75" s="581"/>
      <c r="I75" s="949"/>
      <c r="J75" s="949"/>
      <c r="K75" s="949"/>
      <c r="L75" s="575"/>
      <c r="M75" s="778"/>
      <c r="N75" s="575"/>
      <c r="O75" s="575"/>
      <c r="P75" s="575"/>
      <c r="Q75" s="583"/>
      <c r="R75" s="583"/>
      <c r="S75" s="575"/>
      <c r="T75" s="778"/>
      <c r="U75" s="575"/>
      <c r="V75" s="575"/>
      <c r="W75" s="575"/>
      <c r="X75" s="575"/>
      <c r="Y75" s="575"/>
      <c r="Z75" s="575"/>
      <c r="AA75" s="778"/>
      <c r="AB75" s="575"/>
      <c r="AC75" s="575"/>
      <c r="AD75" s="575"/>
      <c r="AE75" s="753"/>
      <c r="AF75" s="575"/>
      <c r="AG75" s="588"/>
      <c r="AH75" s="842"/>
      <c r="AI75" s="738">
        <f t="shared" si="11"/>
        <v>0</v>
      </c>
      <c r="AJ75" s="949">
        <v>0</v>
      </c>
      <c r="AK75" s="581">
        <f t="shared" si="8"/>
        <v>0</v>
      </c>
      <c r="AL75" s="746"/>
      <c r="AM75" s="743">
        <f t="shared" si="9"/>
        <v>0</v>
      </c>
    </row>
    <row r="76" spans="1:39" s="560" customFormat="1">
      <c r="A76" s="604" t="s">
        <v>696</v>
      </c>
      <c r="B76" s="604" t="s">
        <v>1192</v>
      </c>
      <c r="C76" s="614" t="s">
        <v>39</v>
      </c>
      <c r="D76" s="580"/>
      <c r="E76" s="1032">
        <f>8*1.35*1.35*0.4-1.22</f>
        <v>4.612000000000001</v>
      </c>
      <c r="F76" s="778"/>
      <c r="G76" s="581"/>
      <c r="H76" s="581"/>
      <c r="I76" s="949"/>
      <c r="J76" s="949"/>
      <c r="K76" s="949"/>
      <c r="L76" s="575"/>
      <c r="M76" s="778"/>
      <c r="N76" s="575"/>
      <c r="O76" s="575"/>
      <c r="P76" s="575"/>
      <c r="Q76" s="583"/>
      <c r="R76" s="583"/>
      <c r="S76" s="575"/>
      <c r="T76" s="778"/>
      <c r="U76" s="575"/>
      <c r="V76" s="575"/>
      <c r="W76" s="575"/>
      <c r="X76" s="575"/>
      <c r="Y76" s="575"/>
      <c r="Z76" s="575"/>
      <c r="AA76" s="778"/>
      <c r="AB76" s="575"/>
      <c r="AC76" s="575"/>
      <c r="AD76" s="575"/>
      <c r="AE76" s="753"/>
      <c r="AF76" s="575"/>
      <c r="AG76" s="588"/>
      <c r="AH76" s="842"/>
      <c r="AI76" s="1065">
        <f t="shared" si="11"/>
        <v>4.6100000000000003</v>
      </c>
      <c r="AJ76" s="949">
        <v>0</v>
      </c>
      <c r="AK76" s="581">
        <f t="shared" si="8"/>
        <v>4.6100000000000003</v>
      </c>
      <c r="AL76" s="746" t="s">
        <v>1456</v>
      </c>
      <c r="AM76" s="743">
        <f t="shared" si="9"/>
        <v>0</v>
      </c>
    </row>
    <row r="77" spans="1:39" s="560" customFormat="1">
      <c r="A77" s="604" t="s">
        <v>697</v>
      </c>
      <c r="B77" s="604" t="s">
        <v>1158</v>
      </c>
      <c r="C77" s="614" t="s">
        <v>47</v>
      </c>
      <c r="D77" s="580"/>
      <c r="E77" s="1032">
        <f>8*20.86</f>
        <v>166.88</v>
      </c>
      <c r="F77" s="778"/>
      <c r="G77" s="581"/>
      <c r="H77" s="581"/>
      <c r="I77" s="949"/>
      <c r="J77" s="949"/>
      <c r="K77" s="949"/>
      <c r="L77" s="575"/>
      <c r="M77" s="778"/>
      <c r="N77" s="575"/>
      <c r="O77" s="575"/>
      <c r="P77" s="575"/>
      <c r="Q77" s="583"/>
      <c r="R77" s="583"/>
      <c r="S77" s="575"/>
      <c r="T77" s="778"/>
      <c r="U77" s="575"/>
      <c r="V77" s="575"/>
      <c r="W77" s="575"/>
      <c r="X77" s="575"/>
      <c r="Y77" s="575"/>
      <c r="Z77" s="575"/>
      <c r="AA77" s="778"/>
      <c r="AB77" s="575"/>
      <c r="AC77" s="575"/>
      <c r="AD77" s="575"/>
      <c r="AE77" s="753"/>
      <c r="AF77" s="575"/>
      <c r="AG77" s="588"/>
      <c r="AH77" s="842"/>
      <c r="AI77" s="1065">
        <f t="shared" si="11"/>
        <v>166.88</v>
      </c>
      <c r="AJ77" s="949">
        <v>0</v>
      </c>
      <c r="AK77" s="581">
        <f t="shared" si="8"/>
        <v>166.88</v>
      </c>
      <c r="AL77" s="746" t="s">
        <v>1457</v>
      </c>
      <c r="AM77" s="743">
        <f t="shared" si="9"/>
        <v>25.819999999999993</v>
      </c>
    </row>
    <row r="78" spans="1:39" s="560" customFormat="1">
      <c r="A78" s="604" t="s">
        <v>698</v>
      </c>
      <c r="B78" s="604" t="s">
        <v>1159</v>
      </c>
      <c r="C78" s="690"/>
      <c r="D78" s="580"/>
      <c r="E78" s="581"/>
      <c r="F78" s="778"/>
      <c r="G78" s="581"/>
      <c r="H78" s="581"/>
      <c r="I78" s="949"/>
      <c r="J78" s="949"/>
      <c r="K78" s="949"/>
      <c r="L78" s="575"/>
      <c r="M78" s="778"/>
      <c r="N78" s="575"/>
      <c r="O78" s="575"/>
      <c r="P78" s="575"/>
      <c r="Q78" s="583"/>
      <c r="R78" s="583"/>
      <c r="S78" s="575"/>
      <c r="T78" s="778"/>
      <c r="U78" s="575"/>
      <c r="V78" s="575"/>
      <c r="W78" s="575"/>
      <c r="X78" s="575"/>
      <c r="Y78" s="575"/>
      <c r="Z78" s="575"/>
      <c r="AA78" s="778"/>
      <c r="AB78" s="575"/>
      <c r="AC78" s="575"/>
      <c r="AD78" s="575"/>
      <c r="AE78" s="753"/>
      <c r="AF78" s="575"/>
      <c r="AG78" s="588"/>
      <c r="AH78" s="842"/>
      <c r="AI78" s="738">
        <f t="shared" si="11"/>
        <v>0</v>
      </c>
      <c r="AJ78" s="949">
        <v>0</v>
      </c>
      <c r="AK78" s="581">
        <f t="shared" si="8"/>
        <v>0</v>
      </c>
      <c r="AL78" s="746"/>
      <c r="AM78" s="743">
        <f t="shared" si="9"/>
        <v>0</v>
      </c>
    </row>
    <row r="79" spans="1:39" s="560" customFormat="1">
      <c r="A79" s="604" t="s">
        <v>699</v>
      </c>
      <c r="B79" s="604" t="s">
        <v>1193</v>
      </c>
      <c r="C79" s="614" t="s">
        <v>39</v>
      </c>
      <c r="E79" s="581"/>
      <c r="F79" s="778"/>
      <c r="G79" s="1029">
        <f>6.18*0.4*0.25</f>
        <v>0.61799999999999999</v>
      </c>
      <c r="H79" s="581"/>
      <c r="I79" s="1035">
        <f>5.24*0.4*0.25*2+6.18*0.4*0.25*2-6.18*0.4*0.25-0.09</f>
        <v>1.5759999999999998</v>
      </c>
      <c r="J79" s="949"/>
      <c r="K79" s="949"/>
      <c r="L79" s="575"/>
      <c r="M79" s="778"/>
      <c r="N79" s="575"/>
      <c r="O79" s="575"/>
      <c r="P79" s="575"/>
      <c r="Q79" s="583"/>
      <c r="R79" s="583"/>
      <c r="S79" s="575"/>
      <c r="T79" s="778"/>
      <c r="U79" s="575"/>
      <c r="V79" s="575"/>
      <c r="W79" s="575"/>
      <c r="X79" s="575"/>
      <c r="Y79" s="575"/>
      <c r="Z79" s="575"/>
      <c r="AA79" s="778"/>
      <c r="AB79" s="575"/>
      <c r="AC79" s="575"/>
      <c r="AD79" s="575"/>
      <c r="AE79" s="753"/>
      <c r="AF79" s="575"/>
      <c r="AG79" s="588"/>
      <c r="AH79" s="842"/>
      <c r="AI79" s="1065">
        <f>ROUND((SUM(E79:AH79)),2)</f>
        <v>2.19</v>
      </c>
      <c r="AJ79" s="949">
        <v>0</v>
      </c>
      <c r="AK79" s="581">
        <f t="shared" si="8"/>
        <v>2.19</v>
      </c>
      <c r="AL79" s="746" t="s">
        <v>1552</v>
      </c>
      <c r="AM79" s="743">
        <f t="shared" si="9"/>
        <v>0</v>
      </c>
    </row>
    <row r="80" spans="1:39" s="560" customFormat="1">
      <c r="A80" s="604" t="s">
        <v>700</v>
      </c>
      <c r="B80" s="604" t="s">
        <v>1161</v>
      </c>
      <c r="C80" s="614" t="s">
        <v>36</v>
      </c>
      <c r="F80" s="778"/>
      <c r="G80" s="1036">
        <f>6.18*0.4*2</f>
        <v>4.944</v>
      </c>
      <c r="H80" s="1031">
        <f>(22.84-6.18+19.64-5.38)*0.4-6.18*0.4*2</f>
        <v>7.4240000000000004</v>
      </c>
      <c r="I80" s="1034">
        <v>5.12</v>
      </c>
      <c r="J80" s="949"/>
      <c r="K80" s="949"/>
      <c r="L80" s="575"/>
      <c r="M80" s="778"/>
      <c r="N80" s="575"/>
      <c r="O80" s="575"/>
      <c r="P80" s="575"/>
      <c r="Q80" s="583"/>
      <c r="R80" s="583"/>
      <c r="S80" s="575"/>
      <c r="T80" s="778"/>
      <c r="U80" s="575"/>
      <c r="V80" s="575"/>
      <c r="W80" s="575"/>
      <c r="X80" s="575"/>
      <c r="Y80" s="575"/>
      <c r="Z80" s="575"/>
      <c r="AA80" s="778"/>
      <c r="AB80" s="575"/>
      <c r="AC80" s="575"/>
      <c r="AD80" s="575"/>
      <c r="AE80" s="753"/>
      <c r="AF80" s="575"/>
      <c r="AG80" s="588"/>
      <c r="AH80" s="842"/>
      <c r="AI80" s="1065">
        <f>ROUND((SUM(E80:AH80)),2)</f>
        <v>17.489999999999998</v>
      </c>
      <c r="AJ80" s="949">
        <v>0</v>
      </c>
      <c r="AK80" s="581">
        <f t="shared" si="8"/>
        <v>17.489999999999998</v>
      </c>
      <c r="AL80" s="746" t="s">
        <v>1553</v>
      </c>
      <c r="AM80" s="743">
        <f t="shared" si="9"/>
        <v>0</v>
      </c>
    </row>
    <row r="81" spans="1:39" s="560" customFormat="1">
      <c r="A81" s="604" t="s">
        <v>701</v>
      </c>
      <c r="B81" s="604" t="s">
        <v>1162</v>
      </c>
      <c r="C81" s="614" t="s">
        <v>47</v>
      </c>
      <c r="D81" s="746"/>
      <c r="E81" s="579"/>
      <c r="F81" s="783"/>
      <c r="G81" s="1031">
        <f>245.53-38.31-66.28+38.31</f>
        <v>179.25</v>
      </c>
      <c r="H81" s="581"/>
      <c r="I81" s="949"/>
      <c r="J81" s="949"/>
      <c r="K81" s="949"/>
      <c r="L81" s="575"/>
      <c r="M81" s="778"/>
      <c r="N81" s="575"/>
      <c r="O81" s="575"/>
      <c r="P81" s="575"/>
      <c r="Q81" s="583"/>
      <c r="R81" s="583"/>
      <c r="S81" s="575"/>
      <c r="T81" s="778"/>
      <c r="U81" s="575"/>
      <c r="V81" s="575"/>
      <c r="W81" s="575"/>
      <c r="X81" s="575"/>
      <c r="Y81" s="575"/>
      <c r="Z81" s="575"/>
      <c r="AA81" s="778"/>
      <c r="AB81" s="575"/>
      <c r="AC81" s="575"/>
      <c r="AD81" s="575"/>
      <c r="AE81" s="753"/>
      <c r="AF81" s="575"/>
      <c r="AG81" s="588"/>
      <c r="AH81" s="842"/>
      <c r="AI81" s="1065">
        <f t="shared" ref="AI81:AI103" si="12">ROUND((SUM(D81:AH81)),2)</f>
        <v>179.25</v>
      </c>
      <c r="AJ81" s="949">
        <v>0</v>
      </c>
      <c r="AK81" s="581">
        <f t="shared" si="8"/>
        <v>179.25</v>
      </c>
      <c r="AL81" s="746" t="s">
        <v>1554</v>
      </c>
      <c r="AM81" s="743">
        <f t="shared" si="9"/>
        <v>0</v>
      </c>
    </row>
    <row r="82" spans="1:39" s="560" customFormat="1">
      <c r="A82" s="604" t="s">
        <v>702</v>
      </c>
      <c r="B82" s="604" t="s">
        <v>1163</v>
      </c>
      <c r="C82" s="690"/>
      <c r="D82" s="580"/>
      <c r="E82" s="581"/>
      <c r="F82" s="778"/>
      <c r="G82" s="581"/>
      <c r="H82" s="581"/>
      <c r="I82" s="949"/>
      <c r="J82" s="949"/>
      <c r="K82" s="949"/>
      <c r="L82" s="575"/>
      <c r="M82" s="778"/>
      <c r="N82" s="575"/>
      <c r="O82" s="575"/>
      <c r="P82" s="575"/>
      <c r="Q82" s="583"/>
      <c r="R82" s="583"/>
      <c r="S82" s="575"/>
      <c r="T82" s="778"/>
      <c r="U82" s="575"/>
      <c r="V82" s="575"/>
      <c r="W82" s="575"/>
      <c r="X82" s="575"/>
      <c r="Y82" s="575"/>
      <c r="Z82" s="575"/>
      <c r="AA82" s="778"/>
      <c r="AB82" s="575"/>
      <c r="AC82" s="575"/>
      <c r="AD82" s="575"/>
      <c r="AE82" s="753"/>
      <c r="AF82" s="575"/>
      <c r="AG82" s="588"/>
      <c r="AH82" s="842"/>
      <c r="AI82" s="738">
        <f t="shared" si="12"/>
        <v>0</v>
      </c>
      <c r="AJ82" s="949">
        <v>0</v>
      </c>
      <c r="AK82" s="581">
        <f t="shared" si="8"/>
        <v>0</v>
      </c>
      <c r="AL82" s="746"/>
      <c r="AM82" s="743">
        <f t="shared" si="9"/>
        <v>0</v>
      </c>
    </row>
    <row r="83" spans="1:39" s="560" customFormat="1">
      <c r="A83" s="604" t="s">
        <v>703</v>
      </c>
      <c r="B83" s="604" t="s">
        <v>1194</v>
      </c>
      <c r="C83" s="614" t="s">
        <v>39</v>
      </c>
      <c r="D83" s="580"/>
      <c r="E83" s="581"/>
      <c r="F83" s="778"/>
      <c r="G83" s="581"/>
      <c r="I83" s="949"/>
      <c r="J83" s="1035">
        <f>8*0.25*0.25*3.5</f>
        <v>1.75</v>
      </c>
      <c r="K83" s="949"/>
      <c r="L83" s="575"/>
      <c r="M83" s="778"/>
      <c r="N83" s="575"/>
      <c r="O83" s="575"/>
      <c r="P83" s="575"/>
      <c r="Q83" s="583"/>
      <c r="R83" s="583"/>
      <c r="S83" s="575"/>
      <c r="T83" s="778"/>
      <c r="U83" s="575"/>
      <c r="V83" s="575"/>
      <c r="W83" s="575"/>
      <c r="X83" s="575"/>
      <c r="Y83" s="575"/>
      <c r="Z83" s="575"/>
      <c r="AA83" s="778"/>
      <c r="AB83" s="575"/>
      <c r="AC83" s="575"/>
      <c r="AD83" s="575"/>
      <c r="AE83" s="753"/>
      <c r="AF83" s="575"/>
      <c r="AG83" s="588"/>
      <c r="AH83" s="842"/>
      <c r="AI83" s="1065">
        <f t="shared" si="12"/>
        <v>1.75</v>
      </c>
      <c r="AJ83" s="949">
        <v>0</v>
      </c>
      <c r="AK83" s="581">
        <f t="shared" si="8"/>
        <v>1.75</v>
      </c>
      <c r="AL83" s="746" t="s">
        <v>1518</v>
      </c>
      <c r="AM83" s="743">
        <f t="shared" si="9"/>
        <v>0.43000000000000016</v>
      </c>
    </row>
    <row r="84" spans="1:39" s="560" customFormat="1">
      <c r="A84" s="604" t="s">
        <v>704</v>
      </c>
      <c r="B84" s="604" t="s">
        <v>1165</v>
      </c>
      <c r="C84" s="614" t="s">
        <v>36</v>
      </c>
      <c r="D84" s="580"/>
      <c r="E84" s="581"/>
      <c r="F84" s="778"/>
      <c r="G84" s="581"/>
      <c r="H84" s="581"/>
      <c r="I84" s="949"/>
      <c r="J84" s="1035">
        <f>8*3.5*1</f>
        <v>28</v>
      </c>
      <c r="K84" s="949"/>
      <c r="L84" s="575"/>
      <c r="M84" s="778"/>
      <c r="N84" s="575"/>
      <c r="O84" s="575"/>
      <c r="P84" s="575"/>
      <c r="Q84" s="583"/>
      <c r="R84" s="583"/>
      <c r="S84" s="575"/>
      <c r="T84" s="778"/>
      <c r="U84" s="575"/>
      <c r="V84" s="575"/>
      <c r="W84" s="575"/>
      <c r="X84" s="575"/>
      <c r="Y84" s="575"/>
      <c r="Z84" s="575"/>
      <c r="AA84" s="778"/>
      <c r="AB84" s="575"/>
      <c r="AC84" s="575"/>
      <c r="AD84" s="575"/>
      <c r="AE84" s="753"/>
      <c r="AF84" s="575"/>
      <c r="AG84" s="588"/>
      <c r="AH84" s="842"/>
      <c r="AI84" s="1065">
        <f t="shared" si="12"/>
        <v>28</v>
      </c>
      <c r="AJ84" s="949">
        <v>0</v>
      </c>
      <c r="AK84" s="581">
        <f t="shared" ref="AK84:AK118" si="13">AI84+AJ84</f>
        <v>28</v>
      </c>
      <c r="AL84" s="746" t="s">
        <v>1555</v>
      </c>
      <c r="AM84" s="743">
        <f t="shared" ref="AM84:AM118" si="14">AL84-AK84</f>
        <v>6.7999999999999972</v>
      </c>
    </row>
    <row r="85" spans="1:39" s="560" customFormat="1">
      <c r="A85" s="604" t="s">
        <v>705</v>
      </c>
      <c r="B85" s="604" t="s">
        <v>1166</v>
      </c>
      <c r="C85" s="614" t="s">
        <v>47</v>
      </c>
      <c r="D85" s="580"/>
      <c r="E85" s="1035">
        <f>8*58.57-153.9</f>
        <v>314.65999999999997</v>
      </c>
      <c r="F85" s="778"/>
      <c r="G85" s="581"/>
      <c r="H85" s="581"/>
      <c r="I85" s="949"/>
      <c r="J85" s="949"/>
      <c r="K85" s="949"/>
      <c r="L85" s="575"/>
      <c r="M85" s="778"/>
      <c r="N85" s="575"/>
      <c r="O85" s="575"/>
      <c r="P85" s="575"/>
      <c r="Q85" s="583"/>
      <c r="R85" s="583"/>
      <c r="S85" s="575"/>
      <c r="T85" s="778"/>
      <c r="U85" s="575"/>
      <c r="V85" s="575"/>
      <c r="W85" s="575"/>
      <c r="X85" s="575"/>
      <c r="Y85" s="575"/>
      <c r="Z85" s="575"/>
      <c r="AA85" s="778"/>
      <c r="AB85" s="575"/>
      <c r="AC85" s="575"/>
      <c r="AD85" s="575"/>
      <c r="AE85" s="753"/>
      <c r="AF85" s="575"/>
      <c r="AG85" s="588"/>
      <c r="AH85" s="842"/>
      <c r="AI85" s="1065">
        <f t="shared" si="12"/>
        <v>314.66000000000003</v>
      </c>
      <c r="AJ85" s="949">
        <v>0</v>
      </c>
      <c r="AK85" s="581">
        <f t="shared" si="13"/>
        <v>314.66000000000003</v>
      </c>
      <c r="AL85" s="746" t="s">
        <v>1556</v>
      </c>
      <c r="AM85" s="743">
        <f t="shared" si="14"/>
        <v>0</v>
      </c>
    </row>
    <row r="86" spans="1:39" s="560" customFormat="1">
      <c r="A86" s="604" t="s">
        <v>710</v>
      </c>
      <c r="B86" s="604" t="s">
        <v>1171</v>
      </c>
      <c r="C86" s="690"/>
      <c r="D86" s="580"/>
      <c r="E86" s="581"/>
      <c r="F86" s="778"/>
      <c r="G86" s="581"/>
      <c r="H86" s="581"/>
      <c r="I86" s="949"/>
      <c r="J86" s="949"/>
      <c r="K86" s="949"/>
      <c r="L86" s="575"/>
      <c r="M86" s="778"/>
      <c r="N86" s="575"/>
      <c r="O86" s="575"/>
      <c r="P86" s="575"/>
      <c r="Q86" s="583"/>
      <c r="R86" s="583"/>
      <c r="S86" s="575"/>
      <c r="T86" s="778"/>
      <c r="U86" s="575"/>
      <c r="V86" s="575"/>
      <c r="W86" s="575"/>
      <c r="X86" s="575"/>
      <c r="Y86" s="575"/>
      <c r="Z86" s="575"/>
      <c r="AA86" s="778"/>
      <c r="AB86" s="575"/>
      <c r="AC86" s="575"/>
      <c r="AD86" s="575"/>
      <c r="AE86" s="753"/>
      <c r="AF86" s="575"/>
      <c r="AG86" s="588"/>
      <c r="AH86" s="842"/>
      <c r="AI86" s="738">
        <f t="shared" si="12"/>
        <v>0</v>
      </c>
      <c r="AJ86" s="949">
        <v>0</v>
      </c>
      <c r="AK86" s="581">
        <f t="shared" si="13"/>
        <v>0</v>
      </c>
      <c r="AL86" s="746"/>
      <c r="AM86" s="743">
        <f t="shared" si="14"/>
        <v>0</v>
      </c>
    </row>
    <row r="87" spans="1:39" s="560" customFormat="1">
      <c r="A87" s="604" t="s">
        <v>711</v>
      </c>
      <c r="B87" s="604" t="s">
        <v>1172</v>
      </c>
      <c r="C87" s="614" t="s">
        <v>39</v>
      </c>
      <c r="D87" s="580"/>
      <c r="E87" s="581"/>
      <c r="F87" s="778"/>
      <c r="G87" s="581"/>
      <c r="H87" s="581"/>
      <c r="I87" s="949"/>
      <c r="J87" s="949"/>
      <c r="K87" s="949"/>
      <c r="L87" s="575"/>
      <c r="M87" s="778"/>
      <c r="N87" s="575"/>
      <c r="O87" s="1043">
        <f>5.24*0.4*0.25</f>
        <v>0.52400000000000002</v>
      </c>
      <c r="P87" s="575"/>
      <c r="Q87" s="1043">
        <v>0.52</v>
      </c>
      <c r="R87" s="583"/>
      <c r="S87" s="575"/>
      <c r="T87" s="778"/>
      <c r="U87" s="575"/>
      <c r="V87" s="575"/>
      <c r="W87" s="575"/>
      <c r="X87" s="575"/>
      <c r="Y87" s="575"/>
      <c r="Z87" s="575"/>
      <c r="AA87" s="778"/>
      <c r="AB87" s="575"/>
      <c r="AC87" s="1043">
        <f>(3.46*0.25*0.4*3+6.16*0.25*0.4*2+3*0.4*0.25+2+2.37*0.4*0.25*2)-0.49</f>
        <v>4.5540000000000003</v>
      </c>
      <c r="AD87" s="575"/>
      <c r="AE87" s="753"/>
      <c r="AF87" s="575"/>
      <c r="AG87" s="588"/>
      <c r="AH87" s="842"/>
      <c r="AI87" s="1065">
        <f t="shared" si="12"/>
        <v>5.6</v>
      </c>
      <c r="AJ87" s="949">
        <v>0</v>
      </c>
      <c r="AK87" s="581">
        <f t="shared" si="13"/>
        <v>5.6</v>
      </c>
      <c r="AL87" s="746" t="s">
        <v>1557</v>
      </c>
      <c r="AM87" s="743">
        <f t="shared" si="14"/>
        <v>0</v>
      </c>
    </row>
    <row r="88" spans="1:39" s="560" customFormat="1">
      <c r="A88" s="604" t="s">
        <v>712</v>
      </c>
      <c r="B88" s="604" t="s">
        <v>1173</v>
      </c>
      <c r="C88" s="614" t="s">
        <v>36</v>
      </c>
      <c r="D88" s="580"/>
      <c r="E88" s="581"/>
      <c r="F88" s="778"/>
      <c r="G88" s="581"/>
      <c r="H88" s="581"/>
      <c r="I88" s="949"/>
      <c r="J88" s="949"/>
      <c r="K88" s="949"/>
      <c r="L88" s="575"/>
      <c r="M88" s="778"/>
      <c r="N88" s="575"/>
      <c r="O88" s="1043">
        <f>5.24*0.25+5.24*0.4*2</f>
        <v>5.5020000000000007</v>
      </c>
      <c r="P88" s="575"/>
      <c r="Q88" s="1043">
        <v>5.5</v>
      </c>
      <c r="R88" s="1039">
        <f>10*0.25*3</f>
        <v>7.5</v>
      </c>
      <c r="S88" s="583"/>
      <c r="T88" s="778"/>
      <c r="U88" s="575"/>
      <c r="V88" s="575"/>
      <c r="W88" s="575"/>
      <c r="X88" s="1043">
        <f>29*0.25</f>
        <v>7.25</v>
      </c>
      <c r="Y88" s="1043">
        <f>29*0.4</f>
        <v>11.600000000000001</v>
      </c>
      <c r="Z88" s="1043">
        <v>11.4</v>
      </c>
      <c r="AA88" s="778"/>
      <c r="AB88" s="575"/>
      <c r="AC88" s="575"/>
      <c r="AD88" s="575"/>
      <c r="AE88" s="753"/>
      <c r="AF88" s="575"/>
      <c r="AG88" s="588"/>
      <c r="AH88" s="842"/>
      <c r="AI88" s="1065">
        <f t="shared" si="12"/>
        <v>48.75</v>
      </c>
      <c r="AJ88" s="949">
        <v>0</v>
      </c>
      <c r="AK88" s="581">
        <f t="shared" si="13"/>
        <v>48.75</v>
      </c>
      <c r="AL88" s="746" t="s">
        <v>1558</v>
      </c>
      <c r="AM88" s="743">
        <f t="shared" si="14"/>
        <v>0</v>
      </c>
    </row>
    <row r="89" spans="1:39" s="560" customFormat="1">
      <c r="A89" s="604" t="s">
        <v>713</v>
      </c>
      <c r="B89" s="604" t="s">
        <v>1174</v>
      </c>
      <c r="C89" s="614" t="s">
        <v>47</v>
      </c>
      <c r="D89" s="580"/>
      <c r="E89" s="581"/>
      <c r="F89" s="778"/>
      <c r="G89" s="581"/>
      <c r="H89" s="581"/>
      <c r="I89" s="949"/>
      <c r="J89" s="949"/>
      <c r="K89" s="949"/>
      <c r="L89" s="575"/>
      <c r="M89" s="778"/>
      <c r="N89" s="575"/>
      <c r="O89" s="1043">
        <v>86.76</v>
      </c>
      <c r="P89" s="575"/>
      <c r="Q89" s="1043">
        <v>87.76</v>
      </c>
      <c r="R89" s="1043">
        <v>85.56</v>
      </c>
      <c r="S89" s="583"/>
      <c r="T89" s="778"/>
      <c r="U89" s="575"/>
      <c r="V89" s="575"/>
      <c r="W89" s="575"/>
      <c r="X89" s="583"/>
      <c r="Y89" s="1043">
        <v>100</v>
      </c>
      <c r="Z89" s="1049">
        <v>282.01</v>
      </c>
      <c r="AA89" s="778"/>
      <c r="AB89" s="575"/>
      <c r="AC89" s="575"/>
      <c r="AD89" s="575"/>
      <c r="AE89" s="753"/>
      <c r="AF89" s="575"/>
      <c r="AG89" s="588"/>
      <c r="AH89" s="842"/>
      <c r="AI89" s="1065">
        <f t="shared" si="12"/>
        <v>642.09</v>
      </c>
      <c r="AJ89" s="949">
        <v>0</v>
      </c>
      <c r="AK89" s="581">
        <f t="shared" si="13"/>
        <v>642.09</v>
      </c>
      <c r="AL89" s="746" t="s">
        <v>1559</v>
      </c>
      <c r="AM89" s="743">
        <f t="shared" si="14"/>
        <v>0</v>
      </c>
    </row>
    <row r="90" spans="1:39" s="560" customFormat="1">
      <c r="A90" s="604" t="s">
        <v>714</v>
      </c>
      <c r="B90" s="604" t="s">
        <v>1175</v>
      </c>
      <c r="C90" s="690"/>
      <c r="D90" s="580"/>
      <c r="E90" s="581"/>
      <c r="F90" s="778"/>
      <c r="G90" s="581"/>
      <c r="H90" s="581"/>
      <c r="I90" s="949"/>
      <c r="J90" s="949"/>
      <c r="K90" s="949"/>
      <c r="L90" s="575"/>
      <c r="M90" s="778"/>
      <c r="N90" s="575"/>
      <c r="O90" s="575"/>
      <c r="P90" s="575"/>
      <c r="Q90" s="583"/>
      <c r="S90" s="575"/>
      <c r="T90" s="778"/>
      <c r="U90" s="575"/>
      <c r="V90" s="575"/>
      <c r="W90" s="575"/>
      <c r="X90" s="583"/>
      <c r="Y90" s="575"/>
      <c r="Z90" s="575"/>
      <c r="AA90" s="778"/>
      <c r="AB90" s="575"/>
      <c r="AC90" s="575"/>
      <c r="AD90" s="575"/>
      <c r="AE90" s="753"/>
      <c r="AF90" s="575"/>
      <c r="AG90" s="588"/>
      <c r="AH90" s="842"/>
      <c r="AI90" s="738">
        <f t="shared" si="12"/>
        <v>0</v>
      </c>
      <c r="AJ90" s="949">
        <v>0</v>
      </c>
      <c r="AK90" s="581">
        <f t="shared" si="13"/>
        <v>0</v>
      </c>
      <c r="AL90" s="746"/>
      <c r="AM90" s="743">
        <f t="shared" si="14"/>
        <v>0</v>
      </c>
    </row>
    <row r="91" spans="1:39" s="560" customFormat="1">
      <c r="A91" s="604" t="s">
        <v>715</v>
      </c>
      <c r="B91" s="604" t="s">
        <v>1176</v>
      </c>
      <c r="C91" s="614" t="s">
        <v>39</v>
      </c>
      <c r="D91" s="580"/>
      <c r="E91" s="581"/>
      <c r="F91" s="778"/>
      <c r="G91" s="581"/>
      <c r="H91" s="581"/>
      <c r="I91" s="949"/>
      <c r="J91" s="949"/>
      <c r="K91" s="949"/>
      <c r="L91" s="575"/>
      <c r="M91" s="778"/>
      <c r="N91" s="575"/>
      <c r="O91" s="575"/>
      <c r="P91" s="575"/>
      <c r="Q91" s="583"/>
      <c r="R91" s="583"/>
      <c r="S91" s="575"/>
      <c r="T91" s="778"/>
      <c r="U91" s="575"/>
      <c r="V91" s="575"/>
      <c r="W91" s="575"/>
      <c r="X91" s="583"/>
      <c r="Y91" s="575"/>
      <c r="Z91" s="575"/>
      <c r="AA91" s="778"/>
      <c r="AB91" s="575"/>
      <c r="AC91" s="1043">
        <f>(7.36*2*0.2*0.2+3.46*0.2*0.2*2+8*0.1*0.15*6.96+(3.46+0.7)*7.36*0.05+7*0.1*0.15*2.47+7*0.1*0.15*0.4+4.2*2.37*0.05)-0.67</f>
        <v>3.3607300000000002</v>
      </c>
      <c r="AD91" s="575"/>
      <c r="AE91" s="753"/>
      <c r="AF91" s="575"/>
      <c r="AG91" s="588"/>
      <c r="AH91" s="842"/>
      <c r="AI91" s="1065">
        <f t="shared" si="12"/>
        <v>3.36</v>
      </c>
      <c r="AJ91" s="949">
        <v>0</v>
      </c>
      <c r="AK91" s="581">
        <f t="shared" si="13"/>
        <v>3.36</v>
      </c>
      <c r="AL91" s="746" t="s">
        <v>1560</v>
      </c>
      <c r="AM91" s="743">
        <f t="shared" si="14"/>
        <v>0</v>
      </c>
    </row>
    <row r="92" spans="1:39" s="560" customFormat="1">
      <c r="A92" s="604" t="s">
        <v>716</v>
      </c>
      <c r="B92" s="604" t="s">
        <v>1177</v>
      </c>
      <c r="C92" s="614" t="s">
        <v>36</v>
      </c>
      <c r="D92" s="580"/>
      <c r="E92" s="581"/>
      <c r="F92" s="778"/>
      <c r="G92" s="581"/>
      <c r="H92" s="581"/>
      <c r="I92" s="949"/>
      <c r="J92" s="949"/>
      <c r="K92" s="949"/>
      <c r="L92" s="575"/>
      <c r="M92" s="778"/>
      <c r="N92" s="575"/>
      <c r="O92" s="575"/>
      <c r="P92" s="575"/>
      <c r="Q92" s="583"/>
      <c r="R92" s="583"/>
      <c r="S92" s="575"/>
      <c r="T92" s="778"/>
      <c r="U92" s="575"/>
      <c r="V92" s="575"/>
      <c r="W92" s="575"/>
      <c r="X92" s="583"/>
      <c r="Y92" s="1043">
        <v>15</v>
      </c>
      <c r="Z92" s="1043">
        <v>15</v>
      </c>
      <c r="AA92" s="778"/>
      <c r="AB92" s="1043">
        <f>7.4*0.6</f>
        <v>4.4400000000000004</v>
      </c>
      <c r="AC92" s="1043">
        <f>(2*4.76*0.2+2*7.36*0.2+2*4.2*0.2+2*2.37*0.2)-3.57</f>
        <v>3.906000000000001</v>
      </c>
      <c r="AD92" s="575"/>
      <c r="AE92" s="753"/>
      <c r="AF92" s="575"/>
      <c r="AG92" s="588"/>
      <c r="AH92" s="842"/>
      <c r="AI92" s="1065">
        <f t="shared" si="12"/>
        <v>38.35</v>
      </c>
      <c r="AJ92" s="949">
        <v>0</v>
      </c>
      <c r="AK92" s="581">
        <f t="shared" si="13"/>
        <v>38.35</v>
      </c>
      <c r="AL92" s="746" t="s">
        <v>1561</v>
      </c>
      <c r="AM92" s="743">
        <f t="shared" si="14"/>
        <v>0</v>
      </c>
    </row>
    <row r="93" spans="1:39" s="560" customFormat="1">
      <c r="A93" s="604" t="s">
        <v>717</v>
      </c>
      <c r="B93" s="604" t="s">
        <v>1178</v>
      </c>
      <c r="C93" s="614" t="s">
        <v>47</v>
      </c>
      <c r="D93" s="580"/>
      <c r="E93" s="581"/>
      <c r="F93" s="778"/>
      <c r="G93" s="581"/>
      <c r="H93" s="581"/>
      <c r="I93" s="949"/>
      <c r="J93" s="949"/>
      <c r="K93" s="949"/>
      <c r="L93" s="575"/>
      <c r="M93" s="778"/>
      <c r="N93" s="575"/>
      <c r="O93" s="575"/>
      <c r="P93" s="575"/>
      <c r="Q93" s="583"/>
      <c r="R93" s="583"/>
      <c r="S93" s="575"/>
      <c r="T93" s="778"/>
      <c r="U93" s="575"/>
      <c r="V93" s="575"/>
      <c r="W93" s="575"/>
      <c r="X93" s="583"/>
      <c r="Y93" s="1043">
        <v>65.34</v>
      </c>
      <c r="Z93" s="1043">
        <v>65.34</v>
      </c>
      <c r="AA93" s="778"/>
      <c r="AB93" s="1043">
        <f>2*14*0.99+0.65*140*0.599+4*7.35*0.99+0.65*74*0.599</f>
        <v>140.14689999999999</v>
      </c>
      <c r="AC93" s="1043">
        <f>(20.24+20.82)-34.93</f>
        <v>6.1300000000000026</v>
      </c>
      <c r="AD93" s="575"/>
      <c r="AE93" s="753"/>
      <c r="AF93" s="575"/>
      <c r="AG93" s="588"/>
      <c r="AH93" s="842"/>
      <c r="AI93" s="1065">
        <f t="shared" si="12"/>
        <v>276.95999999999998</v>
      </c>
      <c r="AJ93" s="949">
        <v>0</v>
      </c>
      <c r="AK93" s="581">
        <f t="shared" si="13"/>
        <v>276.95999999999998</v>
      </c>
      <c r="AL93" s="746" t="s">
        <v>1562</v>
      </c>
      <c r="AM93" s="743">
        <f t="shared" si="14"/>
        <v>0</v>
      </c>
    </row>
    <row r="94" spans="1:39" s="560" customFormat="1">
      <c r="A94" s="604" t="s">
        <v>718</v>
      </c>
      <c r="B94" s="604" t="s">
        <v>1179</v>
      </c>
      <c r="C94" s="614" t="s">
        <v>1436</v>
      </c>
      <c r="D94" s="580"/>
      <c r="E94" s="581"/>
      <c r="F94" s="778"/>
      <c r="G94" s="581"/>
      <c r="H94" s="581"/>
      <c r="I94" s="949"/>
      <c r="J94" s="949"/>
      <c r="K94" s="949"/>
      <c r="L94" s="575"/>
      <c r="M94" s="778"/>
      <c r="N94" s="575"/>
      <c r="O94" s="575"/>
      <c r="P94" s="575"/>
      <c r="Q94" s="583"/>
      <c r="R94" s="583"/>
      <c r="S94" s="575"/>
      <c r="T94" s="778"/>
      <c r="U94" s="575"/>
      <c r="V94" s="575"/>
      <c r="W94" s="575"/>
      <c r="X94" s="583"/>
      <c r="Y94" s="575"/>
      <c r="Z94" s="575"/>
      <c r="AA94" s="778"/>
      <c r="AB94" s="583"/>
      <c r="AC94" s="1043">
        <v>245</v>
      </c>
      <c r="AD94" s="575"/>
      <c r="AE94" s="753"/>
      <c r="AF94" s="575"/>
      <c r="AG94" s="588"/>
      <c r="AH94" s="842"/>
      <c r="AI94" s="1065">
        <f t="shared" si="12"/>
        <v>245</v>
      </c>
      <c r="AJ94" s="949">
        <v>0</v>
      </c>
      <c r="AK94" s="581">
        <f t="shared" si="13"/>
        <v>245</v>
      </c>
      <c r="AL94" s="746" t="s">
        <v>1563</v>
      </c>
      <c r="AM94" s="743">
        <f t="shared" si="14"/>
        <v>74.480000000000018</v>
      </c>
    </row>
    <row r="95" spans="1:39" s="560" customFormat="1">
      <c r="A95" s="607" t="s">
        <v>725</v>
      </c>
      <c r="B95" s="607" t="s">
        <v>1186</v>
      </c>
      <c r="C95" s="614"/>
      <c r="D95" s="580"/>
      <c r="E95" s="581"/>
      <c r="F95" s="778"/>
      <c r="G95" s="581"/>
      <c r="H95" s="581"/>
      <c r="I95" s="949"/>
      <c r="J95" s="949"/>
      <c r="K95" s="949"/>
      <c r="L95" s="575"/>
      <c r="M95" s="778"/>
      <c r="N95" s="575"/>
      <c r="O95" s="575"/>
      <c r="P95" s="575"/>
      <c r="Q95" s="583"/>
      <c r="R95" s="583"/>
      <c r="S95" s="575"/>
      <c r="T95" s="778"/>
      <c r="U95" s="575"/>
      <c r="V95" s="575"/>
      <c r="W95" s="575"/>
      <c r="X95" s="575"/>
      <c r="Y95" s="575"/>
      <c r="Z95" s="575"/>
      <c r="AA95" s="778"/>
      <c r="AB95" s="575"/>
      <c r="AC95" s="575"/>
      <c r="AD95" s="575"/>
      <c r="AE95" s="753"/>
      <c r="AF95" s="575"/>
      <c r="AG95" s="588"/>
      <c r="AH95" s="842"/>
      <c r="AI95" s="738">
        <f t="shared" si="12"/>
        <v>0</v>
      </c>
      <c r="AJ95" s="949">
        <v>0</v>
      </c>
      <c r="AK95" s="581">
        <f t="shared" si="13"/>
        <v>0</v>
      </c>
      <c r="AL95" s="746"/>
      <c r="AM95" s="743">
        <f t="shared" si="14"/>
        <v>0</v>
      </c>
    </row>
    <row r="96" spans="1:39" s="560" customFormat="1">
      <c r="A96" s="604" t="s">
        <v>727</v>
      </c>
      <c r="B96" s="604" t="s">
        <v>224</v>
      </c>
      <c r="C96" s="614" t="s">
        <v>1436</v>
      </c>
      <c r="D96" s="580"/>
      <c r="E96" s="581"/>
      <c r="F96" s="778"/>
      <c r="G96" s="581"/>
      <c r="H96" s="581"/>
      <c r="I96" s="949"/>
      <c r="J96" s="949"/>
      <c r="K96" s="949"/>
      <c r="L96" s="575"/>
      <c r="M96" s="778"/>
      <c r="N96" s="575"/>
      <c r="O96" s="575"/>
      <c r="P96" s="575"/>
      <c r="Q96" s="583"/>
      <c r="R96" s="583"/>
      <c r="S96" s="575"/>
      <c r="T96" s="778"/>
      <c r="U96" s="575"/>
      <c r="V96" s="575"/>
      <c r="W96" s="575"/>
      <c r="X96" s="575"/>
      <c r="Y96" s="575"/>
      <c r="Z96" s="575"/>
      <c r="AA96" s="778"/>
      <c r="AB96" s="575"/>
      <c r="AC96" s="575"/>
      <c r="AD96" s="575"/>
      <c r="AE96" s="753"/>
      <c r="AF96" s="575"/>
      <c r="AG96" s="1038">
        <v>2</v>
      </c>
      <c r="AH96" s="843"/>
      <c r="AI96" s="1065">
        <f t="shared" si="12"/>
        <v>2</v>
      </c>
      <c r="AJ96" s="949">
        <v>0</v>
      </c>
      <c r="AK96" s="581">
        <f t="shared" si="13"/>
        <v>2</v>
      </c>
      <c r="AL96" s="746" t="s">
        <v>1479</v>
      </c>
      <c r="AM96" s="743">
        <f t="shared" si="14"/>
        <v>13</v>
      </c>
    </row>
    <row r="97" spans="1:39" s="782" customFormat="1">
      <c r="A97" s="868" t="s">
        <v>728</v>
      </c>
      <c r="B97" s="869" t="s">
        <v>1197</v>
      </c>
      <c r="C97" s="898"/>
      <c r="D97" s="580"/>
      <c r="E97" s="581"/>
      <c r="F97" s="778"/>
      <c r="G97" s="581"/>
      <c r="H97" s="581"/>
      <c r="I97" s="949"/>
      <c r="J97" s="949"/>
      <c r="K97" s="949"/>
      <c r="L97" s="575"/>
      <c r="M97" s="778"/>
      <c r="N97" s="575"/>
      <c r="O97" s="575"/>
      <c r="P97" s="575"/>
      <c r="Q97" s="583"/>
      <c r="R97" s="583"/>
      <c r="S97" s="575"/>
      <c r="T97" s="778"/>
      <c r="U97" s="575"/>
      <c r="V97" s="575"/>
      <c r="W97" s="575"/>
      <c r="X97" s="575"/>
      <c r="Y97" s="575"/>
      <c r="Z97" s="575"/>
      <c r="AA97" s="778"/>
      <c r="AB97" s="575"/>
      <c r="AC97" s="575"/>
      <c r="AD97" s="575"/>
      <c r="AE97" s="753"/>
      <c r="AF97" s="575"/>
      <c r="AG97" s="588"/>
      <c r="AH97" s="842"/>
      <c r="AI97" s="738">
        <f t="shared" si="12"/>
        <v>0</v>
      </c>
      <c r="AJ97" s="777">
        <v>0</v>
      </c>
      <c r="AK97" s="778">
        <f t="shared" si="13"/>
        <v>0</v>
      </c>
      <c r="AL97" s="780"/>
      <c r="AM97" s="781">
        <f t="shared" si="14"/>
        <v>0</v>
      </c>
    </row>
    <row r="98" spans="1:39" s="560" customFormat="1">
      <c r="A98" s="607" t="s">
        <v>729</v>
      </c>
      <c r="B98" s="607" t="s">
        <v>45</v>
      </c>
      <c r="C98" s="690"/>
      <c r="D98" s="580"/>
      <c r="E98" s="581"/>
      <c r="F98" s="778"/>
      <c r="G98" s="581"/>
      <c r="H98" s="581"/>
      <c r="I98" s="949"/>
      <c r="J98" s="949"/>
      <c r="K98" s="949"/>
      <c r="L98" s="575"/>
      <c r="M98" s="778"/>
      <c r="N98" s="575"/>
      <c r="O98" s="575"/>
      <c r="P98" s="575"/>
      <c r="Q98" s="583"/>
      <c r="R98" s="583"/>
      <c r="S98" s="575"/>
      <c r="T98" s="778"/>
      <c r="U98" s="575"/>
      <c r="V98" s="575"/>
      <c r="W98" s="575"/>
      <c r="X98" s="575"/>
      <c r="Y98" s="575"/>
      <c r="Z98" s="575"/>
      <c r="AA98" s="778"/>
      <c r="AB98" s="575"/>
      <c r="AC98" s="575"/>
      <c r="AD98" s="575"/>
      <c r="AE98" s="753"/>
      <c r="AF98" s="575"/>
      <c r="AG98" s="588"/>
      <c r="AH98" s="842"/>
      <c r="AI98" s="738">
        <f t="shared" si="12"/>
        <v>0</v>
      </c>
      <c r="AJ98" s="949">
        <v>0</v>
      </c>
      <c r="AK98" s="581">
        <f t="shared" si="13"/>
        <v>0</v>
      </c>
      <c r="AL98" s="746"/>
      <c r="AM98" s="743">
        <f t="shared" si="14"/>
        <v>0</v>
      </c>
    </row>
    <row r="99" spans="1:39" s="560" customFormat="1">
      <c r="A99" s="604" t="s">
        <v>730</v>
      </c>
      <c r="B99" s="604" t="s">
        <v>1198</v>
      </c>
      <c r="C99" s="614" t="s">
        <v>39</v>
      </c>
      <c r="D99" s="580"/>
      <c r="E99" s="1035">
        <f>1.1*1.1*1</f>
        <v>1.2100000000000002</v>
      </c>
      <c r="F99" s="778"/>
      <c r="G99" s="581"/>
      <c r="H99" s="581"/>
      <c r="I99" s="949"/>
      <c r="J99" s="949"/>
      <c r="K99" s="949"/>
      <c r="L99" s="575"/>
      <c r="M99" s="778"/>
      <c r="N99" s="575"/>
      <c r="O99" s="575"/>
      <c r="P99" s="575"/>
      <c r="Q99" s="583"/>
      <c r="R99" s="583"/>
      <c r="S99" s="575"/>
      <c r="T99" s="778"/>
      <c r="U99" s="575"/>
      <c r="V99" s="583"/>
      <c r="W99" s="575"/>
      <c r="X99" s="1043">
        <f>3.5*3*1.3</f>
        <v>13.65</v>
      </c>
      <c r="Y99" s="575"/>
      <c r="Z99" s="575"/>
      <c r="AA99" s="778"/>
      <c r="AB99" s="583"/>
      <c r="AC99" s="575"/>
      <c r="AD99" s="575"/>
      <c r="AE99" s="753"/>
      <c r="AF99" s="575"/>
      <c r="AG99" s="588"/>
      <c r="AH99" s="842"/>
      <c r="AI99" s="1065">
        <f t="shared" si="12"/>
        <v>14.86</v>
      </c>
      <c r="AJ99" s="949">
        <v>0</v>
      </c>
      <c r="AK99" s="581">
        <f t="shared" si="13"/>
        <v>14.86</v>
      </c>
      <c r="AL99" s="750" t="s">
        <v>1569</v>
      </c>
      <c r="AM99" s="743">
        <f t="shared" si="14"/>
        <v>452.53</v>
      </c>
    </row>
    <row r="100" spans="1:39" s="560" customFormat="1">
      <c r="A100" s="607" t="s">
        <v>734</v>
      </c>
      <c r="B100" s="607" t="s">
        <v>1155</v>
      </c>
      <c r="C100" s="690"/>
      <c r="D100" s="580"/>
      <c r="E100" s="581"/>
      <c r="F100" s="778"/>
      <c r="G100" s="581"/>
      <c r="H100" s="581"/>
      <c r="I100" s="949"/>
      <c r="J100" s="949"/>
      <c r="K100" s="949"/>
      <c r="L100" s="575"/>
      <c r="M100" s="778"/>
      <c r="N100" s="583"/>
      <c r="O100" s="583"/>
      <c r="P100" s="575"/>
      <c r="Q100" s="583"/>
      <c r="R100" s="583"/>
      <c r="S100" s="575"/>
      <c r="T100" s="778"/>
      <c r="U100" s="575"/>
      <c r="V100" s="575"/>
      <c r="W100" s="575"/>
      <c r="X100" s="575"/>
      <c r="Y100" s="575"/>
      <c r="Z100" s="575"/>
      <c r="AA100" s="778"/>
      <c r="AB100" s="575"/>
      <c r="AC100" s="575"/>
      <c r="AD100" s="575"/>
      <c r="AE100" s="753"/>
      <c r="AF100" s="575"/>
      <c r="AG100" s="588"/>
      <c r="AH100" s="842"/>
      <c r="AI100" s="738">
        <f t="shared" si="12"/>
        <v>0</v>
      </c>
      <c r="AJ100" s="949">
        <v>0</v>
      </c>
      <c r="AK100" s="581">
        <f t="shared" si="13"/>
        <v>0</v>
      </c>
      <c r="AL100" s="750"/>
      <c r="AM100" s="743">
        <f t="shared" si="14"/>
        <v>0</v>
      </c>
    </row>
    <row r="101" spans="1:39" s="560" customFormat="1">
      <c r="A101" s="604" t="s">
        <v>735</v>
      </c>
      <c r="B101" s="604" t="s">
        <v>1163</v>
      </c>
      <c r="C101" s="690"/>
      <c r="D101" s="580"/>
      <c r="E101" s="581"/>
      <c r="F101" s="778"/>
      <c r="G101" s="581"/>
      <c r="H101" s="581"/>
      <c r="I101" s="949"/>
      <c r="J101" s="949"/>
      <c r="K101" s="949"/>
      <c r="L101" s="575"/>
      <c r="M101" s="778"/>
      <c r="N101" s="583"/>
      <c r="O101" s="583"/>
      <c r="P101" s="575"/>
      <c r="Q101" s="583"/>
      <c r="R101" s="583"/>
      <c r="S101" s="575"/>
      <c r="T101" s="778"/>
      <c r="U101" s="575"/>
      <c r="V101" s="575"/>
      <c r="W101" s="575"/>
      <c r="X101" s="575"/>
      <c r="Y101" s="575"/>
      <c r="Z101" s="575"/>
      <c r="AA101" s="778"/>
      <c r="AB101" s="575"/>
      <c r="AC101" s="575"/>
      <c r="AD101" s="575"/>
      <c r="AE101" s="753"/>
      <c r="AF101" s="575"/>
      <c r="AG101" s="588"/>
      <c r="AH101" s="842"/>
      <c r="AI101" s="738">
        <f t="shared" si="12"/>
        <v>0</v>
      </c>
      <c r="AJ101" s="949">
        <v>0</v>
      </c>
      <c r="AK101" s="581">
        <f t="shared" si="13"/>
        <v>0</v>
      </c>
      <c r="AL101" s="750"/>
      <c r="AM101" s="743">
        <f t="shared" si="14"/>
        <v>0</v>
      </c>
    </row>
    <row r="102" spans="1:39" s="560" customFormat="1">
      <c r="A102" s="604" t="s">
        <v>736</v>
      </c>
      <c r="B102" s="604" t="s">
        <v>1194</v>
      </c>
      <c r="C102" s="614" t="s">
        <v>39</v>
      </c>
      <c r="D102" s="580"/>
      <c r="E102" s="581"/>
      <c r="F102" s="778"/>
      <c r="G102" s="581"/>
      <c r="H102" s="581"/>
      <c r="I102" s="949"/>
      <c r="J102" s="949"/>
      <c r="K102" s="1034">
        <f>0.25*0.3*3.8</f>
        <v>0.28499999999999998</v>
      </c>
      <c r="L102" s="583"/>
      <c r="M102" s="778"/>
      <c r="N102" s="949"/>
      <c r="P102" s="741"/>
      <c r="Q102" s="741"/>
      <c r="R102" s="741"/>
      <c r="S102" s="583"/>
      <c r="T102" s="778"/>
      <c r="U102" s="583"/>
      <c r="V102" s="583"/>
      <c r="W102" s="741"/>
      <c r="X102" s="741"/>
      <c r="Y102" s="583"/>
      <c r="Z102" s="741"/>
      <c r="AA102" s="778"/>
      <c r="AB102" s="741"/>
      <c r="AC102" s="741"/>
      <c r="AD102" s="741"/>
      <c r="AE102" s="949"/>
      <c r="AF102" s="949"/>
      <c r="AG102" s="949"/>
      <c r="AH102" s="843"/>
      <c r="AI102" s="1065">
        <f t="shared" si="12"/>
        <v>0.28999999999999998</v>
      </c>
      <c r="AJ102" s="949">
        <v>0</v>
      </c>
      <c r="AK102" s="581">
        <f t="shared" si="13"/>
        <v>0.28999999999999998</v>
      </c>
      <c r="AL102" s="750" t="s">
        <v>1572</v>
      </c>
      <c r="AM102" s="743">
        <f t="shared" si="14"/>
        <v>4.5999999999999996</v>
      </c>
    </row>
    <row r="103" spans="1:39" s="560" customFormat="1">
      <c r="A103" s="604" t="s">
        <v>737</v>
      </c>
      <c r="B103" s="604" t="s">
        <v>1165</v>
      </c>
      <c r="C103" s="614" t="s">
        <v>36</v>
      </c>
      <c r="D103" s="580"/>
      <c r="E103" s="581"/>
      <c r="F103" s="778"/>
      <c r="G103" s="581"/>
      <c r="H103" s="581"/>
      <c r="I103" s="949"/>
      <c r="J103" s="949"/>
      <c r="K103" s="1034">
        <f>8*3.8*0.39</f>
        <v>11.856</v>
      </c>
      <c r="L103" s="575"/>
      <c r="M103" s="778"/>
      <c r="N103" s="583"/>
      <c r="O103" s="949"/>
      <c r="P103" s="588"/>
      <c r="Q103" s="949"/>
      <c r="R103" s="949"/>
      <c r="S103" s="949"/>
      <c r="T103" s="778"/>
      <c r="U103" s="949"/>
      <c r="V103" s="949"/>
      <c r="W103" s="588"/>
      <c r="X103" s="949"/>
      <c r="Y103" s="588"/>
      <c r="Z103" s="588"/>
      <c r="AA103" s="778"/>
      <c r="AB103" s="588"/>
      <c r="AC103" s="949"/>
      <c r="AD103" s="588"/>
      <c r="AE103" s="926"/>
      <c r="AF103" s="588"/>
      <c r="AG103" s="588"/>
      <c r="AH103" s="842"/>
      <c r="AI103" s="1065">
        <f t="shared" si="12"/>
        <v>11.86</v>
      </c>
      <c r="AJ103" s="949">
        <v>0</v>
      </c>
      <c r="AK103" s="581">
        <f t="shared" si="13"/>
        <v>11.86</v>
      </c>
      <c r="AL103" s="750" t="s">
        <v>1573</v>
      </c>
      <c r="AM103" s="743">
        <f t="shared" si="14"/>
        <v>64.83</v>
      </c>
    </row>
    <row r="104" spans="1:39" s="782" customFormat="1">
      <c r="A104" s="868" t="s">
        <v>749</v>
      </c>
      <c r="B104" s="869" t="s">
        <v>1203</v>
      </c>
      <c r="C104" s="898"/>
      <c r="D104" s="580"/>
      <c r="E104" s="581"/>
      <c r="F104" s="778"/>
      <c r="G104" s="581"/>
      <c r="H104" s="581"/>
      <c r="I104" s="949"/>
      <c r="J104" s="949"/>
      <c r="K104" s="949"/>
      <c r="L104" s="575"/>
      <c r="M104" s="778"/>
      <c r="N104" s="575"/>
      <c r="O104" s="575"/>
      <c r="P104" s="575"/>
      <c r="Q104" s="583"/>
      <c r="R104" s="583"/>
      <c r="S104" s="575"/>
      <c r="T104" s="778"/>
      <c r="U104" s="575"/>
      <c r="V104" s="575"/>
      <c r="W104" s="575"/>
      <c r="X104" s="575"/>
      <c r="Y104" s="575"/>
      <c r="Z104" s="575"/>
      <c r="AA104" s="778"/>
      <c r="AB104" s="575"/>
      <c r="AC104" s="575"/>
      <c r="AD104" s="575"/>
      <c r="AE104" s="753"/>
      <c r="AF104" s="575"/>
      <c r="AG104" s="588"/>
      <c r="AH104" s="842"/>
      <c r="AI104" s="738">
        <f t="shared" ref="AI104:AI126" si="15">ROUND((SUM(D104:AH104)),2)</f>
        <v>0</v>
      </c>
      <c r="AJ104" s="777">
        <v>0</v>
      </c>
      <c r="AK104" s="778">
        <f t="shared" si="13"/>
        <v>0</v>
      </c>
      <c r="AL104" s="901"/>
      <c r="AM104" s="781">
        <f t="shared" si="14"/>
        <v>0</v>
      </c>
    </row>
    <row r="105" spans="1:39" s="560" customFormat="1">
      <c r="A105" s="607" t="s">
        <v>750</v>
      </c>
      <c r="B105" s="607" t="s">
        <v>45</v>
      </c>
      <c r="C105" s="690"/>
      <c r="D105" s="580"/>
      <c r="E105" s="581"/>
      <c r="F105" s="778"/>
      <c r="G105" s="581"/>
      <c r="H105" s="581"/>
      <c r="I105" s="949"/>
      <c r="J105" s="949"/>
      <c r="K105" s="949"/>
      <c r="L105" s="575"/>
      <c r="M105" s="778"/>
      <c r="N105" s="575"/>
      <c r="O105" s="575"/>
      <c r="P105" s="575"/>
      <c r="Q105" s="583"/>
      <c r="R105" s="583"/>
      <c r="S105" s="575"/>
      <c r="T105" s="778"/>
      <c r="U105" s="575"/>
      <c r="V105" s="575"/>
      <c r="W105" s="575"/>
      <c r="X105" s="575"/>
      <c r="Y105" s="575"/>
      <c r="Z105" s="575"/>
      <c r="AA105" s="778"/>
      <c r="AB105" s="575"/>
      <c r="AC105" s="575"/>
      <c r="AD105" s="575"/>
      <c r="AE105" s="753"/>
      <c r="AF105" s="575"/>
      <c r="AG105" s="588"/>
      <c r="AH105" s="842"/>
      <c r="AI105" s="738">
        <f t="shared" si="15"/>
        <v>0</v>
      </c>
      <c r="AJ105" s="949">
        <v>0</v>
      </c>
      <c r="AK105" s="581">
        <f t="shared" si="13"/>
        <v>0</v>
      </c>
      <c r="AL105" s="750"/>
      <c r="AM105" s="743">
        <f t="shared" si="14"/>
        <v>0</v>
      </c>
    </row>
    <row r="106" spans="1:39" s="560" customFormat="1">
      <c r="A106" s="604" t="s">
        <v>751</v>
      </c>
      <c r="B106" s="604" t="s">
        <v>1198</v>
      </c>
      <c r="C106" s="614" t="s">
        <v>39</v>
      </c>
      <c r="D106" s="1030">
        <f>5*2.75*1.4</f>
        <v>19.25</v>
      </c>
      <c r="E106" s="581"/>
      <c r="F106" s="778"/>
      <c r="G106" s="581"/>
      <c r="H106" s="581"/>
      <c r="I106" s="949"/>
      <c r="J106" s="949"/>
      <c r="K106" s="949"/>
      <c r="L106" s="575"/>
      <c r="M106" s="778"/>
      <c r="N106" s="575"/>
      <c r="O106" s="575"/>
      <c r="P106" s="575"/>
      <c r="Q106" s="583"/>
      <c r="R106" s="583"/>
      <c r="S106" s="583"/>
      <c r="T106" s="778"/>
      <c r="U106" s="575"/>
      <c r="V106" s="575"/>
      <c r="W106" s="575"/>
      <c r="X106" s="575"/>
      <c r="Y106" s="1043">
        <f>2.5*3*1</f>
        <v>7.5</v>
      </c>
      <c r="Z106" s="1043">
        <f>1*3*1.8</f>
        <v>5.4</v>
      </c>
      <c r="AA106" s="778"/>
      <c r="AB106" s="575"/>
      <c r="AC106" s="575"/>
      <c r="AD106" s="575"/>
      <c r="AE106" s="753"/>
      <c r="AF106" s="575"/>
      <c r="AG106" s="1038">
        <f>3*1.5*2</f>
        <v>9</v>
      </c>
      <c r="AH106" s="1023"/>
      <c r="AI106" s="1065">
        <f t="shared" si="15"/>
        <v>41.15</v>
      </c>
      <c r="AJ106" s="949">
        <v>0</v>
      </c>
      <c r="AK106" s="581">
        <f t="shared" si="13"/>
        <v>41.15</v>
      </c>
      <c r="AL106" s="750" t="s">
        <v>1582</v>
      </c>
      <c r="AM106" s="743">
        <f t="shared" si="14"/>
        <v>400.49</v>
      </c>
    </row>
    <row r="107" spans="1:39" s="560" customFormat="1">
      <c r="A107" s="607" t="s">
        <v>753</v>
      </c>
      <c r="B107" s="607" t="s">
        <v>1204</v>
      </c>
      <c r="C107" s="690"/>
      <c r="D107" s="580"/>
      <c r="E107" s="581"/>
      <c r="F107" s="778"/>
      <c r="G107" s="581"/>
      <c r="H107" s="581"/>
      <c r="I107" s="949"/>
      <c r="J107" s="949"/>
      <c r="K107" s="949"/>
      <c r="L107" s="575"/>
      <c r="M107" s="778"/>
      <c r="N107" s="575"/>
      <c r="O107" s="575"/>
      <c r="P107" s="575"/>
      <c r="Q107" s="583"/>
      <c r="R107" s="583"/>
      <c r="S107" s="575"/>
      <c r="T107" s="778"/>
      <c r="U107" s="575"/>
      <c r="V107" s="575"/>
      <c r="W107" s="575"/>
      <c r="X107" s="575"/>
      <c r="Y107" s="575"/>
      <c r="Z107" s="575"/>
      <c r="AA107" s="778"/>
      <c r="AB107" s="575"/>
      <c r="AC107" s="575"/>
      <c r="AD107" s="575"/>
      <c r="AE107" s="753"/>
      <c r="AF107" s="575"/>
      <c r="AG107" s="588"/>
      <c r="AH107" s="842"/>
      <c r="AI107" s="738">
        <f t="shared" si="15"/>
        <v>0</v>
      </c>
      <c r="AJ107" s="949">
        <v>0</v>
      </c>
      <c r="AK107" s="581">
        <f t="shared" si="13"/>
        <v>0</v>
      </c>
      <c r="AL107" s="750"/>
      <c r="AM107" s="743">
        <f t="shared" si="14"/>
        <v>0</v>
      </c>
    </row>
    <row r="108" spans="1:39" s="560" customFormat="1">
      <c r="A108" s="604" t="s">
        <v>754</v>
      </c>
      <c r="B108" s="604" t="s">
        <v>1205</v>
      </c>
      <c r="C108" s="614" t="s">
        <v>39</v>
      </c>
      <c r="D108" s="580"/>
      <c r="E108" s="581"/>
      <c r="F108" s="778"/>
      <c r="G108" s="581"/>
      <c r="H108" s="1035">
        <f>6.75*1.5*0.5</f>
        <v>5.0625</v>
      </c>
      <c r="I108" s="949"/>
      <c r="J108" s="1034">
        <f>6.75*1.8*0.25</f>
        <v>3.0375000000000001</v>
      </c>
      <c r="K108" s="949"/>
      <c r="L108" s="575"/>
      <c r="M108" s="778"/>
      <c r="N108" s="575"/>
      <c r="O108" s="575"/>
      <c r="P108" s="575"/>
      <c r="Q108" s="583"/>
      <c r="R108" s="583"/>
      <c r="S108" s="575"/>
      <c r="T108" s="778"/>
      <c r="U108" s="575"/>
      <c r="V108" s="575"/>
      <c r="W108" s="575"/>
      <c r="X108" s="583"/>
      <c r="Y108" s="575"/>
      <c r="Z108" s="583"/>
      <c r="AA108" s="778"/>
      <c r="AB108" s="583"/>
      <c r="AC108" s="575"/>
      <c r="AD108" s="583"/>
      <c r="AE108" s="1043">
        <f>6.7*1.6*0.25</f>
        <v>2.68</v>
      </c>
      <c r="AF108" s="575"/>
      <c r="AG108" s="588"/>
      <c r="AH108" s="842"/>
      <c r="AI108" s="1065">
        <f t="shared" si="15"/>
        <v>10.78</v>
      </c>
      <c r="AJ108" s="949">
        <v>0</v>
      </c>
      <c r="AK108" s="581">
        <f t="shared" si="13"/>
        <v>10.78</v>
      </c>
      <c r="AL108" s="750" t="s">
        <v>1584</v>
      </c>
      <c r="AM108" s="743">
        <f t="shared" si="14"/>
        <v>193.23</v>
      </c>
    </row>
    <row r="109" spans="1:39" s="560" customFormat="1">
      <c r="A109" s="604" t="s">
        <v>755</v>
      </c>
      <c r="B109" s="604" t="s">
        <v>1206</v>
      </c>
      <c r="C109" s="614" t="s">
        <v>36</v>
      </c>
      <c r="D109" s="580"/>
      <c r="E109" s="581"/>
      <c r="F109" s="778"/>
      <c r="G109" s="581"/>
      <c r="I109" s="1034">
        <f>6.75*1.8*2</f>
        <v>24.3</v>
      </c>
      <c r="J109" s="949"/>
      <c r="K109" s="949"/>
      <c r="L109" s="575"/>
      <c r="M109" s="778"/>
      <c r="N109" s="575"/>
      <c r="O109" s="575"/>
      <c r="P109" s="575"/>
      <c r="Q109" s="583"/>
      <c r="R109" s="583"/>
      <c r="S109" s="575"/>
      <c r="T109" s="778"/>
      <c r="U109" s="575"/>
      <c r="V109" s="575"/>
      <c r="W109" s="575"/>
      <c r="X109" s="583"/>
      <c r="Y109" s="583"/>
      <c r="Z109" s="583"/>
      <c r="AA109" s="778"/>
      <c r="AB109" s="575"/>
      <c r="AC109" s="583"/>
      <c r="AD109" s="1043">
        <f>6.75*1.57*2</f>
        <v>21.195</v>
      </c>
      <c r="AE109" s="753"/>
      <c r="AF109" s="575"/>
      <c r="AG109" s="588"/>
      <c r="AH109" s="842"/>
      <c r="AI109" s="1065">
        <f t="shared" si="15"/>
        <v>45.5</v>
      </c>
      <c r="AJ109" s="949">
        <v>0</v>
      </c>
      <c r="AK109" s="581">
        <f t="shared" si="13"/>
        <v>45.5</v>
      </c>
      <c r="AL109" s="750" t="s">
        <v>1585</v>
      </c>
      <c r="AM109" s="743">
        <f t="shared" si="14"/>
        <v>504.94000000000005</v>
      </c>
    </row>
    <row r="110" spans="1:39" s="560" customFormat="1">
      <c r="A110" s="604" t="s">
        <v>756</v>
      </c>
      <c r="B110" s="604" t="s">
        <v>1207</v>
      </c>
      <c r="C110" s="614" t="s">
        <v>47</v>
      </c>
      <c r="D110" s="580"/>
      <c r="E110" s="581"/>
      <c r="F110" s="778"/>
      <c r="G110" s="1035">
        <v>157.81</v>
      </c>
      <c r="H110" s="1035">
        <v>133.41</v>
      </c>
      <c r="I110" s="949"/>
      <c r="J110" s="949"/>
      <c r="K110" s="949"/>
      <c r="L110" s="583"/>
      <c r="M110" s="778"/>
      <c r="N110" s="583"/>
      <c r="O110" s="583"/>
      <c r="P110" s="583"/>
      <c r="Q110" s="583"/>
      <c r="R110" s="583"/>
      <c r="S110" s="583"/>
      <c r="T110" s="778"/>
      <c r="U110" s="583"/>
      <c r="V110" s="583"/>
      <c r="W110" s="583"/>
      <c r="X110" s="583"/>
      <c r="Y110" s="583"/>
      <c r="Z110" s="1043">
        <f>12*9*0.99</f>
        <v>106.92</v>
      </c>
      <c r="AA110" s="778"/>
      <c r="AB110" s="583"/>
      <c r="AC110" s="583"/>
      <c r="AD110" s="583"/>
      <c r="AE110" s="583"/>
      <c r="AF110" s="583"/>
      <c r="AG110" s="949"/>
      <c r="AH110" s="843"/>
      <c r="AI110" s="1065">
        <f t="shared" si="15"/>
        <v>398.14</v>
      </c>
      <c r="AJ110" s="949">
        <v>0</v>
      </c>
      <c r="AK110" s="581">
        <f t="shared" si="13"/>
        <v>398.14</v>
      </c>
      <c r="AL110" s="750" t="s">
        <v>1586</v>
      </c>
      <c r="AM110" s="743">
        <f t="shared" si="14"/>
        <v>15050.6</v>
      </c>
    </row>
    <row r="111" spans="1:39" s="560" customFormat="1">
      <c r="A111" s="607" t="s">
        <v>757</v>
      </c>
      <c r="B111" s="607" t="s">
        <v>1186</v>
      </c>
      <c r="C111" s="690"/>
      <c r="D111" s="580"/>
      <c r="E111" s="581"/>
      <c r="F111" s="778"/>
      <c r="G111" s="581"/>
      <c r="H111" s="581"/>
      <c r="I111" s="949"/>
      <c r="J111" s="949"/>
      <c r="K111" s="949"/>
      <c r="L111" s="575"/>
      <c r="M111" s="778"/>
      <c r="N111" s="575"/>
      <c r="O111" s="575"/>
      <c r="P111" s="575"/>
      <c r="Q111" s="583"/>
      <c r="R111" s="583"/>
      <c r="S111" s="575"/>
      <c r="T111" s="778"/>
      <c r="U111" s="575"/>
      <c r="V111" s="575"/>
      <c r="W111" s="575"/>
      <c r="X111" s="575"/>
      <c r="Y111" s="575"/>
      <c r="Z111" s="575"/>
      <c r="AA111" s="778"/>
      <c r="AB111" s="575"/>
      <c r="AC111" s="575"/>
      <c r="AD111" s="575"/>
      <c r="AE111" s="753"/>
      <c r="AF111" s="575"/>
      <c r="AG111" s="588"/>
      <c r="AH111" s="842"/>
      <c r="AI111" s="738">
        <f t="shared" si="15"/>
        <v>0</v>
      </c>
      <c r="AJ111" s="949">
        <v>0</v>
      </c>
      <c r="AK111" s="581">
        <f t="shared" si="13"/>
        <v>0</v>
      </c>
      <c r="AL111" s="750"/>
      <c r="AM111" s="743">
        <f t="shared" si="14"/>
        <v>0</v>
      </c>
    </row>
    <row r="112" spans="1:39" s="560" customFormat="1">
      <c r="A112" s="604" t="s">
        <v>759</v>
      </c>
      <c r="B112" s="604" t="s">
        <v>224</v>
      </c>
      <c r="C112" s="614" t="s">
        <v>1436</v>
      </c>
      <c r="D112" s="580"/>
      <c r="E112" s="581"/>
      <c r="F112" s="778"/>
      <c r="G112" s="581"/>
      <c r="H112" s="581"/>
      <c r="I112" s="949"/>
      <c r="J112" s="949"/>
      <c r="K112" s="949"/>
      <c r="L112" s="575"/>
      <c r="M112" s="778"/>
      <c r="N112" s="575"/>
      <c r="O112" s="575"/>
      <c r="P112" s="575"/>
      <c r="Q112" s="583"/>
      <c r="R112" s="583"/>
      <c r="S112" s="575"/>
      <c r="T112" s="778"/>
      <c r="U112" s="575"/>
      <c r="V112" s="575"/>
      <c r="W112" s="575"/>
      <c r="X112" s="575"/>
      <c r="Y112" s="575"/>
      <c r="Z112" s="575"/>
      <c r="AA112" s="778"/>
      <c r="AB112" s="575"/>
      <c r="AC112" s="575"/>
      <c r="AD112" s="575"/>
      <c r="AE112" s="753"/>
      <c r="AF112" s="575"/>
      <c r="AG112" s="1038">
        <v>7</v>
      </c>
      <c r="AH112" s="843"/>
      <c r="AI112" s="1065">
        <f t="shared" si="15"/>
        <v>7</v>
      </c>
      <c r="AJ112" s="949">
        <v>0</v>
      </c>
      <c r="AK112" s="581">
        <f t="shared" si="13"/>
        <v>7</v>
      </c>
      <c r="AL112" s="750" t="s">
        <v>1588</v>
      </c>
      <c r="AM112" s="743">
        <f t="shared" si="14"/>
        <v>17</v>
      </c>
    </row>
    <row r="113" spans="1:39" s="560" customFormat="1">
      <c r="A113" s="868" t="s">
        <v>760</v>
      </c>
      <c r="B113" s="869" t="s">
        <v>1209</v>
      </c>
      <c r="C113" s="898"/>
      <c r="D113" s="580"/>
      <c r="E113" s="581"/>
      <c r="F113" s="778"/>
      <c r="G113" s="581"/>
      <c r="H113" s="581"/>
      <c r="I113" s="949"/>
      <c r="J113" s="949"/>
      <c r="K113" s="949"/>
      <c r="L113" s="575"/>
      <c r="M113" s="778"/>
      <c r="N113" s="575"/>
      <c r="O113" s="575"/>
      <c r="P113" s="575"/>
      <c r="Q113" s="583"/>
      <c r="R113" s="583"/>
      <c r="S113" s="575"/>
      <c r="T113" s="778"/>
      <c r="U113" s="575"/>
      <c r="V113" s="575"/>
      <c r="W113" s="575"/>
      <c r="X113" s="575"/>
      <c r="Y113" s="575"/>
      <c r="Z113" s="575"/>
      <c r="AA113" s="778"/>
      <c r="AB113" s="575"/>
      <c r="AC113" s="575"/>
      <c r="AD113" s="575"/>
      <c r="AE113" s="753"/>
      <c r="AF113" s="575"/>
      <c r="AG113" s="588"/>
      <c r="AH113" s="842"/>
      <c r="AI113" s="738">
        <f t="shared" si="15"/>
        <v>0</v>
      </c>
      <c r="AJ113" s="949">
        <v>0</v>
      </c>
      <c r="AK113" s="581">
        <f t="shared" si="13"/>
        <v>0</v>
      </c>
      <c r="AL113" s="750"/>
      <c r="AM113" s="743">
        <f t="shared" si="14"/>
        <v>0</v>
      </c>
    </row>
    <row r="114" spans="1:39" s="560" customFormat="1">
      <c r="A114" s="607" t="s">
        <v>761</v>
      </c>
      <c r="B114" s="607" t="s">
        <v>45</v>
      </c>
      <c r="C114" s="690"/>
      <c r="D114" s="580"/>
      <c r="E114" s="581"/>
      <c r="F114" s="778"/>
      <c r="G114" s="581"/>
      <c r="H114" s="581"/>
      <c r="I114" s="949"/>
      <c r="J114" s="949"/>
      <c r="K114" s="949"/>
      <c r="L114" s="575"/>
      <c r="M114" s="778"/>
      <c r="N114" s="575"/>
      <c r="O114" s="575"/>
      <c r="P114" s="575"/>
      <c r="Q114" s="583"/>
      <c r="R114" s="583"/>
      <c r="S114" s="575"/>
      <c r="T114" s="778"/>
      <c r="U114" s="575"/>
      <c r="V114" s="575"/>
      <c r="W114" s="575"/>
      <c r="X114" s="575"/>
      <c r="Y114" s="575"/>
      <c r="Z114" s="575"/>
      <c r="AA114" s="778"/>
      <c r="AB114" s="575"/>
      <c r="AC114" s="575"/>
      <c r="AD114" s="575"/>
      <c r="AE114" s="753"/>
      <c r="AF114" s="575"/>
      <c r="AG114" s="588"/>
      <c r="AH114" s="842"/>
      <c r="AI114" s="738">
        <f t="shared" si="15"/>
        <v>0</v>
      </c>
      <c r="AJ114" s="949">
        <v>0</v>
      </c>
      <c r="AK114" s="581">
        <f t="shared" si="13"/>
        <v>0</v>
      </c>
      <c r="AL114" s="750"/>
      <c r="AM114" s="743">
        <f t="shared" si="14"/>
        <v>0</v>
      </c>
    </row>
    <row r="115" spans="1:39" s="560" customFormat="1">
      <c r="A115" s="604" t="s">
        <v>762</v>
      </c>
      <c r="B115" s="604" t="s">
        <v>1198</v>
      </c>
      <c r="C115" s="614" t="s">
        <v>39</v>
      </c>
      <c r="D115" s="580"/>
      <c r="E115" s="581"/>
      <c r="F115" s="778"/>
      <c r="G115" s="581"/>
      <c r="H115" s="581"/>
      <c r="I115" s="949"/>
      <c r="J115" s="949"/>
      <c r="K115" s="949"/>
      <c r="L115" s="575"/>
      <c r="M115" s="778"/>
      <c r="N115" s="575"/>
      <c r="O115" s="575"/>
      <c r="P115" s="575"/>
      <c r="Q115" s="583"/>
      <c r="R115" s="583"/>
      <c r="S115" s="1043">
        <f>14.8*0.6*0.5</f>
        <v>4.4400000000000004</v>
      </c>
      <c r="T115" s="778"/>
      <c r="U115" s="575"/>
      <c r="V115" s="575"/>
      <c r="W115" s="575"/>
      <c r="X115" s="575"/>
      <c r="Y115" s="575"/>
      <c r="Z115" s="575"/>
      <c r="AA115" s="778"/>
      <c r="AB115" s="575"/>
      <c r="AC115" s="575"/>
      <c r="AD115" s="1043">
        <f>9.8*1.1*0.4</f>
        <v>4.3120000000000003</v>
      </c>
      <c r="AE115" s="753"/>
      <c r="AF115" s="575"/>
      <c r="AG115" s="588"/>
      <c r="AH115" s="842"/>
      <c r="AI115" s="1065">
        <f t="shared" si="15"/>
        <v>8.75</v>
      </c>
      <c r="AJ115" s="949">
        <v>0</v>
      </c>
      <c r="AK115" s="581">
        <f t="shared" si="13"/>
        <v>8.75</v>
      </c>
      <c r="AL115" s="750" t="s">
        <v>1589</v>
      </c>
      <c r="AM115" s="743">
        <f t="shared" si="14"/>
        <v>87.13</v>
      </c>
    </row>
    <row r="116" spans="1:39" s="560" customFormat="1">
      <c r="A116" s="607" t="s">
        <v>764</v>
      </c>
      <c r="B116" s="607" t="s">
        <v>1148</v>
      </c>
      <c r="C116" s="690"/>
      <c r="D116" s="580"/>
      <c r="E116" s="581"/>
      <c r="F116" s="778"/>
      <c r="G116" s="581"/>
      <c r="H116" s="581"/>
      <c r="I116" s="949"/>
      <c r="J116" s="949"/>
      <c r="K116" s="949"/>
      <c r="L116" s="575"/>
      <c r="M116" s="778"/>
      <c r="N116" s="741"/>
      <c r="O116" s="741"/>
      <c r="P116" s="741"/>
      <c r="Q116" s="741"/>
      <c r="R116" s="741"/>
      <c r="S116" s="741"/>
      <c r="T116" s="778"/>
      <c r="U116" s="575"/>
      <c r="V116" s="575"/>
      <c r="W116" s="575"/>
      <c r="X116" s="575"/>
      <c r="Y116" s="575"/>
      <c r="Z116" s="575"/>
      <c r="AA116" s="778"/>
      <c r="AB116" s="575"/>
      <c r="AC116" s="575"/>
      <c r="AD116" s="575"/>
      <c r="AE116" s="753"/>
      <c r="AF116" s="575"/>
      <c r="AG116" s="588"/>
      <c r="AH116" s="842"/>
      <c r="AI116" s="738">
        <f t="shared" si="15"/>
        <v>0</v>
      </c>
      <c r="AJ116" s="949">
        <v>0</v>
      </c>
      <c r="AK116" s="581">
        <f t="shared" si="13"/>
        <v>0</v>
      </c>
      <c r="AL116" s="750"/>
      <c r="AM116" s="743">
        <f t="shared" si="14"/>
        <v>0</v>
      </c>
    </row>
    <row r="117" spans="1:39" s="560" customFormat="1">
      <c r="A117" s="604" t="s">
        <v>765</v>
      </c>
      <c r="B117" s="604" t="s">
        <v>1190</v>
      </c>
      <c r="C117" s="614" t="s">
        <v>39</v>
      </c>
      <c r="D117" s="580"/>
      <c r="E117" s="581"/>
      <c r="F117" s="778"/>
      <c r="G117" s="581"/>
      <c r="H117" s="581"/>
      <c r="I117" s="949"/>
      <c r="J117" s="949"/>
      <c r="K117" s="949"/>
      <c r="L117" s="575"/>
      <c r="M117" s="778"/>
      <c r="N117" s="575"/>
      <c r="O117" s="583"/>
      <c r="P117" s="583"/>
      <c r="Q117" s="583"/>
      <c r="R117" s="583"/>
      <c r="S117" s="1043">
        <f>14.8*0.6*0.5</f>
        <v>4.4400000000000004</v>
      </c>
      <c r="T117" s="778"/>
      <c r="U117" s="583"/>
      <c r="V117" s="575"/>
      <c r="X117" s="583"/>
      <c r="Y117" s="575"/>
      <c r="Z117" s="575"/>
      <c r="AA117" s="778"/>
      <c r="AB117" s="575"/>
      <c r="AC117" s="575"/>
      <c r="AD117" s="575"/>
      <c r="AE117" s="753"/>
      <c r="AF117" s="1043">
        <f>14.5*1.2*0.15</f>
        <v>2.61</v>
      </c>
      <c r="AG117" s="588"/>
      <c r="AH117" s="842"/>
      <c r="AI117" s="1065">
        <f t="shared" si="15"/>
        <v>7.05</v>
      </c>
      <c r="AJ117" s="949">
        <v>0</v>
      </c>
      <c r="AK117" s="581">
        <f t="shared" si="13"/>
        <v>7.05</v>
      </c>
      <c r="AL117" s="750" t="s">
        <v>1591</v>
      </c>
      <c r="AM117" s="743">
        <f t="shared" si="14"/>
        <v>74.62</v>
      </c>
    </row>
    <row r="118" spans="1:39" s="560" customFormat="1" ht="13.8" thickBot="1">
      <c r="A118" s="604" t="s">
        <v>766</v>
      </c>
      <c r="B118" s="604" t="s">
        <v>1210</v>
      </c>
      <c r="C118" s="614" t="s">
        <v>36</v>
      </c>
      <c r="D118" s="580"/>
      <c r="E118" s="581"/>
      <c r="F118" s="778"/>
      <c r="G118" s="581"/>
      <c r="H118" s="581"/>
      <c r="I118" s="949"/>
      <c r="J118" s="949"/>
      <c r="K118" s="949"/>
      <c r="L118" s="575"/>
      <c r="M118" s="778"/>
      <c r="O118" s="802"/>
      <c r="P118" s="802"/>
      <c r="Q118" s="1006"/>
      <c r="R118" s="949"/>
      <c r="S118" s="802"/>
      <c r="T118" s="778"/>
      <c r="U118" s="802"/>
      <c r="V118" s="802"/>
      <c r="W118" s="802"/>
      <c r="X118" s="575"/>
      <c r="Y118" s="575"/>
      <c r="Z118" s="575"/>
      <c r="AA118" s="778"/>
      <c r="AB118" s="575"/>
      <c r="AC118" s="575"/>
      <c r="AD118" s="575"/>
      <c r="AE118" s="1043">
        <f>14.5*1.2*2</f>
        <v>34.799999999999997</v>
      </c>
      <c r="AF118" s="575"/>
      <c r="AG118" s="588"/>
      <c r="AH118" s="842"/>
      <c r="AI118" s="1065">
        <f t="shared" si="15"/>
        <v>34.799999999999997</v>
      </c>
      <c r="AJ118" s="949">
        <v>0</v>
      </c>
      <c r="AK118" s="581">
        <f t="shared" si="13"/>
        <v>34.799999999999997</v>
      </c>
      <c r="AL118" s="750" t="s">
        <v>1592</v>
      </c>
      <c r="AM118" s="743">
        <f t="shared" si="14"/>
        <v>186.57</v>
      </c>
    </row>
    <row r="119" spans="1:39" s="897" customFormat="1">
      <c r="A119" s="1016" t="s">
        <v>44</v>
      </c>
      <c r="B119" s="1016" t="s">
        <v>1220</v>
      </c>
      <c r="C119" s="1018"/>
      <c r="D119" s="580"/>
      <c r="E119" s="581"/>
      <c r="F119" s="778"/>
      <c r="G119" s="581"/>
      <c r="H119" s="581"/>
      <c r="I119" s="949"/>
      <c r="J119" s="949"/>
      <c r="K119" s="949"/>
      <c r="L119" s="575"/>
      <c r="M119" s="778"/>
      <c r="N119" s="575"/>
      <c r="O119" s="575"/>
      <c r="P119" s="575"/>
      <c r="Q119" s="583"/>
      <c r="R119" s="583"/>
      <c r="S119" s="575"/>
      <c r="T119" s="778"/>
      <c r="U119" s="575"/>
      <c r="V119" s="575"/>
      <c r="W119" s="575"/>
      <c r="X119" s="575"/>
      <c r="Y119" s="575"/>
      <c r="Z119" s="575"/>
      <c r="AA119" s="778"/>
      <c r="AB119" s="575"/>
      <c r="AC119" s="575"/>
      <c r="AD119" s="575"/>
      <c r="AE119" s="753"/>
      <c r="AF119" s="575"/>
      <c r="AG119" s="588"/>
      <c r="AH119" s="842"/>
      <c r="AI119" s="738">
        <f t="shared" si="15"/>
        <v>0</v>
      </c>
      <c r="AJ119" s="890">
        <v>0</v>
      </c>
      <c r="AK119" s="889">
        <f t="shared" ref="AK119:AK126" si="16">AI119+AJ119</f>
        <v>0</v>
      </c>
      <c r="AL119" s="902"/>
      <c r="AM119" s="896">
        <f t="shared" ref="AM119:AM126" si="17">AL119-AK119</f>
        <v>0</v>
      </c>
    </row>
    <row r="120" spans="1:39" s="560" customFormat="1">
      <c r="A120" s="492" t="s">
        <v>46</v>
      </c>
      <c r="B120" s="608" t="s">
        <v>1221</v>
      </c>
      <c r="C120" s="690"/>
      <c r="D120" s="580"/>
      <c r="E120" s="581"/>
      <c r="F120" s="778"/>
      <c r="G120" s="581"/>
      <c r="H120" s="581"/>
      <c r="I120" s="949"/>
      <c r="J120" s="949"/>
      <c r="K120" s="949"/>
      <c r="L120" s="575"/>
      <c r="M120" s="778"/>
      <c r="N120" s="575"/>
      <c r="O120" s="575"/>
      <c r="P120" s="575"/>
      <c r="Q120" s="583"/>
      <c r="R120" s="583"/>
      <c r="S120" s="575"/>
      <c r="T120" s="778"/>
      <c r="U120" s="575"/>
      <c r="V120" s="575"/>
      <c r="W120" s="575"/>
      <c r="X120" s="575"/>
      <c r="Y120" s="575"/>
      <c r="Z120" s="575"/>
      <c r="AA120" s="778"/>
      <c r="AB120" s="575"/>
      <c r="AC120" s="575"/>
      <c r="AD120" s="575"/>
      <c r="AE120" s="753"/>
      <c r="AF120" s="575"/>
      <c r="AG120" s="588"/>
      <c r="AH120" s="842"/>
      <c r="AI120" s="738">
        <f t="shared" si="15"/>
        <v>0</v>
      </c>
      <c r="AJ120" s="949">
        <v>0</v>
      </c>
      <c r="AK120" s="581">
        <f t="shared" si="16"/>
        <v>0</v>
      </c>
      <c r="AL120" s="750"/>
      <c r="AM120" s="743">
        <f t="shared" si="17"/>
        <v>0</v>
      </c>
    </row>
    <row r="121" spans="1:39" s="560" customFormat="1">
      <c r="A121" s="607" t="s">
        <v>48</v>
      </c>
      <c r="B121" s="607" t="s">
        <v>1222</v>
      </c>
      <c r="C121" s="690"/>
      <c r="D121" s="580"/>
      <c r="E121" s="581"/>
      <c r="F121" s="778"/>
      <c r="G121" s="581"/>
      <c r="H121" s="581"/>
      <c r="I121" s="949"/>
      <c r="J121" s="949"/>
      <c r="K121" s="949"/>
      <c r="L121" s="575"/>
      <c r="M121" s="778"/>
      <c r="N121" s="575"/>
      <c r="O121" s="575"/>
      <c r="P121" s="575"/>
      <c r="Q121" s="583"/>
      <c r="R121" s="583"/>
      <c r="S121" s="575"/>
      <c r="T121" s="778"/>
      <c r="U121" s="575"/>
      <c r="V121" s="575"/>
      <c r="W121" s="575"/>
      <c r="X121" s="575"/>
      <c r="Y121" s="575"/>
      <c r="Z121" s="575"/>
      <c r="AA121" s="778"/>
      <c r="AB121" s="575"/>
      <c r="AC121" s="575"/>
      <c r="AD121" s="575"/>
      <c r="AE121" s="753"/>
      <c r="AF121" s="575"/>
      <c r="AG121" s="588"/>
      <c r="AH121" s="842"/>
      <c r="AI121" s="738">
        <f t="shared" si="15"/>
        <v>0</v>
      </c>
      <c r="AJ121" s="949">
        <v>0</v>
      </c>
      <c r="AK121" s="581">
        <f t="shared" si="16"/>
        <v>0</v>
      </c>
      <c r="AL121" s="750"/>
      <c r="AM121" s="743">
        <f t="shared" si="17"/>
        <v>0</v>
      </c>
    </row>
    <row r="122" spans="1:39" s="560" customFormat="1">
      <c r="A122" s="604" t="s">
        <v>787</v>
      </c>
      <c r="B122" s="604" t="s">
        <v>1223</v>
      </c>
      <c r="C122" s="614" t="s">
        <v>36</v>
      </c>
      <c r="D122" s="580"/>
      <c r="E122" s="581"/>
      <c r="F122" s="778"/>
      <c r="G122" s="581"/>
      <c r="H122" s="581"/>
      <c r="I122" s="949"/>
      <c r="J122" s="949"/>
      <c r="K122" s="949"/>
      <c r="L122" s="575"/>
      <c r="M122" s="778"/>
      <c r="N122" s="575"/>
      <c r="O122" s="1043">
        <f>1.08*0.6+4.92*1.2</f>
        <v>6.5519999999999996</v>
      </c>
      <c r="P122" s="1043">
        <v>6.46</v>
      </c>
      <c r="Q122" s="1043">
        <v>5</v>
      </c>
      <c r="R122" s="583"/>
      <c r="S122" s="575"/>
      <c r="T122" s="778"/>
      <c r="U122" s="575"/>
      <c r="V122" s="575"/>
      <c r="W122" s="575"/>
      <c r="X122" s="583"/>
      <c r="Y122" s="575"/>
      <c r="Z122" s="575"/>
      <c r="AA122" s="778"/>
      <c r="AB122" s="575"/>
      <c r="AC122" s="575"/>
      <c r="AD122" s="575"/>
      <c r="AE122" s="753"/>
      <c r="AF122" s="575"/>
      <c r="AG122" s="588"/>
      <c r="AH122" s="842"/>
      <c r="AI122" s="1065">
        <f t="shared" si="15"/>
        <v>18.010000000000002</v>
      </c>
      <c r="AJ122" s="949">
        <v>0</v>
      </c>
      <c r="AK122" s="581">
        <f t="shared" si="16"/>
        <v>18.010000000000002</v>
      </c>
      <c r="AL122" s="750" t="s">
        <v>1605</v>
      </c>
      <c r="AM122" s="743">
        <f t="shared" si="17"/>
        <v>54.259999999999991</v>
      </c>
    </row>
    <row r="123" spans="1:39" s="560" customFormat="1">
      <c r="A123" s="607" t="s">
        <v>49</v>
      </c>
      <c r="B123" s="607" t="s">
        <v>1225</v>
      </c>
      <c r="C123" s="690"/>
      <c r="D123" s="580"/>
      <c r="E123" s="581"/>
      <c r="F123" s="778"/>
      <c r="G123" s="581"/>
      <c r="H123" s="581"/>
      <c r="I123" s="949"/>
      <c r="J123" s="949"/>
      <c r="K123" s="949"/>
      <c r="L123" s="575"/>
      <c r="M123" s="778"/>
      <c r="N123" s="575"/>
      <c r="O123" s="575"/>
      <c r="P123" s="575"/>
      <c r="Q123" s="583"/>
      <c r="R123" s="583"/>
      <c r="S123" s="575"/>
      <c r="T123" s="778"/>
      <c r="U123" s="575"/>
      <c r="V123" s="575"/>
      <c r="W123" s="575"/>
      <c r="X123" s="575"/>
      <c r="Y123" s="575"/>
      <c r="Z123" s="575"/>
      <c r="AA123" s="778"/>
      <c r="AB123" s="575"/>
      <c r="AC123" s="575"/>
      <c r="AD123" s="575"/>
      <c r="AE123" s="753"/>
      <c r="AF123" s="575"/>
      <c r="AG123" s="588"/>
      <c r="AH123" s="842"/>
      <c r="AI123" s="738">
        <f t="shared" si="15"/>
        <v>0</v>
      </c>
      <c r="AJ123" s="949">
        <v>0</v>
      </c>
      <c r="AK123" s="581">
        <f t="shared" si="16"/>
        <v>0</v>
      </c>
      <c r="AL123" s="750"/>
      <c r="AM123" s="743">
        <f t="shared" si="17"/>
        <v>0</v>
      </c>
    </row>
    <row r="124" spans="1:39" s="560" customFormat="1">
      <c r="A124" s="604" t="s">
        <v>794</v>
      </c>
      <c r="B124" s="604" t="s">
        <v>1231</v>
      </c>
      <c r="C124" s="614" t="s">
        <v>37</v>
      </c>
      <c r="D124" s="580"/>
      <c r="E124" s="581"/>
      <c r="F124" s="778"/>
      <c r="G124" s="581"/>
      <c r="H124" s="581"/>
      <c r="I124" s="949"/>
      <c r="J124" s="949"/>
      <c r="K124" s="949"/>
      <c r="L124" s="575"/>
      <c r="M124" s="778"/>
      <c r="N124" s="575"/>
      <c r="O124" s="575"/>
      <c r="P124" s="575"/>
      <c r="Q124" s="583"/>
      <c r="R124" s="1039">
        <f>5.7*3.6</f>
        <v>20.52</v>
      </c>
      <c r="S124" s="575"/>
      <c r="T124" s="778"/>
      <c r="U124" s="1047">
        <f>5.7*3.6+3.6*0.46</f>
        <v>22.175999999999998</v>
      </c>
      <c r="V124" s="575"/>
      <c r="W124" s="575"/>
      <c r="X124" s="1043">
        <f>7.2*0.2</f>
        <v>1.4400000000000002</v>
      </c>
      <c r="Y124" s="575"/>
      <c r="Z124" s="575"/>
      <c r="AA124" s="778"/>
      <c r="AB124" s="575"/>
      <c r="AC124" s="575"/>
      <c r="AD124" s="575"/>
      <c r="AE124" s="753"/>
      <c r="AF124" s="575"/>
      <c r="AG124" s="588"/>
      <c r="AH124" s="842"/>
      <c r="AI124" s="1065">
        <f t="shared" si="15"/>
        <v>44.14</v>
      </c>
      <c r="AJ124" s="949">
        <v>0</v>
      </c>
      <c r="AK124" s="581">
        <f t="shared" si="16"/>
        <v>44.14</v>
      </c>
      <c r="AL124" s="750" t="s">
        <v>1612</v>
      </c>
      <c r="AM124" s="743">
        <f t="shared" si="17"/>
        <v>24.239999999999995</v>
      </c>
    </row>
    <row r="125" spans="1:39" s="560" customFormat="1">
      <c r="A125" s="607" t="s">
        <v>50</v>
      </c>
      <c r="B125" s="607" t="s">
        <v>1233</v>
      </c>
      <c r="C125" s="690"/>
      <c r="D125" s="580"/>
      <c r="E125" s="581"/>
      <c r="F125" s="778"/>
      <c r="G125" s="581"/>
      <c r="H125" s="581"/>
      <c r="I125" s="949"/>
      <c r="J125" s="949"/>
      <c r="K125" s="949"/>
      <c r="L125" s="575"/>
      <c r="M125" s="778"/>
      <c r="N125" s="575"/>
      <c r="O125" s="575"/>
      <c r="P125" s="575"/>
      <c r="Q125" s="583"/>
      <c r="R125" s="583"/>
      <c r="S125" s="575"/>
      <c r="T125" s="778"/>
      <c r="U125" s="575"/>
      <c r="V125" s="575"/>
      <c r="W125" s="575"/>
      <c r="X125" s="575"/>
      <c r="Y125" s="575"/>
      <c r="Z125" s="575"/>
      <c r="AA125" s="778"/>
      <c r="AB125" s="575"/>
      <c r="AC125" s="575"/>
      <c r="AD125" s="575"/>
      <c r="AE125" s="753"/>
      <c r="AF125" s="575"/>
      <c r="AG125" s="588"/>
      <c r="AH125" s="842"/>
      <c r="AI125" s="738">
        <f t="shared" si="15"/>
        <v>0</v>
      </c>
      <c r="AJ125" s="949">
        <v>0</v>
      </c>
      <c r="AK125" s="581">
        <f t="shared" si="16"/>
        <v>0</v>
      </c>
      <c r="AL125" s="750"/>
      <c r="AM125" s="743">
        <f t="shared" si="17"/>
        <v>0</v>
      </c>
    </row>
    <row r="126" spans="1:39" s="560" customFormat="1">
      <c r="A126" s="604" t="s">
        <v>796</v>
      </c>
      <c r="B126" s="604" t="s">
        <v>1234</v>
      </c>
      <c r="C126" s="614" t="s">
        <v>36</v>
      </c>
      <c r="D126" s="580"/>
      <c r="E126" s="581"/>
      <c r="F126" s="778"/>
      <c r="G126" s="581"/>
      <c r="H126" s="581"/>
      <c r="I126" s="949"/>
      <c r="J126" s="949"/>
      <c r="K126" s="949"/>
      <c r="L126" s="575"/>
      <c r="M126" s="778"/>
      <c r="N126" s="1043">
        <f>2.9*3.4</f>
        <v>9.86</v>
      </c>
      <c r="O126" s="1043">
        <f>1.9*3.7+2.5*3.7</f>
        <v>16.28</v>
      </c>
      <c r="P126" s="1043">
        <v>23.56</v>
      </c>
      <c r="Q126" s="1043">
        <v>20.81</v>
      </c>
      <c r="R126" s="583"/>
      <c r="S126" s="1043">
        <f>3*3.6</f>
        <v>10.8</v>
      </c>
      <c r="T126" s="778"/>
      <c r="U126" s="1047">
        <f>2.7*3.6-0.41</f>
        <v>9.31</v>
      </c>
      <c r="V126" s="583"/>
      <c r="W126" s="575"/>
      <c r="X126" s="575"/>
      <c r="Y126" s="575"/>
      <c r="Z126" s="575"/>
      <c r="AA126" s="778"/>
      <c r="AB126" s="575"/>
      <c r="AC126" s="575"/>
      <c r="AD126" s="575"/>
      <c r="AE126" s="753"/>
      <c r="AF126" s="575"/>
      <c r="AG126" s="588"/>
      <c r="AH126" s="842"/>
      <c r="AI126" s="1065">
        <f t="shared" si="15"/>
        <v>90.62</v>
      </c>
      <c r="AJ126" s="949">
        <v>0</v>
      </c>
      <c r="AK126" s="581">
        <f t="shared" si="16"/>
        <v>90.62</v>
      </c>
      <c r="AL126" s="750" t="s">
        <v>1614</v>
      </c>
      <c r="AM126" s="743">
        <f t="shared" si="17"/>
        <v>0</v>
      </c>
    </row>
    <row r="127" spans="1:39" s="560" customFormat="1">
      <c r="A127" s="492" t="s">
        <v>461</v>
      </c>
      <c r="B127" s="608" t="s">
        <v>1270</v>
      </c>
      <c r="C127" s="690"/>
      <c r="D127" s="580"/>
      <c r="E127" s="581"/>
      <c r="F127" s="778"/>
      <c r="G127" s="581"/>
      <c r="H127" s="581"/>
      <c r="I127" s="949"/>
      <c r="J127" s="949"/>
      <c r="K127" s="949"/>
      <c r="L127" s="575"/>
      <c r="M127" s="778"/>
      <c r="N127" s="575"/>
      <c r="O127" s="575"/>
      <c r="P127" s="575"/>
      <c r="Q127" s="583"/>
      <c r="R127" s="583"/>
      <c r="S127" s="575"/>
      <c r="T127" s="778"/>
      <c r="U127" s="575"/>
      <c r="V127" s="575"/>
      <c r="W127" s="575"/>
      <c r="X127" s="575"/>
      <c r="Y127" s="575"/>
      <c r="Z127" s="575"/>
      <c r="AA127" s="778"/>
      <c r="AB127" s="575"/>
      <c r="AC127" s="575"/>
      <c r="AD127" s="575"/>
      <c r="AE127" s="753"/>
      <c r="AF127" s="575"/>
      <c r="AG127" s="588"/>
      <c r="AH127" s="842"/>
      <c r="AI127" s="738">
        <f t="shared" ref="AI127:AI133" si="18">ROUND((SUM(D127:AH127)),2)</f>
        <v>0</v>
      </c>
      <c r="AJ127" s="949">
        <v>0</v>
      </c>
      <c r="AK127" s="581">
        <f t="shared" ref="AK127:AK133" si="19">AI127+AJ127</f>
        <v>0</v>
      </c>
      <c r="AL127" s="750"/>
      <c r="AM127" s="743">
        <f t="shared" ref="AM127:AM133" si="20">AL127-AK127</f>
        <v>0</v>
      </c>
    </row>
    <row r="128" spans="1:39" s="560" customFormat="1">
      <c r="A128" s="607" t="s">
        <v>462</v>
      </c>
      <c r="B128" s="607" t="s">
        <v>1222</v>
      </c>
      <c r="C128" s="690"/>
      <c r="D128" s="580"/>
      <c r="E128" s="581"/>
      <c r="F128" s="778"/>
      <c r="G128" s="581"/>
      <c r="H128" s="581"/>
      <c r="I128" s="949"/>
      <c r="J128" s="949"/>
      <c r="K128" s="949"/>
      <c r="L128" s="575"/>
      <c r="M128" s="778"/>
      <c r="N128" s="575"/>
      <c r="O128" s="575"/>
      <c r="P128" s="575"/>
      <c r="Q128" s="583"/>
      <c r="R128" s="583"/>
      <c r="S128" s="575"/>
      <c r="T128" s="778"/>
      <c r="U128" s="575"/>
      <c r="V128" s="575"/>
      <c r="W128" s="575"/>
      <c r="X128" s="575"/>
      <c r="Y128" s="575"/>
      <c r="Z128" s="575"/>
      <c r="AA128" s="778"/>
      <c r="AB128" s="575"/>
      <c r="AC128" s="575"/>
      <c r="AD128" s="575"/>
      <c r="AE128" s="753"/>
      <c r="AF128" s="575"/>
      <c r="AG128" s="588"/>
      <c r="AH128" s="842"/>
      <c r="AI128" s="738">
        <f t="shared" si="18"/>
        <v>0</v>
      </c>
      <c r="AJ128" s="949">
        <v>0</v>
      </c>
      <c r="AK128" s="581">
        <f t="shared" si="19"/>
        <v>0</v>
      </c>
      <c r="AL128" s="750"/>
      <c r="AM128" s="743">
        <f t="shared" si="20"/>
        <v>0</v>
      </c>
    </row>
    <row r="129" spans="1:39" s="560" customFormat="1">
      <c r="A129" s="604" t="s">
        <v>828</v>
      </c>
      <c r="B129" s="604" t="s">
        <v>1223</v>
      </c>
      <c r="C129" s="614" t="s">
        <v>36</v>
      </c>
      <c r="D129" s="580"/>
      <c r="E129" s="581"/>
      <c r="F129" s="778"/>
      <c r="G129" s="581"/>
      <c r="H129" s="1035">
        <f>2.2*2.4+1.2*1.35</f>
        <v>6.9</v>
      </c>
      <c r="I129" s="949"/>
      <c r="J129" s="1035">
        <f>2.42*1.15+2.2*0.7+2.2*0.7+1.3*1.36</f>
        <v>7.6310000000000002</v>
      </c>
      <c r="K129" s="1034">
        <f>2.25*0.85+2.25*0.85+1.9*0.6</f>
        <v>4.9649999999999999</v>
      </c>
      <c r="L129" s="1039">
        <f>2*1.9*0.83+1.92*0.83+1.93*0.52</f>
        <v>5.7512000000000008</v>
      </c>
      <c r="M129" s="778"/>
      <c r="N129" s="1039">
        <f>1.9*1.9+1.95*0.85</f>
        <v>5.2675000000000001</v>
      </c>
      <c r="O129" s="1043">
        <f>1.7*1.05+1.95*1.3</f>
        <v>4.32</v>
      </c>
      <c r="P129" s="575"/>
      <c r="Q129" s="583"/>
      <c r="R129" s="583"/>
      <c r="S129" s="575"/>
      <c r="T129" s="778"/>
      <c r="U129" s="575"/>
      <c r="V129" s="575"/>
      <c r="W129" s="575"/>
      <c r="X129" s="575"/>
      <c r="Y129" s="575"/>
      <c r="Z129" s="575"/>
      <c r="AA129" s="778"/>
      <c r="AB129" s="575"/>
      <c r="AC129" s="575"/>
      <c r="AD129" s="575"/>
      <c r="AE129" s="753"/>
      <c r="AF129" s="575"/>
      <c r="AG129" s="588"/>
      <c r="AH129" s="842"/>
      <c r="AI129" s="1065">
        <f t="shared" si="18"/>
        <v>34.83</v>
      </c>
      <c r="AJ129" s="949">
        <v>0</v>
      </c>
      <c r="AK129" s="581">
        <f t="shared" si="19"/>
        <v>34.83</v>
      </c>
      <c r="AL129" s="750" t="s">
        <v>1632</v>
      </c>
      <c r="AM129" s="743">
        <f t="shared" si="20"/>
        <v>38.760000000000005</v>
      </c>
    </row>
    <row r="130" spans="1:39" s="560" customFormat="1">
      <c r="A130" s="607" t="s">
        <v>463</v>
      </c>
      <c r="B130" s="607" t="s">
        <v>1225</v>
      </c>
      <c r="C130" s="690"/>
      <c r="D130" s="580"/>
      <c r="E130" s="581"/>
      <c r="F130" s="778"/>
      <c r="G130" s="581"/>
      <c r="H130" s="581"/>
      <c r="I130" s="949"/>
      <c r="J130" s="949"/>
      <c r="K130" s="949"/>
      <c r="L130" s="575"/>
      <c r="M130" s="778"/>
      <c r="N130" s="575"/>
      <c r="O130" s="575"/>
      <c r="P130" s="575"/>
      <c r="Q130" s="583"/>
      <c r="R130" s="583"/>
      <c r="S130" s="575"/>
      <c r="T130" s="778"/>
      <c r="U130" s="575"/>
      <c r="V130" s="575"/>
      <c r="W130" s="575"/>
      <c r="X130" s="575"/>
      <c r="Y130" s="575"/>
      <c r="Z130" s="575"/>
      <c r="AA130" s="778"/>
      <c r="AB130" s="575"/>
      <c r="AC130" s="575"/>
      <c r="AD130" s="575"/>
      <c r="AE130" s="753"/>
      <c r="AF130" s="575"/>
      <c r="AG130" s="588"/>
      <c r="AH130" s="842"/>
      <c r="AI130" s="738">
        <f t="shared" si="18"/>
        <v>0</v>
      </c>
      <c r="AJ130" s="949">
        <v>0</v>
      </c>
      <c r="AK130" s="581">
        <f t="shared" si="19"/>
        <v>0</v>
      </c>
      <c r="AL130" s="750"/>
      <c r="AM130" s="743">
        <f t="shared" si="20"/>
        <v>0</v>
      </c>
    </row>
    <row r="131" spans="1:39" s="560" customFormat="1">
      <c r="A131" s="604" t="s">
        <v>835</v>
      </c>
      <c r="B131" s="604" t="s">
        <v>1231</v>
      </c>
      <c r="C131" s="614" t="s">
        <v>37</v>
      </c>
      <c r="D131" s="580"/>
      <c r="E131" s="581"/>
      <c r="F131" s="778"/>
      <c r="G131" s="581"/>
      <c r="H131" s="581"/>
      <c r="I131" s="949"/>
      <c r="J131" s="949"/>
      <c r="K131" s="949"/>
      <c r="L131" s="575"/>
      <c r="M131" s="778"/>
      <c r="N131" s="575"/>
      <c r="O131" s="575"/>
      <c r="P131" s="575"/>
      <c r="Q131" s="583"/>
      <c r="R131" s="583"/>
      <c r="S131" s="575"/>
      <c r="T131" s="778"/>
      <c r="U131" s="575"/>
      <c r="V131" s="575"/>
      <c r="W131" s="575"/>
      <c r="X131" s="575"/>
      <c r="Y131" s="575"/>
      <c r="Z131" s="575"/>
      <c r="AA131" s="778"/>
      <c r="AB131" s="1048">
        <f>3.8*2+3.8*2+3.8*1+3.8*3</f>
        <v>30.4</v>
      </c>
      <c r="AC131" s="1043">
        <f>3.8*2</f>
        <v>7.6</v>
      </c>
      <c r="AD131" s="1043">
        <f>3.8*2</f>
        <v>7.6</v>
      </c>
      <c r="AE131" s="1052">
        <f>3.8*9</f>
        <v>34.199999999999996</v>
      </c>
      <c r="AF131" s="575"/>
      <c r="AG131" s="588"/>
      <c r="AH131" s="842"/>
      <c r="AI131" s="1065">
        <f t="shared" si="18"/>
        <v>79.8</v>
      </c>
      <c r="AJ131" s="949">
        <v>0</v>
      </c>
      <c r="AK131" s="581">
        <f t="shared" si="19"/>
        <v>79.8</v>
      </c>
      <c r="AL131" s="750" t="s">
        <v>1639</v>
      </c>
      <c r="AM131" s="743">
        <f t="shared" si="20"/>
        <v>0.21999999999999886</v>
      </c>
    </row>
    <row r="132" spans="1:39" s="560" customFormat="1">
      <c r="A132" s="607" t="s">
        <v>464</v>
      </c>
      <c r="B132" s="607" t="s">
        <v>1233</v>
      </c>
      <c r="C132" s="690"/>
      <c r="D132" s="580"/>
      <c r="E132" s="581"/>
      <c r="F132" s="778"/>
      <c r="G132" s="581"/>
      <c r="H132" s="581"/>
      <c r="I132" s="949"/>
      <c r="J132" s="949"/>
      <c r="K132" s="949"/>
      <c r="L132" s="575"/>
      <c r="M132" s="778"/>
      <c r="N132" s="575"/>
      <c r="O132" s="575"/>
      <c r="P132" s="575"/>
      <c r="Q132" s="583"/>
      <c r="R132" s="583"/>
      <c r="S132" s="575"/>
      <c r="T132" s="778"/>
      <c r="U132" s="575"/>
      <c r="V132" s="575"/>
      <c r="W132" s="575"/>
      <c r="X132" s="575"/>
      <c r="Y132" s="575"/>
      <c r="Z132" s="575"/>
      <c r="AA132" s="778"/>
      <c r="AB132" s="575"/>
      <c r="AC132" s="575"/>
      <c r="AD132" s="575"/>
      <c r="AE132" s="753"/>
      <c r="AF132" s="575"/>
      <c r="AG132" s="588"/>
      <c r="AH132" s="842"/>
      <c r="AI132" s="738">
        <f t="shared" si="18"/>
        <v>0</v>
      </c>
      <c r="AJ132" s="949">
        <v>0</v>
      </c>
      <c r="AK132" s="581">
        <f t="shared" si="19"/>
        <v>0</v>
      </c>
      <c r="AL132" s="750"/>
      <c r="AM132" s="743">
        <f t="shared" si="20"/>
        <v>0</v>
      </c>
    </row>
    <row r="133" spans="1:39" s="560" customFormat="1">
      <c r="A133" s="604" t="s">
        <v>837</v>
      </c>
      <c r="B133" s="604" t="s">
        <v>1234</v>
      </c>
      <c r="C133" s="614" t="s">
        <v>36</v>
      </c>
      <c r="D133" s="580"/>
      <c r="E133" s="581"/>
      <c r="F133" s="778"/>
      <c r="G133" s="581"/>
      <c r="H133" s="581"/>
      <c r="I133" s="949"/>
      <c r="J133" s="949"/>
      <c r="K133" s="949"/>
      <c r="L133" s="575"/>
      <c r="M133" s="778"/>
      <c r="N133" s="575"/>
      <c r="O133" s="575"/>
      <c r="P133" s="575"/>
      <c r="Q133" s="583"/>
      <c r="R133" s="583"/>
      <c r="S133" s="575"/>
      <c r="T133" s="778"/>
      <c r="U133" s="575"/>
      <c r="V133" s="575"/>
      <c r="W133" s="575"/>
      <c r="X133" s="575"/>
      <c r="Y133" s="1043">
        <f>3.65*2.6+3.65*0.2*6</f>
        <v>13.870000000000001</v>
      </c>
      <c r="Z133" s="575"/>
      <c r="AA133" s="778"/>
      <c r="AB133" s="1043">
        <f>(3.65*2.6/2)</f>
        <v>4.7450000000000001</v>
      </c>
      <c r="AC133" s="1043">
        <f>4.68</f>
        <v>4.68</v>
      </c>
      <c r="AD133" s="1043">
        <f>(3.6*2.6/2)+(3.6*1.3/2)</f>
        <v>7.0200000000000014</v>
      </c>
      <c r="AE133" s="753"/>
      <c r="AF133" s="1043">
        <f>2.24*2.59+2.24*2.59</f>
        <v>11.603200000000001</v>
      </c>
      <c r="AG133" s="1038">
        <f>2.59*2.2</f>
        <v>5.6980000000000004</v>
      </c>
      <c r="AH133" s="842"/>
      <c r="AI133" s="1065">
        <f t="shared" si="18"/>
        <v>47.62</v>
      </c>
      <c r="AJ133" s="949">
        <v>0</v>
      </c>
      <c r="AK133" s="581">
        <f t="shared" si="19"/>
        <v>47.62</v>
      </c>
      <c r="AL133" s="750" t="s">
        <v>1641</v>
      </c>
      <c r="AM133" s="743">
        <f t="shared" si="20"/>
        <v>18.300000000000004</v>
      </c>
    </row>
    <row r="134" spans="1:39" s="560" customFormat="1">
      <c r="A134" s="492" t="s">
        <v>504</v>
      </c>
      <c r="B134" s="608" t="s">
        <v>1283</v>
      </c>
      <c r="C134" s="690"/>
      <c r="D134" s="580"/>
      <c r="E134" s="581"/>
      <c r="F134" s="778"/>
      <c r="G134" s="581"/>
      <c r="H134" s="581"/>
      <c r="I134" s="949"/>
      <c r="J134" s="949"/>
      <c r="K134" s="949"/>
      <c r="L134" s="575"/>
      <c r="M134" s="778"/>
      <c r="N134" s="575"/>
      <c r="O134" s="575"/>
      <c r="P134" s="575"/>
      <c r="Q134" s="583"/>
      <c r="R134" s="583"/>
      <c r="S134" s="575"/>
      <c r="T134" s="778"/>
      <c r="U134" s="575"/>
      <c r="V134" s="575"/>
      <c r="W134" s="575"/>
      <c r="X134" s="575"/>
      <c r="Y134" s="575"/>
      <c r="Z134" s="575"/>
      <c r="AA134" s="778"/>
      <c r="AB134" s="575"/>
      <c r="AC134" s="575"/>
      <c r="AD134" s="575"/>
      <c r="AE134" s="753"/>
      <c r="AF134" s="575"/>
      <c r="AG134" s="588"/>
      <c r="AH134" s="842"/>
      <c r="AI134" s="738">
        <f t="shared" ref="AI134:AI141" si="21">ROUND((SUM(D134:AH134)),2)</f>
        <v>0</v>
      </c>
      <c r="AJ134" s="949">
        <v>0</v>
      </c>
      <c r="AK134" s="581">
        <f t="shared" ref="AK134:AK136" si="22">AI134+AJ134</f>
        <v>0</v>
      </c>
      <c r="AL134" s="750"/>
      <c r="AM134" s="743">
        <f t="shared" ref="AM134:AM136" si="23">AL134-AK134</f>
        <v>0</v>
      </c>
    </row>
    <row r="135" spans="1:39" s="560" customFormat="1">
      <c r="A135" s="607" t="s">
        <v>505</v>
      </c>
      <c r="B135" s="607" t="s">
        <v>1222</v>
      </c>
      <c r="C135" s="690"/>
      <c r="D135" s="580"/>
      <c r="E135" s="581"/>
      <c r="F135" s="778"/>
      <c r="G135" s="581"/>
      <c r="H135" s="581"/>
      <c r="I135" s="949"/>
      <c r="J135" s="949"/>
      <c r="K135" s="949"/>
      <c r="L135" s="575"/>
      <c r="M135" s="778"/>
      <c r="N135" s="575"/>
      <c r="O135" s="575"/>
      <c r="P135" s="575"/>
      <c r="Q135" s="583"/>
      <c r="R135" s="583"/>
      <c r="S135" s="575"/>
      <c r="T135" s="778"/>
      <c r="U135" s="575"/>
      <c r="V135" s="575"/>
      <c r="W135" s="575"/>
      <c r="X135" s="575"/>
      <c r="Y135" s="575"/>
      <c r="Z135" s="575"/>
      <c r="AA135" s="778"/>
      <c r="AB135" s="575"/>
      <c r="AC135" s="575"/>
      <c r="AD135" s="575"/>
      <c r="AE135" s="753"/>
      <c r="AF135" s="575"/>
      <c r="AG135" s="588"/>
      <c r="AH135" s="842"/>
      <c r="AI135" s="738">
        <f t="shared" si="21"/>
        <v>0</v>
      </c>
      <c r="AJ135" s="949">
        <v>0</v>
      </c>
      <c r="AK135" s="581">
        <f t="shared" si="22"/>
        <v>0</v>
      </c>
      <c r="AL135" s="750"/>
      <c r="AM135" s="743">
        <f t="shared" si="23"/>
        <v>0</v>
      </c>
    </row>
    <row r="136" spans="1:39" s="560" customFormat="1">
      <c r="A136" s="604" t="s">
        <v>506</v>
      </c>
      <c r="B136" s="604" t="s">
        <v>1223</v>
      </c>
      <c r="C136" s="614" t="s">
        <v>36</v>
      </c>
      <c r="D136" s="580"/>
      <c r="E136" s="581"/>
      <c r="F136" s="778"/>
      <c r="G136" s="581"/>
      <c r="H136" s="581"/>
      <c r="I136" s="949"/>
      <c r="J136" s="949"/>
      <c r="K136" s="949"/>
      <c r="L136" s="575"/>
      <c r="M136" s="778"/>
      <c r="N136" s="575"/>
      <c r="O136" s="575"/>
      <c r="P136" s="575"/>
      <c r="Q136" s="583"/>
      <c r="R136" s="1039">
        <v>1</v>
      </c>
      <c r="S136" s="575"/>
      <c r="T136" s="778"/>
      <c r="U136" s="575"/>
      <c r="V136" s="575"/>
      <c r="W136" s="575"/>
      <c r="X136" s="575"/>
      <c r="Y136" s="575"/>
      <c r="Z136" s="575"/>
      <c r="AA136" s="778"/>
      <c r="AB136" s="575"/>
      <c r="AC136" s="575"/>
      <c r="AD136" s="575"/>
      <c r="AE136" s="753"/>
      <c r="AF136" s="575"/>
      <c r="AG136" s="588"/>
      <c r="AH136" s="842"/>
      <c r="AI136" s="1065">
        <f t="shared" si="21"/>
        <v>1</v>
      </c>
      <c r="AJ136" s="949">
        <v>0</v>
      </c>
      <c r="AK136" s="581">
        <f t="shared" si="22"/>
        <v>1</v>
      </c>
      <c r="AL136" s="750" t="s">
        <v>1689</v>
      </c>
      <c r="AM136" s="743">
        <f t="shared" si="23"/>
        <v>55.66</v>
      </c>
    </row>
    <row r="137" spans="1:39" s="782" customFormat="1">
      <c r="A137" s="868" t="s">
        <v>512</v>
      </c>
      <c r="B137" s="869" t="s">
        <v>1284</v>
      </c>
      <c r="C137" s="898"/>
      <c r="D137" s="795"/>
      <c r="E137" s="778"/>
      <c r="F137" s="778"/>
      <c r="G137" s="778"/>
      <c r="H137" s="778"/>
      <c r="I137" s="777"/>
      <c r="J137" s="777"/>
      <c r="K137" s="777"/>
      <c r="L137" s="809"/>
      <c r="M137" s="778"/>
      <c r="N137" s="809"/>
      <c r="O137" s="809"/>
      <c r="P137" s="809"/>
      <c r="Q137" s="797"/>
      <c r="R137" s="797"/>
      <c r="S137" s="809"/>
      <c r="T137" s="778"/>
      <c r="U137" s="809"/>
      <c r="V137" s="809"/>
      <c r="W137" s="809"/>
      <c r="X137" s="809"/>
      <c r="Y137" s="809"/>
      <c r="Z137" s="809"/>
      <c r="AA137" s="778"/>
      <c r="AB137" s="809"/>
      <c r="AC137" s="809"/>
      <c r="AD137" s="809"/>
      <c r="AE137" s="1015"/>
      <c r="AF137" s="809"/>
      <c r="AG137" s="779"/>
      <c r="AH137" s="873"/>
      <c r="AI137" s="839">
        <f t="shared" si="21"/>
        <v>0</v>
      </c>
      <c r="AJ137" s="777">
        <v>0</v>
      </c>
      <c r="AK137" s="778">
        <f t="shared" ref="AK137:AK141" si="24">AI137+AJ137</f>
        <v>0</v>
      </c>
      <c r="AL137" s="901"/>
      <c r="AM137" s="781">
        <f t="shared" ref="AM137:AM141" si="25">AL137-AK137</f>
        <v>0</v>
      </c>
    </row>
    <row r="138" spans="1:39" s="560" customFormat="1">
      <c r="A138" s="607" t="s">
        <v>963</v>
      </c>
      <c r="B138" s="607" t="s">
        <v>1225</v>
      </c>
      <c r="C138" s="690"/>
      <c r="D138" s="580"/>
      <c r="E138" s="581"/>
      <c r="F138" s="778"/>
      <c r="G138" s="581"/>
      <c r="H138" s="581"/>
      <c r="I138" s="949"/>
      <c r="J138" s="949"/>
      <c r="K138" s="949"/>
      <c r="L138" s="575"/>
      <c r="M138" s="778"/>
      <c r="N138" s="575"/>
      <c r="O138" s="575"/>
      <c r="P138" s="575"/>
      <c r="Q138" s="583"/>
      <c r="R138" s="583"/>
      <c r="S138" s="575"/>
      <c r="T138" s="778"/>
      <c r="U138" s="575"/>
      <c r="V138" s="575"/>
      <c r="W138" s="575"/>
      <c r="X138" s="575"/>
      <c r="Y138" s="575"/>
      <c r="Z138" s="575"/>
      <c r="AA138" s="778"/>
      <c r="AB138" s="575"/>
      <c r="AC138" s="575"/>
      <c r="AD138" s="575"/>
      <c r="AE138" s="753"/>
      <c r="AF138" s="575"/>
      <c r="AG138" s="588"/>
      <c r="AH138" s="842"/>
      <c r="AI138" s="738">
        <f t="shared" si="21"/>
        <v>0</v>
      </c>
      <c r="AJ138" s="949">
        <v>0</v>
      </c>
      <c r="AK138" s="581">
        <f t="shared" si="24"/>
        <v>0</v>
      </c>
      <c r="AL138" s="750"/>
      <c r="AM138" s="743">
        <f t="shared" si="25"/>
        <v>0</v>
      </c>
    </row>
    <row r="139" spans="1:39" s="560" customFormat="1">
      <c r="A139" s="604" t="s">
        <v>964</v>
      </c>
      <c r="B139" s="604" t="s">
        <v>1286</v>
      </c>
      <c r="C139" s="614" t="s">
        <v>36</v>
      </c>
      <c r="D139" s="1030">
        <f>3.2*3.2+4.4*3.25+7.7*3.25</f>
        <v>49.565000000000005</v>
      </c>
      <c r="E139" s="1035">
        <f>3*3.6</f>
        <v>10.8</v>
      </c>
      <c r="F139" s="778"/>
      <c r="G139" s="581"/>
      <c r="H139" s="581"/>
      <c r="I139" s="1034">
        <f>3.5*2.5-1.05</f>
        <v>7.7</v>
      </c>
      <c r="L139" s="1038"/>
      <c r="M139" s="778"/>
      <c r="N139" s="575"/>
      <c r="O139" s="575"/>
      <c r="P139" s="575"/>
      <c r="Q139" s="583"/>
      <c r="R139" s="583"/>
      <c r="S139" s="575"/>
      <c r="T139" s="778"/>
      <c r="U139" s="575"/>
      <c r="V139" s="575"/>
      <c r="W139" s="575"/>
      <c r="X139" s="575"/>
      <c r="Y139" s="575"/>
      <c r="Z139" s="575"/>
      <c r="AA139" s="778"/>
      <c r="AB139" s="753"/>
      <c r="AC139" s="753"/>
      <c r="AD139" s="575"/>
      <c r="AE139" s="753"/>
      <c r="AF139" s="753"/>
      <c r="AG139" s="588"/>
      <c r="AH139" s="753"/>
      <c r="AI139" s="1065">
        <f t="shared" si="21"/>
        <v>68.069999999999993</v>
      </c>
      <c r="AJ139" s="949">
        <v>0</v>
      </c>
      <c r="AK139" s="581">
        <f t="shared" si="24"/>
        <v>68.069999999999993</v>
      </c>
      <c r="AL139" s="750" t="s">
        <v>1715</v>
      </c>
      <c r="AM139" s="743">
        <f t="shared" si="25"/>
        <v>49.78</v>
      </c>
    </row>
    <row r="140" spans="1:39" s="560" customFormat="1">
      <c r="A140" s="604" t="s">
        <v>965</v>
      </c>
      <c r="B140" s="604" t="s">
        <v>1287</v>
      </c>
      <c r="C140" s="614" t="s">
        <v>36</v>
      </c>
      <c r="D140" s="1029">
        <f>0.25*2.45*1.5*2+0.25*2.45*2</f>
        <v>3.0625</v>
      </c>
      <c r="E140" s="1035">
        <f>0.25*2.45*2</f>
        <v>1.2250000000000001</v>
      </c>
      <c r="F140" s="778"/>
      <c r="G140" s="581"/>
      <c r="H140" s="581"/>
      <c r="I140" s="949"/>
      <c r="J140" s="1035">
        <f>0.25*2.45*7.5</f>
        <v>4.59375</v>
      </c>
      <c r="K140" s="1035">
        <f>0.25*2.45*2</f>
        <v>1.2250000000000001</v>
      </c>
      <c r="L140" s="1032"/>
      <c r="M140" s="778"/>
      <c r="N140" s="575"/>
      <c r="O140" s="575"/>
      <c r="P140" s="575"/>
      <c r="Q140" s="583"/>
      <c r="R140" s="583"/>
      <c r="S140" s="575"/>
      <c r="T140" s="778"/>
      <c r="U140" s="575"/>
      <c r="V140" s="575"/>
      <c r="W140" s="575"/>
      <c r="X140" s="575"/>
      <c r="Y140" s="575"/>
      <c r="Z140" s="575"/>
      <c r="AA140" s="778"/>
      <c r="AB140" s="753"/>
      <c r="AC140" s="753"/>
      <c r="AD140" s="575"/>
      <c r="AE140" s="753"/>
      <c r="AF140" s="753"/>
      <c r="AG140" s="588"/>
      <c r="AH140" s="753"/>
      <c r="AI140" s="1065">
        <f t="shared" si="21"/>
        <v>10.11</v>
      </c>
      <c r="AJ140" s="949">
        <v>0</v>
      </c>
      <c r="AK140" s="581">
        <f t="shared" si="24"/>
        <v>10.11</v>
      </c>
      <c r="AL140" s="750" t="s">
        <v>1716</v>
      </c>
      <c r="AM140" s="743">
        <f t="shared" si="25"/>
        <v>55.83</v>
      </c>
    </row>
    <row r="141" spans="1:39" s="560" customFormat="1" ht="13.8" thickBot="1">
      <c r="A141" s="604" t="s">
        <v>966</v>
      </c>
      <c r="B141" s="604" t="s">
        <v>1288</v>
      </c>
      <c r="C141" s="614" t="s">
        <v>36</v>
      </c>
      <c r="D141" s="1029">
        <f>3*3.25*0.79</f>
        <v>7.7025000000000006</v>
      </c>
      <c r="E141" s="1035">
        <f>3.25*0.79</f>
        <v>2.5674999999999999</v>
      </c>
      <c r="F141" s="778"/>
      <c r="G141" s="581"/>
      <c r="H141" s="1035">
        <f>8*0.79</f>
        <v>6.32</v>
      </c>
      <c r="I141" s="1035">
        <f>3.5*0.79-0.96</f>
        <v>1.8050000000000002</v>
      </c>
      <c r="J141" s="581"/>
      <c r="L141" s="1038"/>
      <c r="M141" s="778"/>
      <c r="N141" s="575"/>
      <c r="O141" s="575"/>
      <c r="P141" s="575"/>
      <c r="Q141" s="583"/>
      <c r="R141" s="583"/>
      <c r="S141" s="575"/>
      <c r="T141" s="778"/>
      <c r="U141" s="575"/>
      <c r="V141" s="575"/>
      <c r="W141" s="575"/>
      <c r="X141" s="575"/>
      <c r="Y141" s="575"/>
      <c r="Z141" s="575"/>
      <c r="AA141" s="778"/>
      <c r="AB141" s="753"/>
      <c r="AC141" s="753"/>
      <c r="AD141" s="575"/>
      <c r="AE141" s="753"/>
      <c r="AF141" s="753"/>
      <c r="AG141" s="588"/>
      <c r="AH141" s="753"/>
      <c r="AI141" s="1065">
        <f t="shared" si="21"/>
        <v>18.399999999999999</v>
      </c>
      <c r="AJ141" s="949">
        <v>0</v>
      </c>
      <c r="AK141" s="581">
        <f t="shared" si="24"/>
        <v>18.399999999999999</v>
      </c>
      <c r="AL141" s="750" t="s">
        <v>1576</v>
      </c>
      <c r="AM141" s="743">
        <f t="shared" si="25"/>
        <v>31.259999999999998</v>
      </c>
    </row>
    <row r="142" spans="1:39" s="897" customFormat="1">
      <c r="A142" s="1016" t="s">
        <v>497</v>
      </c>
      <c r="B142" s="1016" t="s">
        <v>1369</v>
      </c>
      <c r="C142" s="1018"/>
      <c r="D142" s="580"/>
      <c r="E142" s="581"/>
      <c r="F142" s="778"/>
      <c r="G142" s="581"/>
      <c r="H142" s="581"/>
      <c r="I142" s="949"/>
      <c r="J142" s="949"/>
      <c r="K142" s="949"/>
      <c r="L142" s="575"/>
      <c r="M142" s="778"/>
      <c r="N142" s="575"/>
      <c r="O142" s="575"/>
      <c r="P142" s="575"/>
      <c r="Q142" s="583"/>
      <c r="R142" s="583"/>
      <c r="S142" s="575"/>
      <c r="T142" s="778"/>
      <c r="U142" s="575"/>
      <c r="V142" s="575"/>
      <c r="W142" s="575"/>
      <c r="X142" s="575"/>
      <c r="Y142" s="575"/>
      <c r="Z142" s="575"/>
      <c r="AA142" s="778"/>
      <c r="AB142" s="575"/>
      <c r="AC142" s="575"/>
      <c r="AD142" s="575"/>
      <c r="AE142" s="753"/>
      <c r="AF142" s="575"/>
      <c r="AG142" s="588"/>
      <c r="AH142" s="842"/>
      <c r="AI142" s="738">
        <f t="shared" ref="AI142:AI145" si="26">ROUND((SUM(D142:AH142)),2)</f>
        <v>0</v>
      </c>
      <c r="AJ142" s="890">
        <v>0</v>
      </c>
      <c r="AK142" s="889">
        <f t="shared" ref="AK142:AK145" si="27">AI142+AJ142</f>
        <v>0</v>
      </c>
      <c r="AL142" s="902"/>
      <c r="AM142" s="896">
        <f t="shared" ref="AM142:AM145" si="28">AL142-AK142</f>
        <v>0</v>
      </c>
    </row>
    <row r="143" spans="1:39" s="560" customFormat="1">
      <c r="A143" s="492" t="s">
        <v>498</v>
      </c>
      <c r="B143" s="608" t="s">
        <v>1370</v>
      </c>
      <c r="C143" s="690"/>
      <c r="D143" s="580"/>
      <c r="E143" s="581"/>
      <c r="F143" s="778"/>
      <c r="G143" s="581"/>
      <c r="H143" s="581"/>
      <c r="I143" s="949"/>
      <c r="J143" s="949"/>
      <c r="K143" s="949"/>
      <c r="L143" s="575"/>
      <c r="M143" s="778"/>
      <c r="N143" s="575"/>
      <c r="O143" s="575"/>
      <c r="P143" s="575"/>
      <c r="Q143" s="583"/>
      <c r="R143" s="583"/>
      <c r="S143" s="575"/>
      <c r="T143" s="778"/>
      <c r="U143" s="575"/>
      <c r="V143" s="575"/>
      <c r="W143" s="575"/>
      <c r="X143" s="575"/>
      <c r="Y143" s="575"/>
      <c r="Z143" s="575"/>
      <c r="AA143" s="778"/>
      <c r="AB143" s="575"/>
      <c r="AC143" s="575"/>
      <c r="AD143" s="575"/>
      <c r="AE143" s="753"/>
      <c r="AF143" s="575"/>
      <c r="AG143" s="588"/>
      <c r="AH143" s="842"/>
      <c r="AI143" s="738">
        <f t="shared" si="26"/>
        <v>0</v>
      </c>
      <c r="AJ143" s="949">
        <v>0</v>
      </c>
      <c r="AK143" s="581">
        <f t="shared" si="27"/>
        <v>0</v>
      </c>
      <c r="AL143" s="750"/>
      <c r="AM143" s="743">
        <f t="shared" si="28"/>
        <v>0</v>
      </c>
    </row>
    <row r="144" spans="1:39" s="560" customFormat="1">
      <c r="A144" s="607" t="s">
        <v>1044</v>
      </c>
      <c r="B144" s="607" t="s">
        <v>1376</v>
      </c>
      <c r="C144" s="690"/>
      <c r="D144" s="580"/>
      <c r="E144" s="581"/>
      <c r="F144" s="778"/>
      <c r="G144" s="581"/>
      <c r="H144" s="581"/>
      <c r="I144" s="949"/>
      <c r="J144" s="949"/>
      <c r="K144" s="949"/>
      <c r="L144" s="575"/>
      <c r="M144" s="778"/>
      <c r="N144" s="575"/>
      <c r="O144" s="575"/>
      <c r="P144" s="575"/>
      <c r="Q144" s="583"/>
      <c r="R144" s="583"/>
      <c r="S144" s="575"/>
      <c r="T144" s="778"/>
      <c r="U144" s="575"/>
      <c r="V144" s="575"/>
      <c r="W144" s="575"/>
      <c r="X144" s="575"/>
      <c r="Y144" s="575"/>
      <c r="Z144" s="575"/>
      <c r="AA144" s="778"/>
      <c r="AB144" s="575"/>
      <c r="AC144" s="575"/>
      <c r="AD144" s="575"/>
      <c r="AE144" s="753"/>
      <c r="AF144" s="575"/>
      <c r="AG144" s="588"/>
      <c r="AH144" s="842"/>
      <c r="AI144" s="738">
        <f t="shared" si="26"/>
        <v>0</v>
      </c>
      <c r="AJ144" s="949">
        <v>0</v>
      </c>
      <c r="AK144" s="581">
        <f t="shared" si="27"/>
        <v>0</v>
      </c>
      <c r="AL144" s="750"/>
      <c r="AM144" s="743">
        <f t="shared" si="28"/>
        <v>0</v>
      </c>
    </row>
    <row r="145" spans="1:39" s="560" customFormat="1" ht="13.8" thickBot="1">
      <c r="A145" s="604" t="s">
        <v>1045</v>
      </c>
      <c r="B145" s="604" t="s">
        <v>1376</v>
      </c>
      <c r="C145" s="614" t="s">
        <v>1438</v>
      </c>
      <c r="D145" s="580"/>
      <c r="E145" s="581"/>
      <c r="F145" s="778"/>
      <c r="G145" s="581"/>
      <c r="H145" s="581"/>
      <c r="I145" s="949"/>
      <c r="J145" s="949"/>
      <c r="K145" s="949"/>
      <c r="L145" s="575"/>
      <c r="M145" s="778"/>
      <c r="N145" s="583"/>
      <c r="O145" s="575"/>
      <c r="P145" s="575"/>
      <c r="Q145" s="583"/>
      <c r="R145" s="583"/>
      <c r="S145" s="575"/>
      <c r="T145" s="778"/>
      <c r="U145" s="575"/>
      <c r="V145" s="575"/>
      <c r="W145" s="575"/>
      <c r="X145" s="575"/>
      <c r="Y145" s="575"/>
      <c r="Z145" s="575"/>
      <c r="AA145" s="778"/>
      <c r="AB145" s="1039">
        <v>10</v>
      </c>
      <c r="AC145" s="1039">
        <v>3</v>
      </c>
      <c r="AD145" s="575"/>
      <c r="AE145" s="753"/>
      <c r="AF145" s="575"/>
      <c r="AG145" s="588"/>
      <c r="AH145" s="842"/>
      <c r="AI145" s="1065">
        <f t="shared" si="26"/>
        <v>13</v>
      </c>
      <c r="AJ145" s="949">
        <v>0</v>
      </c>
      <c r="AK145" s="581">
        <f t="shared" si="27"/>
        <v>13</v>
      </c>
      <c r="AL145" s="750" t="s">
        <v>1749</v>
      </c>
      <c r="AM145" s="743">
        <f t="shared" si="28"/>
        <v>30</v>
      </c>
    </row>
    <row r="146" spans="1:39" ht="13.8" thickBot="1">
      <c r="A146" s="622"/>
      <c r="B146" s="623" t="s">
        <v>1</v>
      </c>
      <c r="C146" s="592"/>
      <c r="D146" s="847"/>
      <c r="E146" s="847"/>
      <c r="F146" s="849"/>
      <c r="G146" s="848"/>
      <c r="H146" s="848"/>
      <c r="I146" s="847"/>
      <c r="J146" s="848"/>
      <c r="K146" s="848"/>
      <c r="L146" s="844"/>
      <c r="M146" s="849"/>
      <c r="N146" s="844"/>
      <c r="O146" s="844"/>
      <c r="P146" s="844"/>
      <c r="Q146" s="1051"/>
      <c r="R146" s="1051"/>
      <c r="S146" s="844"/>
      <c r="T146" s="849"/>
      <c r="U146" s="844"/>
      <c r="V146" s="844"/>
      <c r="W146" s="844"/>
      <c r="X146" s="844"/>
      <c r="Y146" s="844"/>
      <c r="Z146" s="844"/>
      <c r="AA146" s="849"/>
      <c r="AB146" s="844"/>
      <c r="AC146" s="844"/>
      <c r="AD146" s="844"/>
      <c r="AE146" s="1008"/>
      <c r="AF146" s="844"/>
      <c r="AG146" s="844"/>
      <c r="AH146" s="844"/>
      <c r="AI146" s="738">
        <f t="shared" ref="AI146" si="29">ROUND((SUM(D146:AH146)),2)</f>
        <v>0</v>
      </c>
      <c r="AJ146" s="745"/>
      <c r="AK146" s="745"/>
      <c r="AL146" s="751">
        <f>AK146/10</f>
        <v>0</v>
      </c>
      <c r="AM146" s="743">
        <f t="shared" ref="AM146" si="30">AL146-AK146</f>
        <v>0</v>
      </c>
    </row>
    <row r="147" spans="1:39">
      <c r="A147" s="618" t="s">
        <v>287</v>
      </c>
    </row>
    <row r="149" spans="1:39">
      <c r="B149" s="624" t="s">
        <v>1787</v>
      </c>
      <c r="C149" s="596"/>
    </row>
    <row r="150" spans="1:39">
      <c r="B150" s="624" t="s">
        <v>288</v>
      </c>
      <c r="C150" s="596"/>
    </row>
    <row r="151" spans="1:39">
      <c r="B151" s="624"/>
      <c r="C151" s="596"/>
      <c r="L151" s="754"/>
      <c r="M151" s="754"/>
      <c r="N151" s="754"/>
      <c r="O151" s="754"/>
      <c r="P151" s="852"/>
      <c r="Q151" s="745"/>
      <c r="R151" s="745"/>
      <c r="S151" s="754"/>
      <c r="T151" s="754"/>
      <c r="U151" s="754"/>
      <c r="V151" s="754"/>
      <c r="W151" s="852"/>
      <c r="X151" s="754"/>
      <c r="Y151" s="754"/>
      <c r="Z151" s="754"/>
      <c r="AA151" s="754"/>
      <c r="AB151" s="754"/>
      <c r="AC151" s="754"/>
      <c r="AD151" s="852"/>
      <c r="AE151" s="1009"/>
      <c r="AF151" s="754"/>
      <c r="AG151" s="864"/>
      <c r="AH151" s="754"/>
      <c r="AI151" s="745"/>
      <c r="AJ151" s="745">
        <v>416.4</v>
      </c>
    </row>
    <row r="152" spans="1:39">
      <c r="B152" s="624"/>
      <c r="C152" s="596"/>
      <c r="L152" s="588" t="e">
        <f>#REF!-#REF!</f>
        <v>#REF!</v>
      </c>
      <c r="M152" s="588"/>
      <c r="N152" s="588"/>
      <c r="O152" s="588"/>
      <c r="P152" s="779"/>
      <c r="Q152" s="949"/>
      <c r="R152" s="949"/>
      <c r="S152" s="588"/>
      <c r="T152" s="588"/>
      <c r="U152" s="588"/>
      <c r="V152" s="588"/>
      <c r="W152" s="779"/>
      <c r="X152" s="588"/>
      <c r="Y152" s="588"/>
      <c r="Z152" s="588"/>
      <c r="AA152" s="588"/>
      <c r="AB152" s="588"/>
      <c r="AC152" s="588"/>
      <c r="AD152" s="779"/>
      <c r="AE152" s="926"/>
      <c r="AF152" s="588"/>
      <c r="AG152" s="865"/>
      <c r="AH152" s="588"/>
      <c r="AI152" s="949" t="e">
        <f>SUM(L152:L152)</f>
        <v>#REF!</v>
      </c>
      <c r="AJ152" s="949" t="e">
        <f>AJ151-AI152</f>
        <v>#REF!</v>
      </c>
      <c r="AK152" s="557" t="s">
        <v>1810</v>
      </c>
    </row>
    <row r="153" spans="1:39">
      <c r="B153" s="624"/>
      <c r="C153" s="596"/>
    </row>
    <row r="167" spans="1:37" s="559" customFormat="1">
      <c r="A167" s="618"/>
      <c r="B167" s="618"/>
      <c r="D167" s="557"/>
      <c r="E167" s="557"/>
      <c r="F167" s="557"/>
      <c r="G167" s="557"/>
      <c r="H167" s="557"/>
      <c r="I167" s="787"/>
      <c r="J167" s="557"/>
      <c r="K167" s="557"/>
      <c r="L167" s="558"/>
      <c r="M167" s="558"/>
      <c r="N167" s="558"/>
      <c r="O167" s="558"/>
      <c r="P167" s="808"/>
      <c r="Q167" s="557"/>
      <c r="R167" s="557"/>
      <c r="S167" s="558"/>
      <c r="T167" s="558"/>
      <c r="U167" s="558"/>
      <c r="V167" s="558"/>
      <c r="W167" s="808"/>
      <c r="X167" s="558"/>
      <c r="Y167" s="558"/>
      <c r="Z167" s="558"/>
      <c r="AA167" s="558"/>
      <c r="AB167" s="558"/>
      <c r="AC167" s="558"/>
      <c r="AD167" s="808"/>
      <c r="AE167" s="1007"/>
      <c r="AF167" s="558"/>
      <c r="AG167" s="814"/>
      <c r="AH167" s="558"/>
      <c r="AI167" s="557"/>
      <c r="AJ167" s="557"/>
      <c r="AK167" s="557"/>
    </row>
  </sheetData>
  <mergeCells count="6">
    <mergeCell ref="A1:K1"/>
    <mergeCell ref="A2:K2"/>
    <mergeCell ref="B4:K4"/>
    <mergeCell ref="B5:K5"/>
    <mergeCell ref="A9:A10"/>
    <mergeCell ref="B9:B10"/>
  </mergeCells>
  <conditionalFormatting sqref="Z89">
    <cfRule type="cellIs" dxfId="5" priority="1" operator="lessThan">
      <formula>0</formula>
    </cfRule>
    <cfRule type="cellIs" dxfId="4" priority="2" operator="lessThan">
      <formula>0</formula>
    </cfRule>
  </conditionalFormatting>
  <pageMargins left="0.7" right="0.7" top="0.75" bottom="0.75" header="0.3" footer="0.3"/>
  <pageSetup scale="22" orientation="portrait" r:id="rId1"/>
  <colBreaks count="1" manualBreakCount="1">
    <brk id="39" max="10485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S146"/>
  <sheetViews>
    <sheetView workbookViewId="0">
      <selection sqref="A1:X1"/>
    </sheetView>
  </sheetViews>
  <sheetFormatPr baseColWidth="10" defaultColWidth="11.44140625" defaultRowHeight="13.2"/>
  <cols>
    <col min="1" max="1" width="10.44140625" style="618" customWidth="1"/>
    <col min="2" max="2" width="99.33203125" style="616" customWidth="1"/>
    <col min="3" max="3" width="5" style="559" customWidth="1"/>
    <col min="4" max="5" width="9.109375" style="557" customWidth="1"/>
    <col min="6" max="29" width="7" style="557" customWidth="1"/>
    <col min="30" max="33" width="7" style="558" customWidth="1"/>
    <col min="34" max="34" width="7" style="558" hidden="1" customWidth="1"/>
    <col min="35" max="35" width="9.109375" style="560" customWidth="1"/>
    <col min="36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5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  <c r="L1" s="1538"/>
      <c r="M1" s="1538"/>
      <c r="N1" s="1538"/>
      <c r="O1" s="1538"/>
      <c r="P1" s="1538"/>
      <c r="Q1" s="1538"/>
      <c r="R1" s="1538"/>
      <c r="S1" s="1538"/>
      <c r="T1" s="1538"/>
      <c r="U1" s="1538"/>
      <c r="V1" s="1538"/>
      <c r="W1" s="1538"/>
      <c r="X1" s="1538"/>
    </row>
    <row r="2" spans="1:45">
      <c r="A2" s="1539" t="s">
        <v>1788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  <c r="L2" s="1539"/>
      <c r="M2" s="1539"/>
      <c r="N2" s="1539"/>
      <c r="O2" s="1539"/>
      <c r="P2" s="1539"/>
      <c r="Q2" s="1539"/>
      <c r="R2" s="1539"/>
      <c r="S2" s="1539"/>
      <c r="T2" s="1539"/>
      <c r="U2" s="1539"/>
      <c r="V2" s="1539"/>
      <c r="W2" s="1539"/>
      <c r="X2" s="1539"/>
    </row>
    <row r="3" spans="1:45">
      <c r="A3" s="615"/>
    </row>
    <row r="4" spans="1:45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  <c r="L4" s="1540"/>
    </row>
    <row r="5" spans="1:45" ht="12.75" customHeight="1">
      <c r="A5" s="617"/>
      <c r="B5" s="1541" t="e">
        <f>#REF!</f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  <c r="L5" s="1542"/>
      <c r="M5" s="1542"/>
      <c r="N5" s="1542"/>
      <c r="O5" s="1542"/>
      <c r="P5" s="1542"/>
      <c r="Q5" s="1542"/>
      <c r="R5" s="1542"/>
      <c r="S5" s="1542"/>
      <c r="T5" s="1542"/>
      <c r="U5" s="1542"/>
      <c r="V5" s="1542"/>
      <c r="W5" s="1542"/>
      <c r="X5" s="1542"/>
      <c r="Y5" s="1542"/>
      <c r="Z5" s="1542"/>
      <c r="AA5" s="1542"/>
    </row>
    <row r="6" spans="1:45" ht="13.5" customHeight="1">
      <c r="B6" s="619"/>
      <c r="C6" s="561"/>
    </row>
    <row r="7" spans="1:45" ht="13.5" customHeight="1">
      <c r="B7" s="619"/>
      <c r="C7" s="561"/>
      <c r="Q7" s="1545" t="s">
        <v>283</v>
      </c>
      <c r="R7" s="1545"/>
      <c r="S7" s="1545"/>
      <c r="T7" s="1545"/>
      <c r="U7" s="1545"/>
      <c r="V7" s="1545"/>
      <c r="W7" s="1546">
        <v>42888</v>
      </c>
      <c r="X7" s="1546"/>
      <c r="Y7" s="1546"/>
      <c r="Z7" s="1546"/>
    </row>
    <row r="8" spans="1:45" ht="13.5" customHeight="1" thickBot="1">
      <c r="B8" s="619"/>
      <c r="C8" s="561"/>
      <c r="D8" s="929" t="s">
        <v>1991</v>
      </c>
      <c r="E8" s="929" t="s">
        <v>1873</v>
      </c>
      <c r="F8" s="929" t="s">
        <v>1872</v>
      </c>
      <c r="G8" s="929" t="s">
        <v>1866</v>
      </c>
      <c r="H8" s="929" t="s">
        <v>1867</v>
      </c>
      <c r="I8" s="929" t="s">
        <v>1868</v>
      </c>
      <c r="J8" s="929" t="s">
        <v>1869</v>
      </c>
      <c r="K8" s="929" t="s">
        <v>1870</v>
      </c>
      <c r="L8" s="929" t="s">
        <v>1871</v>
      </c>
      <c r="M8" s="929" t="s">
        <v>1872</v>
      </c>
      <c r="N8" s="929" t="s">
        <v>1866</v>
      </c>
      <c r="O8" s="929" t="s">
        <v>1867</v>
      </c>
      <c r="P8" s="929" t="s">
        <v>1868</v>
      </c>
      <c r="Q8" s="929" t="s">
        <v>1869</v>
      </c>
      <c r="R8" s="929" t="s">
        <v>1870</v>
      </c>
      <c r="S8" s="929" t="s">
        <v>1871</v>
      </c>
      <c r="T8" s="929" t="s">
        <v>1872</v>
      </c>
      <c r="U8" s="929" t="s">
        <v>1866</v>
      </c>
      <c r="V8" s="929" t="s">
        <v>1867</v>
      </c>
      <c r="W8" s="929" t="s">
        <v>1868</v>
      </c>
      <c r="X8" s="929" t="s">
        <v>1869</v>
      </c>
      <c r="Y8" s="929" t="s">
        <v>1870</v>
      </c>
      <c r="Z8" s="929" t="s">
        <v>1871</v>
      </c>
      <c r="AA8" s="929" t="s">
        <v>1872</v>
      </c>
      <c r="AB8" s="929" t="s">
        <v>1866</v>
      </c>
      <c r="AC8" s="929" t="s">
        <v>1867</v>
      </c>
      <c r="AD8" s="929" t="s">
        <v>1868</v>
      </c>
      <c r="AE8" s="929" t="s">
        <v>1869</v>
      </c>
      <c r="AF8" s="929" t="s">
        <v>1870</v>
      </c>
      <c r="AG8" s="929" t="s">
        <v>1871</v>
      </c>
      <c r="AH8" s="929" t="s">
        <v>1872</v>
      </c>
      <c r="AI8" s="1019"/>
    </row>
    <row r="9" spans="1:45" ht="13.8" thickBot="1">
      <c r="A9" s="1543" t="s">
        <v>284</v>
      </c>
      <c r="B9" s="1543" t="s">
        <v>19</v>
      </c>
      <c r="C9" s="562"/>
      <c r="D9" s="1050">
        <v>1</v>
      </c>
      <c r="E9" s="1050">
        <f>+D9+1</f>
        <v>2</v>
      </c>
      <c r="F9" s="788">
        <f t="shared" ref="F9:AH9" si="0">+E9+1</f>
        <v>3</v>
      </c>
      <c r="G9" s="1050">
        <f t="shared" si="0"/>
        <v>4</v>
      </c>
      <c r="H9" s="1050">
        <f t="shared" si="0"/>
        <v>5</v>
      </c>
      <c r="I9" s="1050">
        <f t="shared" si="0"/>
        <v>6</v>
      </c>
      <c r="J9" s="1050">
        <f t="shared" si="0"/>
        <v>7</v>
      </c>
      <c r="K9" s="1050">
        <f t="shared" si="0"/>
        <v>8</v>
      </c>
      <c r="L9" s="1050">
        <f t="shared" si="0"/>
        <v>9</v>
      </c>
      <c r="M9" s="788">
        <f t="shared" si="0"/>
        <v>10</v>
      </c>
      <c r="N9" s="1050">
        <f t="shared" si="0"/>
        <v>11</v>
      </c>
      <c r="O9" s="1050">
        <f t="shared" si="0"/>
        <v>12</v>
      </c>
      <c r="P9" s="1050">
        <f t="shared" si="0"/>
        <v>13</v>
      </c>
      <c r="Q9" s="1050">
        <f t="shared" si="0"/>
        <v>14</v>
      </c>
      <c r="R9" s="1050">
        <f t="shared" si="0"/>
        <v>15</v>
      </c>
      <c r="S9" s="1050">
        <f t="shared" si="0"/>
        <v>16</v>
      </c>
      <c r="T9" s="788">
        <f t="shared" si="0"/>
        <v>17</v>
      </c>
      <c r="U9" s="1050">
        <f>+T9+1</f>
        <v>18</v>
      </c>
      <c r="V9" s="1050">
        <f>+U9+1</f>
        <v>19</v>
      </c>
      <c r="W9" s="1050">
        <f t="shared" si="0"/>
        <v>20</v>
      </c>
      <c r="X9" s="1050">
        <f t="shared" si="0"/>
        <v>21</v>
      </c>
      <c r="Y9" s="1050">
        <f t="shared" si="0"/>
        <v>22</v>
      </c>
      <c r="Z9" s="1050">
        <f t="shared" si="0"/>
        <v>23</v>
      </c>
      <c r="AA9" s="788">
        <f t="shared" si="0"/>
        <v>24</v>
      </c>
      <c r="AB9" s="1050">
        <f t="shared" si="0"/>
        <v>25</v>
      </c>
      <c r="AC9" s="1050">
        <f t="shared" si="0"/>
        <v>26</v>
      </c>
      <c r="AD9" s="564">
        <f t="shared" si="0"/>
        <v>27</v>
      </c>
      <c r="AE9" s="1050">
        <f t="shared" si="0"/>
        <v>28</v>
      </c>
      <c r="AF9" s="564">
        <f t="shared" si="0"/>
        <v>29</v>
      </c>
      <c r="AG9" s="1050">
        <f>+AF9+1</f>
        <v>30</v>
      </c>
      <c r="AH9" s="564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  <c r="AN9" s="557" t="s">
        <v>1</v>
      </c>
    </row>
    <row r="10" spans="1:45" ht="13.8" thickBot="1">
      <c r="A10" s="1544"/>
      <c r="B10" s="1544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568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9" t="s">
        <v>291</v>
      </c>
      <c r="AH10" s="568" t="s">
        <v>291</v>
      </c>
      <c r="AI10" s="1020" t="s">
        <v>286</v>
      </c>
      <c r="AJ10" s="742" t="s">
        <v>286</v>
      </c>
      <c r="AK10" s="745"/>
      <c r="AL10" s="745"/>
      <c r="AM10" s="566"/>
    </row>
    <row r="11" spans="1:45" s="579" customFormat="1">
      <c r="A11" s="767" t="s">
        <v>32</v>
      </c>
      <c r="B11" s="768" t="s">
        <v>1118</v>
      </c>
      <c r="C11" s="625"/>
      <c r="D11" s="571"/>
      <c r="E11" s="572"/>
      <c r="F11" s="790"/>
      <c r="G11" s="572"/>
      <c r="H11" s="572"/>
      <c r="I11" s="573"/>
      <c r="J11" s="573"/>
      <c r="K11" s="573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574"/>
      <c r="AC11" s="574"/>
      <c r="AD11" s="574"/>
      <c r="AE11" s="574"/>
      <c r="AF11" s="575"/>
      <c r="AG11" s="575"/>
      <c r="AH11" s="575"/>
      <c r="AI11" s="1013">
        <f t="shared" ref="AI11:AI27" si="1">ROUND((SUM(D11:AH11)),2)</f>
        <v>0</v>
      </c>
      <c r="AJ11" s="949"/>
      <c r="AK11" s="581"/>
      <c r="AL11" s="747"/>
      <c r="AM11" s="744"/>
    </row>
    <row r="12" spans="1:45" s="555" customFormat="1" ht="11.25" customHeight="1">
      <c r="A12" s="492" t="s">
        <v>38</v>
      </c>
      <c r="B12" s="608" t="s">
        <v>33</v>
      </c>
      <c r="C12" s="679"/>
      <c r="D12" s="680"/>
      <c r="E12" s="681"/>
      <c r="F12" s="1028"/>
      <c r="G12" s="683"/>
      <c r="H12" s="684"/>
      <c r="I12" s="633"/>
      <c r="J12" s="684"/>
      <c r="K12" s="683"/>
      <c r="L12" s="685"/>
      <c r="M12" s="1028"/>
      <c r="N12" s="687"/>
      <c r="O12" s="688"/>
      <c r="P12" s="689"/>
      <c r="Q12" s="199"/>
      <c r="T12" s="1028"/>
      <c r="AA12" s="1028"/>
      <c r="AI12" s="1013">
        <f t="shared" si="1"/>
        <v>0</v>
      </c>
    </row>
    <row r="13" spans="1:45" s="782" customFormat="1" ht="15.6">
      <c r="A13" s="772" t="s">
        <v>529</v>
      </c>
      <c r="B13" s="733" t="s">
        <v>1126</v>
      </c>
      <c r="C13" s="734" t="s">
        <v>39</v>
      </c>
      <c r="D13" s="794"/>
      <c r="E13" s="735"/>
      <c r="F13" s="791"/>
      <c r="G13" s="735"/>
      <c r="H13" s="735"/>
      <c r="I13" s="1044">
        <f>3.5*6*0.5</f>
        <v>10.5</v>
      </c>
      <c r="J13" s="1044">
        <f>5.6*3.3*0.5</f>
        <v>9.2399999999999984</v>
      </c>
      <c r="K13" s="1044">
        <f>3.5*3.5*0.5</f>
        <v>6.125</v>
      </c>
      <c r="L13" s="737"/>
      <c r="M13" s="791"/>
      <c r="N13" s="737"/>
      <c r="O13" s="737"/>
      <c r="P13" s="737"/>
      <c r="Q13" s="737"/>
      <c r="R13" s="737"/>
      <c r="S13" s="737"/>
      <c r="T13" s="791"/>
      <c r="U13" s="737"/>
      <c r="V13" s="737"/>
      <c r="W13" s="737"/>
      <c r="X13" s="737"/>
      <c r="Y13" s="737"/>
      <c r="Z13" s="737"/>
      <c r="AA13" s="791"/>
      <c r="AB13" s="737"/>
      <c r="AC13" s="737"/>
      <c r="AD13" s="737"/>
      <c r="AE13" s="737"/>
      <c r="AF13" s="737"/>
      <c r="AG13" s="737"/>
      <c r="AH13" s="737"/>
      <c r="AI13" s="1059">
        <f t="shared" si="1"/>
        <v>25.87</v>
      </c>
      <c r="AJ13" s="777">
        <v>963.6</v>
      </c>
      <c r="AK13" s="778">
        <f>AI13+AJ13</f>
        <v>989.47</v>
      </c>
      <c r="AL13" s="793" t="s">
        <v>1443</v>
      </c>
      <c r="AM13" s="781">
        <f>AN13-AK13</f>
        <v>34.529999999999973</v>
      </c>
      <c r="AN13" s="879">
        <v>1024</v>
      </c>
      <c r="AO13" s="793">
        <f>AL13-AN13</f>
        <v>-416.4</v>
      </c>
      <c r="AP13" s="793"/>
      <c r="AQ13" s="793"/>
      <c r="AR13" s="793"/>
      <c r="AS13" s="793"/>
    </row>
    <row r="14" spans="1:45" s="560" customFormat="1">
      <c r="A14" s="492" t="s">
        <v>534</v>
      </c>
      <c r="B14" s="608" t="s">
        <v>1131</v>
      </c>
      <c r="C14" s="679"/>
      <c r="D14" s="580"/>
      <c r="E14" s="581"/>
      <c r="F14" s="778"/>
      <c r="G14" s="581"/>
      <c r="H14" s="581"/>
      <c r="I14" s="949"/>
      <c r="J14" s="949"/>
      <c r="K14" s="949"/>
      <c r="L14" s="575"/>
      <c r="M14" s="778"/>
      <c r="N14" s="575"/>
      <c r="O14" s="575"/>
      <c r="P14" s="575"/>
      <c r="Q14" s="575"/>
      <c r="R14" s="575"/>
      <c r="S14" s="575"/>
      <c r="T14" s="778"/>
      <c r="U14" s="575"/>
      <c r="V14" s="575"/>
      <c r="W14" s="575"/>
      <c r="X14" s="575"/>
      <c r="Y14" s="575"/>
      <c r="Z14" s="575"/>
      <c r="AA14" s="778"/>
      <c r="AB14" s="575"/>
      <c r="AC14" s="575"/>
      <c r="AD14" s="575"/>
      <c r="AE14" s="753"/>
      <c r="AF14" s="575"/>
      <c r="AG14" s="575"/>
      <c r="AH14" s="842"/>
      <c r="AI14" s="1013">
        <f t="shared" si="1"/>
        <v>0</v>
      </c>
      <c r="AJ14" s="949">
        <v>0</v>
      </c>
      <c r="AK14" s="581">
        <f t="shared" ref="AK14:AK27" si="2">AI14+AJ14</f>
        <v>0</v>
      </c>
      <c r="AL14" s="746"/>
      <c r="AM14" s="743">
        <f t="shared" ref="AM14:AM27" si="3">AL14-AK14</f>
        <v>0</v>
      </c>
    </row>
    <row r="15" spans="1:45" s="560" customFormat="1" ht="13.8" thickBot="1">
      <c r="A15" s="604" t="s">
        <v>536</v>
      </c>
      <c r="B15" s="604" t="s">
        <v>1805</v>
      </c>
      <c r="C15" s="530" t="s">
        <v>36</v>
      </c>
      <c r="D15" s="580"/>
      <c r="E15" s="581"/>
      <c r="F15" s="778"/>
      <c r="G15" s="581"/>
      <c r="H15" s="581"/>
      <c r="I15" s="949"/>
      <c r="J15" s="949"/>
      <c r="K15" s="949"/>
      <c r="L15" s="1043">
        <v>12.89</v>
      </c>
      <c r="M15" s="778"/>
      <c r="N15" s="575"/>
      <c r="O15" s="575"/>
      <c r="P15" s="575"/>
      <c r="Q15" s="575"/>
      <c r="R15" s="575"/>
      <c r="S15" s="575"/>
      <c r="T15" s="778"/>
      <c r="U15" s="575"/>
      <c r="V15" s="575"/>
      <c r="W15" s="575"/>
      <c r="X15" s="810"/>
      <c r="Y15" s="575"/>
      <c r="Z15" s="575"/>
      <c r="AA15" s="778"/>
      <c r="AB15" s="575"/>
      <c r="AC15" s="575"/>
      <c r="AD15" s="575"/>
      <c r="AE15" s="753"/>
      <c r="AF15" s="575"/>
      <c r="AG15" s="575"/>
      <c r="AH15" s="842"/>
      <c r="AI15" s="1059">
        <f t="shared" si="1"/>
        <v>12.89</v>
      </c>
      <c r="AJ15" s="949">
        <v>154.35</v>
      </c>
      <c r="AK15" s="581">
        <f>AI15+AJ15</f>
        <v>167.24</v>
      </c>
      <c r="AL15" s="746" t="s">
        <v>1442</v>
      </c>
      <c r="AM15" s="743">
        <f>AL15-AK15</f>
        <v>489.55999999999995</v>
      </c>
      <c r="AO15" s="560">
        <f>AM13/15</f>
        <v>2.3019999999999983</v>
      </c>
    </row>
    <row r="16" spans="1:45" s="560" customFormat="1">
      <c r="A16" s="606" t="s">
        <v>41</v>
      </c>
      <c r="B16" s="606" t="s">
        <v>1140</v>
      </c>
      <c r="C16" s="679"/>
      <c r="D16" s="580"/>
      <c r="E16" s="581"/>
      <c r="F16" s="778"/>
      <c r="G16" s="581"/>
      <c r="H16" s="581"/>
      <c r="I16" s="949"/>
      <c r="J16" s="949"/>
      <c r="K16" s="949"/>
      <c r="L16" s="575"/>
      <c r="M16" s="778"/>
      <c r="N16" s="575"/>
      <c r="O16" s="575"/>
      <c r="P16" s="575"/>
      <c r="Q16" s="575"/>
      <c r="R16" s="575"/>
      <c r="S16" s="575"/>
      <c r="T16" s="778"/>
      <c r="U16" s="575"/>
      <c r="V16" s="575"/>
      <c r="W16" s="575"/>
      <c r="X16" s="575"/>
      <c r="Y16" s="575"/>
      <c r="Z16" s="575"/>
      <c r="AA16" s="778"/>
      <c r="AB16" s="575"/>
      <c r="AC16" s="575"/>
      <c r="AD16" s="575"/>
      <c r="AE16" s="753"/>
      <c r="AF16" s="575"/>
      <c r="AG16" s="575"/>
      <c r="AH16" s="842"/>
      <c r="AI16" s="1013">
        <f t="shared" si="1"/>
        <v>0</v>
      </c>
      <c r="AJ16" s="949">
        <v>0</v>
      </c>
      <c r="AK16" s="581">
        <f t="shared" si="2"/>
        <v>0</v>
      </c>
      <c r="AL16" s="746"/>
      <c r="AM16" s="743">
        <f t="shared" si="3"/>
        <v>0</v>
      </c>
    </row>
    <row r="17" spans="1:39" s="579" customFormat="1">
      <c r="A17" s="492" t="s">
        <v>42</v>
      </c>
      <c r="B17" s="608" t="s">
        <v>1141</v>
      </c>
      <c r="C17" s="679"/>
      <c r="D17" s="580"/>
      <c r="E17" s="581"/>
      <c r="F17" s="778"/>
      <c r="G17" s="581"/>
      <c r="H17" s="581"/>
      <c r="I17" s="949"/>
      <c r="J17" s="949"/>
      <c r="K17" s="949"/>
      <c r="L17" s="575"/>
      <c r="M17" s="778"/>
      <c r="N17" s="575"/>
      <c r="O17" s="575"/>
      <c r="P17" s="575"/>
      <c r="Q17" s="575"/>
      <c r="R17" s="575"/>
      <c r="S17" s="575"/>
      <c r="T17" s="778"/>
      <c r="U17" s="575"/>
      <c r="V17" s="575"/>
      <c r="W17" s="575"/>
      <c r="X17" s="575"/>
      <c r="Y17" s="575"/>
      <c r="Z17" s="575"/>
      <c r="AA17" s="778"/>
      <c r="AB17" s="575"/>
      <c r="AC17" s="575"/>
      <c r="AD17" s="575"/>
      <c r="AE17" s="753"/>
      <c r="AF17" s="575"/>
      <c r="AG17" s="575"/>
      <c r="AH17" s="842"/>
      <c r="AI17" s="1013">
        <f t="shared" si="1"/>
        <v>0</v>
      </c>
      <c r="AJ17" s="949">
        <v>0</v>
      </c>
      <c r="AK17" s="581">
        <f t="shared" si="2"/>
        <v>0</v>
      </c>
      <c r="AL17" s="746"/>
      <c r="AM17" s="743">
        <f t="shared" si="3"/>
        <v>0</v>
      </c>
    </row>
    <row r="18" spans="1:39" s="560" customFormat="1">
      <c r="A18" s="607" t="s">
        <v>557</v>
      </c>
      <c r="B18" s="607" t="s">
        <v>1155</v>
      </c>
      <c r="C18" s="679"/>
      <c r="D18" s="580"/>
      <c r="E18" s="581"/>
      <c r="F18" s="778"/>
      <c r="G18" s="581"/>
      <c r="H18" s="581"/>
      <c r="I18" s="949"/>
      <c r="J18" s="949"/>
      <c r="K18" s="949"/>
      <c r="L18" s="575"/>
      <c r="M18" s="778"/>
      <c r="N18" s="575"/>
      <c r="O18" s="575"/>
      <c r="P18" s="575"/>
      <c r="Q18" s="575"/>
      <c r="R18" s="575"/>
      <c r="S18" s="575"/>
      <c r="T18" s="778"/>
      <c r="U18" s="575"/>
      <c r="V18" s="575"/>
      <c r="W18" s="575"/>
      <c r="X18" s="575"/>
      <c r="Y18" s="575"/>
      <c r="Z18" s="575"/>
      <c r="AA18" s="778"/>
      <c r="AB18" s="575"/>
      <c r="AC18" s="575"/>
      <c r="AD18" s="575"/>
      <c r="AE18" s="753"/>
      <c r="AF18" s="575"/>
      <c r="AG18" s="575"/>
      <c r="AH18" s="842"/>
      <c r="AI18" s="1013">
        <f t="shared" si="1"/>
        <v>0</v>
      </c>
      <c r="AJ18" s="949">
        <v>0</v>
      </c>
      <c r="AK18" s="581">
        <f t="shared" si="2"/>
        <v>0</v>
      </c>
      <c r="AL18" s="746"/>
      <c r="AM18" s="743">
        <f t="shared" si="3"/>
        <v>0</v>
      </c>
    </row>
    <row r="19" spans="1:39" s="560" customFormat="1">
      <c r="A19" s="604" t="s">
        <v>561</v>
      </c>
      <c r="B19" s="604" t="s">
        <v>1159</v>
      </c>
      <c r="C19" s="679"/>
      <c r="D19" s="580"/>
      <c r="E19" s="581"/>
      <c r="F19" s="778"/>
      <c r="G19" s="581"/>
      <c r="H19" s="581"/>
      <c r="I19" s="949"/>
      <c r="J19" s="949"/>
      <c r="K19" s="949"/>
      <c r="L19" s="575"/>
      <c r="M19" s="778"/>
      <c r="N19" s="575"/>
      <c r="O19" s="575"/>
      <c r="P19" s="575"/>
      <c r="Q19" s="575"/>
      <c r="R19" s="575"/>
      <c r="S19" s="575"/>
      <c r="T19" s="778"/>
      <c r="U19" s="575"/>
      <c r="V19" s="575"/>
      <c r="W19" s="575"/>
      <c r="X19" s="575"/>
      <c r="Y19" s="575"/>
      <c r="Z19" s="575"/>
      <c r="AA19" s="778"/>
      <c r="AB19" s="575"/>
      <c r="AC19" s="575"/>
      <c r="AD19" s="575"/>
      <c r="AE19" s="753"/>
      <c r="AF19" s="575"/>
      <c r="AG19" s="575"/>
      <c r="AH19" s="842"/>
      <c r="AI19" s="1013">
        <f t="shared" si="1"/>
        <v>0</v>
      </c>
      <c r="AJ19" s="949">
        <v>0</v>
      </c>
      <c r="AK19" s="581">
        <f t="shared" si="2"/>
        <v>0</v>
      </c>
      <c r="AL19" s="746"/>
      <c r="AM19" s="743">
        <f t="shared" si="3"/>
        <v>0</v>
      </c>
    </row>
    <row r="20" spans="1:39" s="560" customFormat="1">
      <c r="A20" s="604" t="s">
        <v>562</v>
      </c>
      <c r="B20" s="604" t="s">
        <v>1160</v>
      </c>
      <c r="C20" s="530" t="s">
        <v>39</v>
      </c>
      <c r="D20" s="580"/>
      <c r="E20" s="581"/>
      <c r="F20" s="778"/>
      <c r="G20" s="581"/>
      <c r="H20" s="581"/>
      <c r="I20" s="949"/>
      <c r="J20" s="949"/>
      <c r="K20" s="949"/>
      <c r="L20" s="575"/>
      <c r="M20" s="778"/>
      <c r="N20" s="575"/>
      <c r="O20" s="575"/>
      <c r="P20" s="575"/>
      <c r="Q20" s="575"/>
      <c r="R20" s="575"/>
      <c r="S20" s="1039">
        <v>0.25</v>
      </c>
      <c r="T20" s="778"/>
      <c r="U20" s="575"/>
      <c r="V20" s="575"/>
      <c r="W20" s="575"/>
      <c r="X20" s="575"/>
      <c r="Y20" s="575"/>
      <c r="Z20" s="575"/>
      <c r="AA20" s="778"/>
      <c r="AB20" s="575"/>
      <c r="AC20" s="575"/>
      <c r="AD20" s="575"/>
      <c r="AE20" s="753"/>
      <c r="AF20" s="575"/>
      <c r="AG20" s="575"/>
      <c r="AH20" s="842"/>
      <c r="AI20" s="1059">
        <f t="shared" si="1"/>
        <v>0.25</v>
      </c>
      <c r="AJ20" s="949">
        <v>0</v>
      </c>
      <c r="AK20" s="581">
        <f t="shared" si="2"/>
        <v>0.25</v>
      </c>
      <c r="AL20" s="746" t="s">
        <v>1458</v>
      </c>
      <c r="AM20" s="743">
        <f t="shared" si="3"/>
        <v>1.68</v>
      </c>
    </row>
    <row r="21" spans="1:39" s="560" customFormat="1">
      <c r="A21" s="604" t="s">
        <v>563</v>
      </c>
      <c r="B21" s="604" t="s">
        <v>1161</v>
      </c>
      <c r="C21" s="530" t="s">
        <v>36</v>
      </c>
      <c r="D21" s="580"/>
      <c r="E21" s="581"/>
      <c r="F21" s="778"/>
      <c r="G21" s="581"/>
      <c r="H21" s="581"/>
      <c r="I21" s="949"/>
      <c r="J21" s="949"/>
      <c r="K21" s="949"/>
      <c r="L21" s="575"/>
      <c r="M21" s="778"/>
      <c r="N21" s="575"/>
      <c r="O21" s="575"/>
      <c r="P21" s="575"/>
      <c r="Q21" s="575"/>
      <c r="R21" s="575"/>
      <c r="S21" s="1039">
        <v>1.54</v>
      </c>
      <c r="T21" s="778"/>
      <c r="U21" s="575"/>
      <c r="V21" s="575"/>
      <c r="W21" s="575"/>
      <c r="X21" s="575"/>
      <c r="Y21" s="575"/>
      <c r="Z21" s="575"/>
      <c r="AA21" s="778"/>
      <c r="AB21" s="575"/>
      <c r="AC21" s="575"/>
      <c r="AD21" s="575"/>
      <c r="AE21" s="753"/>
      <c r="AF21" s="575"/>
      <c r="AG21" s="575"/>
      <c r="AH21" s="842"/>
      <c r="AI21" s="1059">
        <f t="shared" si="1"/>
        <v>1.54</v>
      </c>
      <c r="AJ21" s="949">
        <v>0</v>
      </c>
      <c r="AK21" s="581">
        <f t="shared" si="2"/>
        <v>1.54</v>
      </c>
      <c r="AL21" s="746" t="s">
        <v>1459</v>
      </c>
      <c r="AM21" s="743">
        <f t="shared" si="3"/>
        <v>13.879999999999999</v>
      </c>
    </row>
    <row r="22" spans="1:39" s="560" customFormat="1">
      <c r="A22" s="604" t="s">
        <v>564</v>
      </c>
      <c r="B22" s="604" t="s">
        <v>1162</v>
      </c>
      <c r="C22" s="530" t="s">
        <v>47</v>
      </c>
      <c r="D22" s="586"/>
      <c r="E22" s="587"/>
      <c r="F22" s="783"/>
      <c r="G22" s="587"/>
      <c r="H22" s="587"/>
      <c r="I22" s="588"/>
      <c r="J22" s="588"/>
      <c r="K22" s="1038">
        <v>17.86</v>
      </c>
      <c r="L22" s="575"/>
      <c r="M22" s="783"/>
      <c r="N22" s="575"/>
      <c r="O22" s="575"/>
      <c r="P22" s="575"/>
      <c r="Q22" s="575"/>
      <c r="R22" s="575"/>
      <c r="S22" s="575"/>
      <c r="T22" s="783"/>
      <c r="U22" s="575"/>
      <c r="V22" s="575"/>
      <c r="W22" s="575"/>
      <c r="X22" s="575"/>
      <c r="Y22" s="575"/>
      <c r="Z22" s="575"/>
      <c r="AA22" s="783"/>
      <c r="AB22" s="575"/>
      <c r="AC22" s="575"/>
      <c r="AD22" s="575"/>
      <c r="AE22" s="753"/>
      <c r="AF22" s="575"/>
      <c r="AG22" s="575"/>
      <c r="AH22" s="842"/>
      <c r="AI22" s="1059">
        <f t="shared" si="1"/>
        <v>17.86</v>
      </c>
      <c r="AJ22" s="949">
        <v>0</v>
      </c>
      <c r="AK22" s="581">
        <f t="shared" si="2"/>
        <v>17.86</v>
      </c>
      <c r="AL22" s="747" t="s">
        <v>1460</v>
      </c>
      <c r="AM22" s="743">
        <f t="shared" si="3"/>
        <v>257.69</v>
      </c>
    </row>
    <row r="23" spans="1:39" s="560" customFormat="1">
      <c r="A23" s="604" t="s">
        <v>565</v>
      </c>
      <c r="B23" s="604" t="s">
        <v>1163</v>
      </c>
      <c r="C23" s="679"/>
      <c r="D23" s="586"/>
      <c r="E23" s="587"/>
      <c r="F23" s="783"/>
      <c r="G23" s="587"/>
      <c r="H23" s="587"/>
      <c r="I23" s="588"/>
      <c r="J23" s="588"/>
      <c r="K23" s="588"/>
      <c r="L23" s="575"/>
      <c r="M23" s="783"/>
      <c r="N23" s="575"/>
      <c r="O23" s="575"/>
      <c r="P23" s="575"/>
      <c r="Q23" s="575"/>
      <c r="R23" s="575"/>
      <c r="S23" s="575"/>
      <c r="T23" s="783"/>
      <c r="U23" s="575"/>
      <c r="V23" s="575"/>
      <c r="W23" s="575"/>
      <c r="X23" s="575"/>
      <c r="Y23" s="575"/>
      <c r="Z23" s="575"/>
      <c r="AA23" s="783"/>
      <c r="AB23" s="575"/>
      <c r="AC23" s="575"/>
      <c r="AD23" s="575"/>
      <c r="AE23" s="753"/>
      <c r="AF23" s="575"/>
      <c r="AG23" s="575"/>
      <c r="AH23" s="842"/>
      <c r="AI23" s="1013">
        <f t="shared" si="1"/>
        <v>0</v>
      </c>
      <c r="AJ23" s="949">
        <v>0</v>
      </c>
      <c r="AK23" s="581">
        <f t="shared" si="2"/>
        <v>0</v>
      </c>
      <c r="AL23" s="747"/>
      <c r="AM23" s="743">
        <f t="shared" si="3"/>
        <v>0</v>
      </c>
    </row>
    <row r="24" spans="1:39" s="560" customFormat="1">
      <c r="A24" s="604" t="s">
        <v>568</v>
      </c>
      <c r="B24" s="604" t="s">
        <v>1166</v>
      </c>
      <c r="C24" s="530" t="s">
        <v>47</v>
      </c>
      <c r="D24" s="580"/>
      <c r="E24" s="581"/>
      <c r="F24" s="778"/>
      <c r="G24" s="581"/>
      <c r="H24" s="581"/>
      <c r="I24" s="949"/>
      <c r="J24" s="949"/>
      <c r="K24" s="949"/>
      <c r="L24" s="575"/>
      <c r="M24" s="778"/>
      <c r="N24" s="575"/>
      <c r="O24" s="575"/>
      <c r="P24" s="575"/>
      <c r="Q24" s="575"/>
      <c r="R24" s="575"/>
      <c r="S24" s="575"/>
      <c r="T24" s="778"/>
      <c r="U24" s="575"/>
      <c r="V24" s="575"/>
      <c r="W24" s="575"/>
      <c r="X24" s="575"/>
      <c r="Y24" s="575"/>
      <c r="Z24" s="575"/>
      <c r="AA24" s="778"/>
      <c r="AB24" s="1043">
        <v>11.83</v>
      </c>
      <c r="AC24" s="575"/>
      <c r="AD24" s="575"/>
      <c r="AE24" s="753"/>
      <c r="AF24" s="575"/>
      <c r="AG24" s="575"/>
      <c r="AH24" s="842"/>
      <c r="AI24" s="1059">
        <f t="shared" si="1"/>
        <v>11.83</v>
      </c>
      <c r="AJ24" s="949">
        <v>0</v>
      </c>
      <c r="AK24" s="581">
        <f t="shared" si="2"/>
        <v>11.83</v>
      </c>
      <c r="AL24" s="746" t="s">
        <v>1463</v>
      </c>
      <c r="AM24" s="743">
        <f t="shared" si="3"/>
        <v>432.65000000000003</v>
      </c>
    </row>
    <row r="25" spans="1:39" s="560" customFormat="1">
      <c r="A25" s="604" t="s">
        <v>577</v>
      </c>
      <c r="B25" s="604" t="s">
        <v>1175</v>
      </c>
      <c r="C25" s="679"/>
      <c r="D25" s="586"/>
      <c r="E25" s="587"/>
      <c r="F25" s="783"/>
      <c r="G25" s="587"/>
      <c r="H25" s="587"/>
      <c r="I25" s="588"/>
      <c r="J25" s="588"/>
      <c r="K25" s="588"/>
      <c r="L25" s="575"/>
      <c r="M25" s="783"/>
      <c r="N25" s="575"/>
      <c r="O25" s="575"/>
      <c r="P25" s="575"/>
      <c r="Q25" s="575"/>
      <c r="R25" s="575"/>
      <c r="S25" s="575"/>
      <c r="T25" s="783"/>
      <c r="U25" s="575"/>
      <c r="V25" s="575"/>
      <c r="W25" s="575"/>
      <c r="X25" s="575"/>
      <c r="Y25" s="575"/>
      <c r="Z25" s="575"/>
      <c r="AA25" s="783"/>
      <c r="AB25" s="575"/>
      <c r="AC25" s="575"/>
      <c r="AD25" s="575"/>
      <c r="AE25" s="753"/>
      <c r="AF25" s="575"/>
      <c r="AG25" s="575"/>
      <c r="AH25" s="842"/>
      <c r="AI25" s="1013">
        <f t="shared" si="1"/>
        <v>0</v>
      </c>
      <c r="AJ25" s="949">
        <v>0</v>
      </c>
      <c r="AK25" s="581">
        <f t="shared" si="2"/>
        <v>0</v>
      </c>
      <c r="AL25" s="747"/>
      <c r="AM25" s="743">
        <f t="shared" si="3"/>
        <v>0</v>
      </c>
    </row>
    <row r="26" spans="1:39" s="560" customFormat="1">
      <c r="A26" s="604" t="s">
        <v>578</v>
      </c>
      <c r="B26" s="604" t="s">
        <v>1176</v>
      </c>
      <c r="C26" s="530" t="s">
        <v>39</v>
      </c>
      <c r="D26" s="580"/>
      <c r="E26" s="581"/>
      <c r="F26" s="778"/>
      <c r="G26" s="581"/>
      <c r="H26" s="581"/>
      <c r="I26" s="949"/>
      <c r="J26" s="949"/>
      <c r="K26" s="949"/>
      <c r="L26" s="575"/>
      <c r="M26" s="778"/>
      <c r="N26" s="575"/>
      <c r="O26" s="575"/>
      <c r="P26" s="575"/>
      <c r="Q26" s="575"/>
      <c r="R26" s="575"/>
      <c r="S26" s="575"/>
      <c r="T26" s="778"/>
      <c r="U26" s="575"/>
      <c r="V26" s="575"/>
      <c r="W26" s="575"/>
      <c r="X26" s="575"/>
      <c r="Y26" s="575"/>
      <c r="Z26" s="575"/>
      <c r="AA26" s="778"/>
      <c r="AB26" s="1043">
        <v>1.97</v>
      </c>
      <c r="AC26" s="575"/>
      <c r="AD26" s="575"/>
      <c r="AE26" s="753"/>
      <c r="AF26" s="575"/>
      <c r="AG26" s="575"/>
      <c r="AH26" s="842"/>
      <c r="AI26" s="1059">
        <f t="shared" si="1"/>
        <v>1.97</v>
      </c>
      <c r="AJ26" s="949">
        <v>0</v>
      </c>
      <c r="AK26" s="581">
        <f t="shared" si="2"/>
        <v>1.97</v>
      </c>
      <c r="AL26" s="746" t="s">
        <v>1470</v>
      </c>
      <c r="AM26" s="743">
        <f t="shared" si="3"/>
        <v>1.68</v>
      </c>
    </row>
    <row r="27" spans="1:39" s="560" customFormat="1">
      <c r="A27" s="604" t="s">
        <v>580</v>
      </c>
      <c r="B27" s="604" t="s">
        <v>1178</v>
      </c>
      <c r="C27" s="530" t="s">
        <v>47</v>
      </c>
      <c r="D27" s="580"/>
      <c r="E27" s="581"/>
      <c r="F27" s="778"/>
      <c r="G27" s="581"/>
      <c r="H27" s="581"/>
      <c r="I27" s="949"/>
      <c r="J27" s="949"/>
      <c r="K27" s="949"/>
      <c r="L27" s="575"/>
      <c r="M27" s="778"/>
      <c r="N27" s="575"/>
      <c r="O27" s="575"/>
      <c r="P27" s="575"/>
      <c r="Q27" s="575"/>
      <c r="R27" s="575"/>
      <c r="S27" s="575"/>
      <c r="T27" s="778"/>
      <c r="U27" s="575"/>
      <c r="V27" s="575"/>
      <c r="W27" s="575"/>
      <c r="X27" s="1043">
        <f>0.15+75.35+26*9*0.99+28*9*0.25</f>
        <v>370.15999999999997</v>
      </c>
      <c r="Y27" s="575"/>
      <c r="Z27" s="575"/>
      <c r="AA27" s="778"/>
      <c r="AB27" s="575"/>
      <c r="AC27" s="575"/>
      <c r="AD27" s="575"/>
      <c r="AE27" s="753"/>
      <c r="AF27" s="575"/>
      <c r="AG27" s="575"/>
      <c r="AH27" s="842"/>
      <c r="AI27" s="1059">
        <f t="shared" si="1"/>
        <v>370.16</v>
      </c>
      <c r="AJ27" s="949">
        <v>0</v>
      </c>
      <c r="AK27" s="581">
        <f t="shared" si="2"/>
        <v>370.16</v>
      </c>
      <c r="AL27" s="746" t="s">
        <v>1472</v>
      </c>
      <c r="AM27" s="743">
        <f t="shared" si="3"/>
        <v>-71.920000000000016</v>
      </c>
    </row>
    <row r="28" spans="1:39" s="560" customFormat="1">
      <c r="A28" s="492" t="s">
        <v>43</v>
      </c>
      <c r="B28" s="608" t="s">
        <v>1188</v>
      </c>
      <c r="C28" s="679"/>
      <c r="D28" s="580"/>
      <c r="E28" s="581"/>
      <c r="F28" s="778"/>
      <c r="G28" s="581"/>
      <c r="H28" s="581"/>
      <c r="I28" s="949"/>
      <c r="J28" s="949"/>
      <c r="K28" s="949"/>
      <c r="L28" s="575"/>
      <c r="M28" s="778"/>
      <c r="N28" s="575"/>
      <c r="O28" s="575"/>
      <c r="P28" s="575"/>
      <c r="Q28" s="575"/>
      <c r="R28" s="575"/>
      <c r="S28" s="575"/>
      <c r="T28" s="778"/>
      <c r="U28" s="575"/>
      <c r="V28" s="575"/>
      <c r="W28" s="575"/>
      <c r="X28" s="575"/>
      <c r="Y28" s="575"/>
      <c r="Z28" s="575"/>
      <c r="AA28" s="778"/>
      <c r="AB28" s="575"/>
      <c r="AC28" s="575"/>
      <c r="AD28" s="575"/>
      <c r="AE28" s="753"/>
      <c r="AF28" s="575"/>
      <c r="AG28" s="575"/>
      <c r="AH28" s="842"/>
      <c r="AI28" s="1013">
        <f t="shared" ref="AI28:AI37" si="4">ROUND((SUM(D28:AH28)),2)</f>
        <v>0</v>
      </c>
      <c r="AJ28" s="949">
        <v>0</v>
      </c>
      <c r="AK28" s="581">
        <f t="shared" ref="AK28:AK37" si="5">AI28+AJ28</f>
        <v>0</v>
      </c>
      <c r="AL28" s="746"/>
      <c r="AM28" s="743">
        <f t="shared" ref="AM28:AM37" si="6">AL28-AK28</f>
        <v>0</v>
      </c>
    </row>
    <row r="29" spans="1:39" s="560" customFormat="1">
      <c r="A29" s="607" t="s">
        <v>602</v>
      </c>
      <c r="B29" s="607" t="s">
        <v>1155</v>
      </c>
      <c r="C29" s="679"/>
      <c r="D29" s="580"/>
      <c r="E29" s="581"/>
      <c r="F29" s="778"/>
      <c r="G29" s="581"/>
      <c r="H29" s="581"/>
      <c r="I29" s="949"/>
      <c r="J29" s="949"/>
      <c r="K29" s="949"/>
      <c r="L29" s="575"/>
      <c r="M29" s="778"/>
      <c r="N29" s="575"/>
      <c r="O29" s="575"/>
      <c r="P29" s="575"/>
      <c r="Q29" s="575"/>
      <c r="R29" s="575"/>
      <c r="S29" s="575"/>
      <c r="T29" s="778"/>
      <c r="U29" s="575"/>
      <c r="V29" s="575"/>
      <c r="W29" s="575"/>
      <c r="X29" s="575"/>
      <c r="Y29" s="575"/>
      <c r="Z29" s="575"/>
      <c r="AA29" s="778"/>
      <c r="AB29" s="575"/>
      <c r="AC29" s="575"/>
      <c r="AD29" s="575"/>
      <c r="AE29" s="753"/>
      <c r="AF29" s="575"/>
      <c r="AG29" s="575"/>
      <c r="AH29" s="842"/>
      <c r="AI29" s="1013">
        <f t="shared" si="4"/>
        <v>0</v>
      </c>
      <c r="AJ29" s="949">
        <v>0</v>
      </c>
      <c r="AK29" s="581">
        <f t="shared" si="5"/>
        <v>0</v>
      </c>
      <c r="AL29" s="746"/>
      <c r="AM29" s="743">
        <f t="shared" si="6"/>
        <v>0</v>
      </c>
    </row>
    <row r="30" spans="1:39" s="560" customFormat="1">
      <c r="A30" s="604" t="s">
        <v>614</v>
      </c>
      <c r="B30" s="604" t="s">
        <v>1167</v>
      </c>
      <c r="C30" s="679"/>
      <c r="D30" s="580"/>
      <c r="E30" s="581"/>
      <c r="F30" s="778"/>
      <c r="G30" s="581"/>
      <c r="H30" s="581"/>
      <c r="I30" s="949"/>
      <c r="J30" s="949"/>
      <c r="K30" s="949"/>
      <c r="L30" s="575"/>
      <c r="M30" s="778"/>
      <c r="N30" s="575"/>
      <c r="O30" s="575"/>
      <c r="P30" s="575"/>
      <c r="Q30" s="575"/>
      <c r="R30" s="575"/>
      <c r="S30" s="575"/>
      <c r="T30" s="778"/>
      <c r="U30" s="575"/>
      <c r="V30" s="575"/>
      <c r="W30" s="575"/>
      <c r="X30" s="575"/>
      <c r="Y30" s="575"/>
      <c r="Z30" s="575"/>
      <c r="AA30" s="778"/>
      <c r="AB30" s="575"/>
      <c r="AC30" s="575"/>
      <c r="AD30" s="575"/>
      <c r="AE30" s="753"/>
      <c r="AF30" s="575"/>
      <c r="AG30" s="575"/>
      <c r="AH30" s="842"/>
      <c r="AI30" s="1013">
        <f t="shared" si="4"/>
        <v>0</v>
      </c>
      <c r="AJ30" s="949">
        <v>0</v>
      </c>
      <c r="AK30" s="581">
        <f t="shared" si="5"/>
        <v>0</v>
      </c>
      <c r="AL30" s="746"/>
      <c r="AM30" s="743">
        <f t="shared" si="6"/>
        <v>0</v>
      </c>
    </row>
    <row r="31" spans="1:39" s="560" customFormat="1">
      <c r="A31" s="604" t="s">
        <v>615</v>
      </c>
      <c r="B31" s="604" t="s">
        <v>1168</v>
      </c>
      <c r="C31" s="530" t="s">
        <v>39</v>
      </c>
      <c r="D31" s="580"/>
      <c r="E31" s="581"/>
      <c r="F31" s="778"/>
      <c r="G31" s="581"/>
      <c r="H31" s="581"/>
      <c r="I31" s="949"/>
      <c r="J31" s="949"/>
      <c r="K31" s="949"/>
      <c r="L31" s="575"/>
      <c r="M31" s="778"/>
      <c r="N31" s="575"/>
      <c r="O31" s="575"/>
      <c r="P31" s="575"/>
      <c r="Q31" s="575"/>
      <c r="R31" s="575"/>
      <c r="S31" s="575"/>
      <c r="T31" s="778"/>
      <c r="U31" s="575"/>
      <c r="V31" s="575"/>
      <c r="W31" s="575"/>
      <c r="X31" s="575"/>
      <c r="Y31" s="575"/>
      <c r="Z31" s="575"/>
      <c r="AA31" s="778"/>
      <c r="AC31" s="575"/>
      <c r="AD31" s="1043">
        <v>0.31</v>
      </c>
      <c r="AE31" s="753"/>
      <c r="AF31" s="575"/>
      <c r="AG31" s="575"/>
      <c r="AH31" s="842"/>
      <c r="AI31" s="1059">
        <f t="shared" si="4"/>
        <v>0.31</v>
      </c>
      <c r="AJ31" s="949">
        <v>0</v>
      </c>
      <c r="AK31" s="581">
        <f t="shared" si="5"/>
        <v>0.31</v>
      </c>
      <c r="AL31" s="746" t="s">
        <v>1497</v>
      </c>
      <c r="AM31" s="743">
        <f t="shared" si="6"/>
        <v>2.5099999999999998</v>
      </c>
    </row>
    <row r="32" spans="1:39" s="560" customFormat="1">
      <c r="A32" s="492" t="s">
        <v>51</v>
      </c>
      <c r="B32" s="608" t="s">
        <v>1195</v>
      </c>
      <c r="C32" s="679"/>
      <c r="D32" s="580"/>
      <c r="E32" s="581"/>
      <c r="F32" s="778"/>
      <c r="G32" s="581"/>
      <c r="H32" s="581"/>
      <c r="I32" s="949"/>
      <c r="J32" s="949"/>
      <c r="K32" s="949"/>
      <c r="L32" s="575"/>
      <c r="M32" s="778"/>
      <c r="N32" s="575"/>
      <c r="O32" s="575"/>
      <c r="P32" s="575"/>
      <c r="Q32" s="575"/>
      <c r="R32" s="575"/>
      <c r="S32" s="575"/>
      <c r="T32" s="778"/>
      <c r="U32" s="575"/>
      <c r="V32" s="575"/>
      <c r="W32" s="575"/>
      <c r="X32" s="575"/>
      <c r="Y32" s="575"/>
      <c r="Z32" s="575"/>
      <c r="AA32" s="778"/>
      <c r="AB32" s="575"/>
      <c r="AC32" s="575"/>
      <c r="AD32" s="575"/>
      <c r="AE32" s="753"/>
      <c r="AF32" s="575"/>
      <c r="AG32" s="575"/>
      <c r="AH32" s="842"/>
      <c r="AI32" s="1013">
        <f t="shared" si="4"/>
        <v>0</v>
      </c>
      <c r="AJ32" s="949">
        <v>0</v>
      </c>
      <c r="AK32" s="581">
        <f t="shared" si="5"/>
        <v>0</v>
      </c>
      <c r="AL32" s="746"/>
      <c r="AM32" s="743">
        <f t="shared" si="6"/>
        <v>0</v>
      </c>
    </row>
    <row r="33" spans="1:39" s="560" customFormat="1">
      <c r="A33" s="607" t="s">
        <v>55</v>
      </c>
      <c r="B33" s="607" t="s">
        <v>45</v>
      </c>
      <c r="C33" s="690"/>
      <c r="D33" s="580"/>
      <c r="E33" s="581"/>
      <c r="F33" s="778"/>
      <c r="G33" s="581"/>
      <c r="H33" s="581"/>
      <c r="I33" s="949"/>
      <c r="J33" s="949"/>
      <c r="K33" s="949"/>
      <c r="L33" s="583"/>
      <c r="M33" s="778"/>
      <c r="N33" s="583"/>
      <c r="O33" s="583"/>
      <c r="P33" s="583"/>
      <c r="Q33" s="583"/>
      <c r="R33" s="583"/>
      <c r="S33" s="583"/>
      <c r="T33" s="778"/>
      <c r="U33" s="583"/>
      <c r="V33" s="583"/>
      <c r="W33" s="583"/>
      <c r="X33" s="583"/>
      <c r="Y33" s="583"/>
      <c r="Z33" s="583"/>
      <c r="AA33" s="778"/>
      <c r="AB33" s="583"/>
      <c r="AC33" s="583"/>
      <c r="AD33" s="583"/>
      <c r="AE33" s="753"/>
      <c r="AF33" s="583"/>
      <c r="AG33" s="583"/>
      <c r="AH33" s="843"/>
      <c r="AI33" s="1013">
        <f t="shared" si="4"/>
        <v>0</v>
      </c>
      <c r="AJ33" s="949">
        <v>0</v>
      </c>
      <c r="AK33" s="581">
        <f t="shared" si="5"/>
        <v>0</v>
      </c>
      <c r="AL33" s="746" t="s">
        <v>1511</v>
      </c>
      <c r="AM33" s="743">
        <f t="shared" si="6"/>
        <v>28.51</v>
      </c>
    </row>
    <row r="34" spans="1:39" s="560" customFormat="1">
      <c r="A34" s="604" t="s">
        <v>638</v>
      </c>
      <c r="B34" s="604" t="s">
        <v>1144</v>
      </c>
      <c r="C34" s="614" t="s">
        <v>39</v>
      </c>
      <c r="D34" s="580"/>
      <c r="E34" s="581"/>
      <c r="F34" s="778"/>
      <c r="G34" s="581"/>
      <c r="H34" s="581"/>
      <c r="I34" s="949"/>
      <c r="J34" s="949"/>
      <c r="K34" s="1034">
        <f>6*6*0.45</f>
        <v>16.2</v>
      </c>
      <c r="L34" s="583"/>
      <c r="M34" s="778"/>
      <c r="N34" s="583"/>
      <c r="O34" s="1043">
        <f>8.3*6.8*0.4</f>
        <v>22.576000000000004</v>
      </c>
      <c r="P34" s="583"/>
      <c r="Q34" s="583"/>
      <c r="R34" s="583"/>
      <c r="S34" s="583"/>
      <c r="T34" s="778"/>
      <c r="U34" s="583"/>
      <c r="V34" s="583"/>
      <c r="W34" s="583"/>
      <c r="X34" s="583"/>
      <c r="Y34" s="1043">
        <f>2.5*3*1</f>
        <v>7.5</v>
      </c>
      <c r="Z34" s="1043">
        <f>6.6*5.3*0.5</f>
        <v>17.489999999999998</v>
      </c>
      <c r="AA34" s="778"/>
      <c r="AB34" s="583"/>
      <c r="AC34" s="583"/>
      <c r="AD34" s="583"/>
      <c r="AE34" s="753"/>
      <c r="AF34" s="583"/>
      <c r="AG34" s="1038">
        <f>7*8*0.3</f>
        <v>16.8</v>
      </c>
      <c r="AH34" s="843"/>
      <c r="AI34" s="1059">
        <f t="shared" si="4"/>
        <v>80.569999999999993</v>
      </c>
      <c r="AJ34" s="949">
        <v>0</v>
      </c>
      <c r="AK34" s="581">
        <f t="shared" si="5"/>
        <v>80.569999999999993</v>
      </c>
      <c r="AL34" s="746" t="s">
        <v>1514</v>
      </c>
      <c r="AM34" s="743">
        <f t="shared" si="6"/>
        <v>-8.2399999999999949</v>
      </c>
    </row>
    <row r="35" spans="1:39" s="560" customFormat="1">
      <c r="A35" s="604" t="s">
        <v>640</v>
      </c>
      <c r="B35" s="604" t="s">
        <v>1146</v>
      </c>
      <c r="C35" s="614" t="s">
        <v>39</v>
      </c>
      <c r="D35" s="580"/>
      <c r="E35" s="581"/>
      <c r="F35" s="778"/>
      <c r="G35" s="581"/>
      <c r="H35" s="581"/>
      <c r="I35" s="949"/>
      <c r="J35" s="949"/>
      <c r="K35" s="949"/>
      <c r="L35" s="575"/>
      <c r="M35" s="778"/>
      <c r="N35" s="575"/>
      <c r="O35" s="1043">
        <v>2.0299999999999998</v>
      </c>
      <c r="P35" s="575"/>
      <c r="Q35" s="575"/>
      <c r="R35" s="575"/>
      <c r="S35" s="575"/>
      <c r="T35" s="778"/>
      <c r="U35" s="575"/>
      <c r="V35" s="575"/>
      <c r="W35" s="575"/>
      <c r="X35" s="575"/>
      <c r="Y35" s="575"/>
      <c r="Z35" s="575"/>
      <c r="AA35" s="778"/>
      <c r="AB35" s="575"/>
      <c r="AC35" s="575"/>
      <c r="AD35" s="575"/>
      <c r="AE35" s="753"/>
      <c r="AF35" s="575"/>
      <c r="AG35" s="575"/>
      <c r="AH35" s="842"/>
      <c r="AI35" s="1059">
        <f t="shared" si="4"/>
        <v>2.0299999999999998</v>
      </c>
      <c r="AJ35" s="949">
        <v>0</v>
      </c>
      <c r="AK35" s="581">
        <f t="shared" si="5"/>
        <v>2.0299999999999998</v>
      </c>
      <c r="AL35" s="746" t="s">
        <v>1515</v>
      </c>
      <c r="AM35" s="743">
        <f t="shared" si="6"/>
        <v>15.160000000000002</v>
      </c>
    </row>
    <row r="36" spans="1:39" s="560" customFormat="1">
      <c r="A36" s="607" t="s">
        <v>56</v>
      </c>
      <c r="B36" s="607" t="s">
        <v>1148</v>
      </c>
      <c r="C36" s="690"/>
      <c r="D36" s="586"/>
      <c r="E36" s="587"/>
      <c r="F36" s="783"/>
      <c r="G36" s="587"/>
      <c r="H36" s="587"/>
      <c r="I36" s="588"/>
      <c r="J36" s="588"/>
      <c r="K36" s="588"/>
      <c r="L36" s="575"/>
      <c r="M36" s="783"/>
      <c r="N36" s="575"/>
      <c r="O36" s="575"/>
      <c r="P36" s="575"/>
      <c r="Q36" s="575"/>
      <c r="R36" s="575"/>
      <c r="S36" s="575"/>
      <c r="T36" s="783"/>
      <c r="U36" s="575"/>
      <c r="V36" s="575"/>
      <c r="W36" s="575"/>
      <c r="X36" s="575"/>
      <c r="Y36" s="575"/>
      <c r="Z36" s="575"/>
      <c r="AA36" s="783"/>
      <c r="AB36" s="575"/>
      <c r="AC36" s="575"/>
      <c r="AD36" s="810"/>
      <c r="AE36" s="753"/>
      <c r="AF36" s="575"/>
      <c r="AG36" s="575"/>
      <c r="AH36" s="842"/>
      <c r="AI36" s="1013">
        <f t="shared" si="4"/>
        <v>0</v>
      </c>
      <c r="AJ36" s="949">
        <v>0</v>
      </c>
      <c r="AK36" s="581">
        <f t="shared" si="5"/>
        <v>0</v>
      </c>
      <c r="AL36" s="747" t="s">
        <v>1516</v>
      </c>
      <c r="AM36" s="743">
        <f t="shared" si="6"/>
        <v>23.07</v>
      </c>
    </row>
    <row r="37" spans="1:39" s="560" customFormat="1">
      <c r="A37" s="604" t="s">
        <v>642</v>
      </c>
      <c r="B37" s="604" t="s">
        <v>1189</v>
      </c>
      <c r="C37" s="614" t="s">
        <v>36</v>
      </c>
      <c r="D37" s="580"/>
      <c r="E37" s="581"/>
      <c r="F37" s="778"/>
      <c r="G37" s="581"/>
      <c r="H37" s="581"/>
      <c r="I37" s="949"/>
      <c r="J37" s="949"/>
      <c r="K37" s="949"/>
      <c r="L37" s="575"/>
      <c r="M37" s="778"/>
      <c r="N37" s="575"/>
      <c r="O37" s="575"/>
      <c r="P37" s="575"/>
      <c r="Q37" s="575"/>
      <c r="R37" s="575"/>
      <c r="S37" s="575"/>
      <c r="T37" s="778"/>
      <c r="U37" s="575"/>
      <c r="V37" s="575"/>
      <c r="W37" s="575"/>
      <c r="X37" s="575"/>
      <c r="Y37" s="575"/>
      <c r="Z37" s="575"/>
      <c r="AA37" s="778"/>
      <c r="AB37" s="575"/>
      <c r="AC37" s="575"/>
      <c r="AD37" s="1043">
        <v>1.56</v>
      </c>
      <c r="AE37" s="753"/>
      <c r="AF37" s="575"/>
      <c r="AG37" s="575"/>
      <c r="AH37" s="842"/>
      <c r="AI37" s="1059">
        <f t="shared" si="4"/>
        <v>1.56</v>
      </c>
      <c r="AJ37" s="949">
        <v>0</v>
      </c>
      <c r="AK37" s="581">
        <f t="shared" si="5"/>
        <v>1.56</v>
      </c>
      <c r="AL37" s="746" t="s">
        <v>1517</v>
      </c>
      <c r="AM37" s="743">
        <f t="shared" si="6"/>
        <v>8.84</v>
      </c>
    </row>
    <row r="38" spans="1:39" s="560" customFormat="1" ht="13.2" customHeight="1">
      <c r="A38" s="492" t="s">
        <v>502</v>
      </c>
      <c r="B38" s="608" t="s">
        <v>1196</v>
      </c>
      <c r="C38" s="690"/>
      <c r="D38" s="580"/>
      <c r="E38" s="581"/>
      <c r="F38" s="778"/>
      <c r="G38" s="581"/>
      <c r="H38" s="581"/>
      <c r="I38" s="949"/>
      <c r="J38" s="949"/>
      <c r="K38" s="949"/>
      <c r="L38" s="575"/>
      <c r="M38" s="778"/>
      <c r="N38" s="575"/>
      <c r="O38" s="575"/>
      <c r="P38" s="575"/>
      <c r="Q38" s="575"/>
      <c r="R38" s="575"/>
      <c r="S38" s="575"/>
      <c r="T38" s="778"/>
      <c r="U38" s="575"/>
      <c r="V38" s="575"/>
      <c r="W38" s="575"/>
      <c r="X38" s="575"/>
      <c r="Y38" s="575"/>
      <c r="Z38" s="575"/>
      <c r="AA38" s="778"/>
      <c r="AB38" s="575"/>
      <c r="AC38" s="575"/>
      <c r="AD38" s="575"/>
      <c r="AE38" s="753"/>
      <c r="AF38" s="575"/>
      <c r="AG38" s="575"/>
      <c r="AH38" s="842"/>
      <c r="AI38" s="1013">
        <f t="shared" ref="AI38:AI50" si="7">ROUND((SUM(D38:AH38)),2)</f>
        <v>0</v>
      </c>
      <c r="AJ38" s="949">
        <v>0</v>
      </c>
      <c r="AK38" s="581">
        <f t="shared" ref="AK38:AK51" si="8">AI38+AJ38</f>
        <v>0</v>
      </c>
      <c r="AL38" s="746"/>
      <c r="AM38" s="743">
        <f t="shared" ref="AM38:AM51" si="9">AL38-AK38</f>
        <v>0</v>
      </c>
    </row>
    <row r="39" spans="1:39" s="560" customFormat="1" ht="13.2" customHeight="1">
      <c r="A39" s="607" t="s">
        <v>503</v>
      </c>
      <c r="B39" s="607" t="s">
        <v>45</v>
      </c>
      <c r="C39" s="690"/>
      <c r="D39" s="580"/>
      <c r="E39" s="581"/>
      <c r="F39" s="778"/>
      <c r="G39" s="581"/>
      <c r="H39" s="581"/>
      <c r="I39" s="949"/>
      <c r="J39" s="949"/>
      <c r="K39" s="949"/>
      <c r="L39" s="575"/>
      <c r="M39" s="778"/>
      <c r="N39" s="575"/>
      <c r="O39" s="575"/>
      <c r="P39" s="575"/>
      <c r="Q39" s="575"/>
      <c r="R39" s="575"/>
      <c r="S39" s="575"/>
      <c r="T39" s="778"/>
      <c r="U39" s="575"/>
      <c r="V39" s="575"/>
      <c r="W39" s="575"/>
      <c r="X39" s="575"/>
      <c r="Y39" s="575"/>
      <c r="Z39" s="575"/>
      <c r="AA39" s="778"/>
      <c r="AB39" s="575"/>
      <c r="AC39" s="575"/>
      <c r="AD39" s="575"/>
      <c r="AE39" s="753"/>
      <c r="AF39" s="575"/>
      <c r="AG39" s="575"/>
      <c r="AH39" s="842"/>
      <c r="AI39" s="1013">
        <f t="shared" si="7"/>
        <v>0</v>
      </c>
      <c r="AJ39" s="949">
        <v>0</v>
      </c>
      <c r="AK39" s="581">
        <f t="shared" si="8"/>
        <v>0</v>
      </c>
      <c r="AL39" s="746" t="s">
        <v>1542</v>
      </c>
      <c r="AM39" s="743">
        <f t="shared" si="9"/>
        <v>39.86</v>
      </c>
    </row>
    <row r="40" spans="1:39" s="560" customFormat="1" ht="13.2" customHeight="1">
      <c r="A40" s="604" t="s">
        <v>682</v>
      </c>
      <c r="B40" s="604" t="s">
        <v>1143</v>
      </c>
      <c r="C40" s="614" t="s">
        <v>39</v>
      </c>
      <c r="D40" s="1030">
        <v>9.67</v>
      </c>
      <c r="E40" s="581"/>
      <c r="F40" s="778"/>
      <c r="G40" s="581"/>
      <c r="H40" s="581"/>
      <c r="I40" s="949"/>
      <c r="J40" s="949"/>
      <c r="K40" s="949"/>
      <c r="L40" s="575"/>
      <c r="M40" s="778"/>
      <c r="N40" s="575"/>
      <c r="O40" s="575"/>
      <c r="P40" s="575"/>
      <c r="Q40" s="575"/>
      <c r="R40" s="575"/>
      <c r="S40" s="575"/>
      <c r="T40" s="778"/>
      <c r="U40" s="575"/>
      <c r="V40" s="575"/>
      <c r="W40" s="575"/>
      <c r="X40" s="575"/>
      <c r="Y40" s="575"/>
      <c r="Z40" s="575"/>
      <c r="AA40" s="778"/>
      <c r="AB40" s="575"/>
      <c r="AC40" s="575"/>
      <c r="AD40" s="575"/>
      <c r="AE40" s="753"/>
      <c r="AF40" s="575"/>
      <c r="AG40" s="575"/>
      <c r="AH40" s="842"/>
      <c r="AI40" s="1059">
        <f t="shared" si="7"/>
        <v>9.67</v>
      </c>
      <c r="AJ40" s="949">
        <v>0</v>
      </c>
      <c r="AK40" s="581">
        <f t="shared" si="8"/>
        <v>9.67</v>
      </c>
      <c r="AL40" s="746" t="s">
        <v>1544</v>
      </c>
      <c r="AM40" s="743">
        <f t="shared" si="9"/>
        <v>6.0500000000000007</v>
      </c>
    </row>
    <row r="41" spans="1:39" s="560" customFormat="1" ht="13.2" customHeight="1">
      <c r="A41" s="604" t="s">
        <v>683</v>
      </c>
      <c r="B41" s="604" t="s">
        <v>1144</v>
      </c>
      <c r="C41" s="614" t="s">
        <v>39</v>
      </c>
      <c r="D41" s="580"/>
      <c r="E41" s="581"/>
      <c r="F41" s="778"/>
      <c r="G41" s="581"/>
      <c r="H41" s="581"/>
      <c r="I41" s="949"/>
      <c r="J41" s="949"/>
      <c r="K41" s="949"/>
      <c r="L41" s="575"/>
      <c r="M41" s="778"/>
      <c r="N41" s="575"/>
      <c r="O41" s="575"/>
      <c r="P41" s="575"/>
      <c r="Q41" s="575"/>
      <c r="R41" s="575"/>
      <c r="S41" s="575"/>
      <c r="T41" s="778"/>
      <c r="U41" s="575"/>
      <c r="V41" s="575"/>
      <c r="W41" s="575"/>
      <c r="X41" s="1043">
        <f>2.7*5.9*0.5</f>
        <v>7.9650000000000007</v>
      </c>
      <c r="Y41" s="575"/>
      <c r="Z41" s="575"/>
      <c r="AA41" s="778"/>
      <c r="AB41" s="575"/>
      <c r="AC41" s="575"/>
      <c r="AD41" s="575"/>
      <c r="AE41" s="753"/>
      <c r="AF41" s="575"/>
      <c r="AG41" s="575"/>
      <c r="AH41" s="842"/>
      <c r="AI41" s="1058">
        <f t="shared" si="7"/>
        <v>7.97</v>
      </c>
      <c r="AJ41" s="949">
        <v>0</v>
      </c>
      <c r="AK41" s="581">
        <f t="shared" si="8"/>
        <v>7.97</v>
      </c>
      <c r="AL41" s="746" t="s">
        <v>1545</v>
      </c>
      <c r="AM41" s="743">
        <f t="shared" si="9"/>
        <v>14.060000000000002</v>
      </c>
    </row>
    <row r="42" spans="1:39" s="560" customFormat="1" ht="13.2" customHeight="1">
      <c r="A42" s="607" t="s">
        <v>694</v>
      </c>
      <c r="B42" s="607" t="s">
        <v>1155</v>
      </c>
      <c r="C42" s="690"/>
      <c r="D42" s="580"/>
      <c r="E42" s="581"/>
      <c r="F42" s="778"/>
      <c r="G42" s="581"/>
      <c r="H42" s="581"/>
      <c r="I42" s="949"/>
      <c r="J42" s="949"/>
      <c r="K42" s="949"/>
      <c r="L42" s="575"/>
      <c r="M42" s="778"/>
      <c r="N42" s="575"/>
      <c r="O42" s="575"/>
      <c r="P42" s="575"/>
      <c r="Q42" s="575"/>
      <c r="R42" s="575"/>
      <c r="S42" s="575"/>
      <c r="T42" s="778"/>
      <c r="U42" s="575"/>
      <c r="V42" s="575"/>
      <c r="W42" s="575"/>
      <c r="X42" s="575"/>
      <c r="Y42" s="575"/>
      <c r="Z42" s="575"/>
      <c r="AA42" s="778"/>
      <c r="AB42" s="575"/>
      <c r="AC42" s="575"/>
      <c r="AD42" s="575"/>
      <c r="AE42" s="753"/>
      <c r="AF42" s="575"/>
      <c r="AG42" s="575"/>
      <c r="AH42" s="842"/>
      <c r="AI42" s="1013">
        <f t="shared" si="7"/>
        <v>0</v>
      </c>
      <c r="AJ42" s="949">
        <v>0</v>
      </c>
      <c r="AK42" s="581">
        <f t="shared" si="8"/>
        <v>0</v>
      </c>
      <c r="AL42" s="746"/>
      <c r="AM42" s="743">
        <f t="shared" si="9"/>
        <v>0</v>
      </c>
    </row>
    <row r="43" spans="1:39" s="560" customFormat="1" ht="13.2" customHeight="1">
      <c r="A43" s="604" t="s">
        <v>695</v>
      </c>
      <c r="B43" s="604" t="s">
        <v>1156</v>
      </c>
      <c r="C43" s="690"/>
      <c r="D43" s="580"/>
      <c r="E43" s="581"/>
      <c r="F43" s="778"/>
      <c r="G43" s="581"/>
      <c r="H43" s="581"/>
      <c r="I43" s="949"/>
      <c r="J43" s="949"/>
      <c r="K43" s="949"/>
      <c r="L43" s="575"/>
      <c r="M43" s="778"/>
      <c r="N43" s="575"/>
      <c r="O43" s="575"/>
      <c r="P43" s="575"/>
      <c r="Q43" s="575"/>
      <c r="R43" s="575"/>
      <c r="S43" s="575"/>
      <c r="T43" s="778"/>
      <c r="U43" s="575"/>
      <c r="V43" s="575"/>
      <c r="W43" s="575"/>
      <c r="X43" s="575"/>
      <c r="Y43" s="575"/>
      <c r="Z43" s="575"/>
      <c r="AA43" s="778"/>
      <c r="AB43" s="575"/>
      <c r="AC43" s="575"/>
      <c r="AD43" s="575"/>
      <c r="AE43" s="753"/>
      <c r="AF43" s="575"/>
      <c r="AG43" s="575"/>
      <c r="AH43" s="842"/>
      <c r="AI43" s="1013">
        <f t="shared" si="7"/>
        <v>0</v>
      </c>
      <c r="AJ43" s="949">
        <v>0</v>
      </c>
      <c r="AK43" s="581">
        <f t="shared" si="8"/>
        <v>0</v>
      </c>
      <c r="AL43" s="746" t="s">
        <v>1456</v>
      </c>
      <c r="AM43" s="743">
        <f t="shared" si="9"/>
        <v>4.6100000000000003</v>
      </c>
    </row>
    <row r="44" spans="1:39" s="560" customFormat="1" ht="13.2" customHeight="1">
      <c r="A44" s="604" t="s">
        <v>696</v>
      </c>
      <c r="B44" s="604" t="s">
        <v>1192</v>
      </c>
      <c r="C44" s="614" t="s">
        <v>39</v>
      </c>
      <c r="D44" s="580"/>
      <c r="E44" s="1032">
        <v>1.22</v>
      </c>
      <c r="F44" s="778"/>
      <c r="G44" s="581"/>
      <c r="H44" s="581"/>
      <c r="I44" s="949"/>
      <c r="J44" s="949"/>
      <c r="K44" s="949"/>
      <c r="L44" s="575"/>
      <c r="M44" s="778"/>
      <c r="N44" s="575"/>
      <c r="O44" s="575"/>
      <c r="P44" s="575"/>
      <c r="Q44" s="575"/>
      <c r="R44" s="575"/>
      <c r="S44" s="575"/>
      <c r="T44" s="778"/>
      <c r="U44" s="575"/>
      <c r="V44" s="575"/>
      <c r="W44" s="575"/>
      <c r="X44" s="575"/>
      <c r="Y44" s="575"/>
      <c r="Z44" s="575"/>
      <c r="AA44" s="778"/>
      <c r="AB44" s="575"/>
      <c r="AC44" s="575"/>
      <c r="AD44" s="575"/>
      <c r="AE44" s="753"/>
      <c r="AF44" s="575"/>
      <c r="AG44" s="575"/>
      <c r="AH44" s="842"/>
      <c r="AI44" s="1059">
        <f t="shared" si="7"/>
        <v>1.22</v>
      </c>
      <c r="AJ44" s="949">
        <v>0</v>
      </c>
      <c r="AK44" s="581">
        <f t="shared" si="8"/>
        <v>1.22</v>
      </c>
      <c r="AL44" s="746" t="s">
        <v>1457</v>
      </c>
      <c r="AM44" s="743">
        <f t="shared" si="9"/>
        <v>191.48</v>
      </c>
    </row>
    <row r="45" spans="1:39" s="560" customFormat="1" ht="13.2" customHeight="1">
      <c r="A45" s="604" t="s">
        <v>698</v>
      </c>
      <c r="B45" s="604" t="s">
        <v>1159</v>
      </c>
      <c r="C45" s="690"/>
      <c r="D45" s="580"/>
      <c r="E45" s="581"/>
      <c r="F45" s="778"/>
      <c r="G45" s="581"/>
      <c r="H45" s="581"/>
      <c r="I45" s="949"/>
      <c r="J45" s="949"/>
      <c r="K45" s="949"/>
      <c r="L45" s="575"/>
      <c r="M45" s="778"/>
      <c r="N45" s="575"/>
      <c r="O45" s="575"/>
      <c r="P45" s="575"/>
      <c r="Q45" s="575"/>
      <c r="R45" s="575"/>
      <c r="S45" s="575"/>
      <c r="T45" s="778"/>
      <c r="U45" s="575"/>
      <c r="V45" s="575"/>
      <c r="W45" s="575"/>
      <c r="X45" s="575"/>
      <c r="Y45" s="575"/>
      <c r="Z45" s="575"/>
      <c r="AA45" s="778"/>
      <c r="AB45" s="575"/>
      <c r="AC45" s="575"/>
      <c r="AD45" s="575"/>
      <c r="AE45" s="753"/>
      <c r="AF45" s="575"/>
      <c r="AG45" s="575"/>
      <c r="AH45" s="842"/>
      <c r="AI45" s="1013">
        <f t="shared" si="7"/>
        <v>0</v>
      </c>
      <c r="AJ45" s="949">
        <v>0</v>
      </c>
      <c r="AK45" s="581">
        <f t="shared" si="8"/>
        <v>0</v>
      </c>
      <c r="AL45" s="746" t="s">
        <v>1552</v>
      </c>
      <c r="AM45" s="743">
        <f t="shared" si="9"/>
        <v>2.19</v>
      </c>
    </row>
    <row r="46" spans="1:39" s="560" customFormat="1" ht="13.2" customHeight="1">
      <c r="A46" s="604" t="s">
        <v>699</v>
      </c>
      <c r="B46" s="604" t="s">
        <v>1193</v>
      </c>
      <c r="C46" s="614" t="s">
        <v>39</v>
      </c>
      <c r="D46" s="580"/>
      <c r="E46" s="581"/>
      <c r="F46" s="778"/>
      <c r="G46" s="581"/>
      <c r="H46" s="581"/>
      <c r="I46" s="949"/>
      <c r="J46" s="949"/>
      <c r="K46" s="949"/>
      <c r="L46" s="575"/>
      <c r="M46" s="778"/>
      <c r="N46" s="575"/>
      <c r="O46" s="575"/>
      <c r="P46" s="575"/>
      <c r="Q46" s="575"/>
      <c r="R46" s="575"/>
      <c r="S46" s="575"/>
      <c r="T46" s="778"/>
      <c r="U46" s="575"/>
      <c r="V46" s="575"/>
      <c r="W46" s="575"/>
      <c r="X46" s="575"/>
      <c r="Y46" s="575"/>
      <c r="Z46" s="575"/>
      <c r="AA46" s="778"/>
      <c r="AB46" s="575"/>
      <c r="AC46" s="575"/>
      <c r="AD46" s="575"/>
      <c r="AE46" s="753"/>
      <c r="AF46" s="575"/>
      <c r="AG46" s="575"/>
      <c r="AH46" s="842"/>
      <c r="AI46" s="1013">
        <f t="shared" si="7"/>
        <v>0</v>
      </c>
      <c r="AJ46" s="949">
        <v>0</v>
      </c>
      <c r="AK46" s="581">
        <f t="shared" si="8"/>
        <v>0</v>
      </c>
      <c r="AL46" s="746" t="s">
        <v>1553</v>
      </c>
      <c r="AM46" s="743">
        <f t="shared" si="9"/>
        <v>17.489999999999998</v>
      </c>
    </row>
    <row r="47" spans="1:39" s="560" customFormat="1" ht="13.2" customHeight="1">
      <c r="A47" s="604" t="s">
        <v>700</v>
      </c>
      <c r="B47" s="604" t="s">
        <v>1161</v>
      </c>
      <c r="C47" s="614" t="s">
        <v>36</v>
      </c>
      <c r="D47" s="580"/>
      <c r="E47" s="581"/>
      <c r="F47" s="778"/>
      <c r="G47" s="581"/>
      <c r="H47" s="581"/>
      <c r="I47" s="1035">
        <v>3.51</v>
      </c>
      <c r="J47" s="949"/>
      <c r="K47" s="949"/>
      <c r="L47" s="575"/>
      <c r="M47" s="778"/>
      <c r="N47" s="575"/>
      <c r="O47" s="575"/>
      <c r="P47" s="575"/>
      <c r="Q47" s="575"/>
      <c r="R47" s="575"/>
      <c r="S47" s="575"/>
      <c r="T47" s="778"/>
      <c r="U47" s="575"/>
      <c r="V47" s="575"/>
      <c r="W47" s="575"/>
      <c r="X47" s="575"/>
      <c r="Y47" s="575"/>
      <c r="Z47" s="575"/>
      <c r="AA47" s="778"/>
      <c r="AB47" s="575"/>
      <c r="AC47" s="575"/>
      <c r="AD47" s="575"/>
      <c r="AE47" s="753"/>
      <c r="AF47" s="575"/>
      <c r="AG47" s="575"/>
      <c r="AH47" s="842"/>
      <c r="AI47" s="1059">
        <f t="shared" si="7"/>
        <v>3.51</v>
      </c>
      <c r="AJ47" s="949">
        <v>0</v>
      </c>
      <c r="AK47" s="581">
        <f t="shared" si="8"/>
        <v>3.51</v>
      </c>
      <c r="AL47" s="746" t="s">
        <v>1554</v>
      </c>
      <c r="AM47" s="743">
        <f t="shared" si="9"/>
        <v>175.74</v>
      </c>
    </row>
    <row r="48" spans="1:39" s="560" customFormat="1" ht="13.2" customHeight="1">
      <c r="A48" s="604" t="s">
        <v>701</v>
      </c>
      <c r="B48" s="604" t="s">
        <v>1162</v>
      </c>
      <c r="C48" s="614" t="s">
        <v>47</v>
      </c>
      <c r="D48" s="580"/>
      <c r="E48" s="581"/>
      <c r="F48" s="778"/>
      <c r="G48" s="1032">
        <v>66.28</v>
      </c>
      <c r="H48" s="581"/>
      <c r="I48" s="949"/>
      <c r="J48" s="949"/>
      <c r="K48" s="949"/>
      <c r="L48" s="575"/>
      <c r="M48" s="778"/>
      <c r="N48" s="575"/>
      <c r="O48" s="575"/>
      <c r="P48" s="575"/>
      <c r="Q48" s="575"/>
      <c r="R48" s="575"/>
      <c r="S48" s="575"/>
      <c r="T48" s="778"/>
      <c r="U48" s="575"/>
      <c r="V48" s="575"/>
      <c r="W48" s="575"/>
      <c r="X48" s="575"/>
      <c r="Y48" s="575"/>
      <c r="Z48" s="575"/>
      <c r="AA48" s="778"/>
      <c r="AB48" s="575"/>
      <c r="AC48" s="575"/>
      <c r="AD48" s="575"/>
      <c r="AE48" s="753"/>
      <c r="AF48" s="575"/>
      <c r="AG48" s="575"/>
      <c r="AH48" s="842"/>
      <c r="AI48" s="1059">
        <f t="shared" si="7"/>
        <v>66.28</v>
      </c>
      <c r="AJ48" s="949">
        <v>0</v>
      </c>
      <c r="AK48" s="581">
        <f t="shared" si="8"/>
        <v>66.28</v>
      </c>
      <c r="AL48" s="746"/>
      <c r="AM48" s="743">
        <f t="shared" si="9"/>
        <v>-66.28</v>
      </c>
    </row>
    <row r="49" spans="1:39" s="560" customFormat="1" ht="13.2" customHeight="1">
      <c r="A49" s="604" t="s">
        <v>702</v>
      </c>
      <c r="B49" s="604" t="s">
        <v>1163</v>
      </c>
      <c r="C49" s="690"/>
      <c r="D49" s="580"/>
      <c r="E49" s="581"/>
      <c r="F49" s="778"/>
      <c r="G49" s="581"/>
      <c r="H49" s="581"/>
      <c r="I49" s="949"/>
      <c r="J49" s="949"/>
      <c r="K49" s="949"/>
      <c r="L49" s="575"/>
      <c r="M49" s="778"/>
      <c r="N49" s="575"/>
      <c r="O49" s="575"/>
      <c r="P49" s="575"/>
      <c r="Q49" s="575"/>
      <c r="R49" s="575"/>
      <c r="S49" s="575"/>
      <c r="T49" s="778"/>
      <c r="U49" s="575"/>
      <c r="V49" s="575"/>
      <c r="W49" s="575"/>
      <c r="X49" s="575"/>
      <c r="Y49" s="575"/>
      <c r="Z49" s="575"/>
      <c r="AA49" s="778"/>
      <c r="AB49" s="575"/>
      <c r="AC49" s="575"/>
      <c r="AD49" s="575"/>
      <c r="AE49" s="753"/>
      <c r="AF49" s="575"/>
      <c r="AG49" s="575"/>
      <c r="AH49" s="842"/>
      <c r="AI49" s="1013">
        <f t="shared" si="7"/>
        <v>0</v>
      </c>
      <c r="AJ49" s="949">
        <v>0</v>
      </c>
      <c r="AK49" s="581">
        <f t="shared" si="8"/>
        <v>0</v>
      </c>
      <c r="AL49" s="746" t="s">
        <v>1518</v>
      </c>
      <c r="AM49" s="743">
        <f t="shared" si="9"/>
        <v>2.1800000000000002</v>
      </c>
    </row>
    <row r="50" spans="1:39" s="560" customFormat="1" ht="13.2" customHeight="1">
      <c r="A50" s="604" t="s">
        <v>705</v>
      </c>
      <c r="B50" s="604" t="s">
        <v>1166</v>
      </c>
      <c r="C50" s="614" t="s">
        <v>47</v>
      </c>
      <c r="D50" s="580"/>
      <c r="E50" s="1035">
        <v>153.9</v>
      </c>
      <c r="F50" s="778"/>
      <c r="G50" s="581"/>
      <c r="H50" s="581"/>
      <c r="I50" s="949"/>
      <c r="J50" s="949"/>
      <c r="K50" s="949"/>
      <c r="L50" s="575"/>
      <c r="M50" s="778"/>
      <c r="N50" s="575"/>
      <c r="O50" s="575"/>
      <c r="P50" s="575"/>
      <c r="Q50" s="575"/>
      <c r="R50" s="575"/>
      <c r="S50" s="575"/>
      <c r="T50" s="778"/>
      <c r="U50" s="575"/>
      <c r="V50" s="575"/>
      <c r="W50" s="575"/>
      <c r="X50" s="575"/>
      <c r="Y50" s="575"/>
      <c r="Z50" s="575"/>
      <c r="AA50" s="778"/>
      <c r="AB50" s="575"/>
      <c r="AC50" s="575"/>
      <c r="AD50" s="575"/>
      <c r="AE50" s="753"/>
      <c r="AF50" s="575"/>
      <c r="AG50" s="575"/>
      <c r="AH50" s="842"/>
      <c r="AI50" s="1059">
        <f t="shared" si="7"/>
        <v>153.9</v>
      </c>
      <c r="AJ50" s="949">
        <v>0</v>
      </c>
      <c r="AK50" s="581">
        <f t="shared" si="8"/>
        <v>153.9</v>
      </c>
      <c r="AL50" s="746"/>
      <c r="AM50" s="743">
        <f t="shared" si="9"/>
        <v>-153.9</v>
      </c>
    </row>
    <row r="51" spans="1:39" s="560" customFormat="1" ht="13.2" customHeight="1">
      <c r="A51" s="604" t="s">
        <v>710</v>
      </c>
      <c r="B51" s="604" t="s">
        <v>1171</v>
      </c>
      <c r="C51" s="690"/>
      <c r="D51" s="580"/>
      <c r="E51" s="581"/>
      <c r="F51" s="778"/>
      <c r="G51" s="581"/>
      <c r="H51" s="581"/>
      <c r="I51" s="949"/>
      <c r="J51" s="949"/>
      <c r="K51" s="949"/>
      <c r="L51" s="575"/>
      <c r="M51" s="778"/>
      <c r="N51" s="575"/>
      <c r="O51" s="575"/>
      <c r="P51" s="575"/>
      <c r="Q51" s="575"/>
      <c r="R51" s="575"/>
      <c r="S51" s="575"/>
      <c r="T51" s="778"/>
      <c r="U51" s="575"/>
      <c r="V51" s="575"/>
      <c r="W51" s="575"/>
      <c r="X51" s="575"/>
      <c r="Y51" s="575"/>
      <c r="Z51" s="575"/>
      <c r="AA51" s="778"/>
      <c r="AB51" s="575"/>
      <c r="AC51" s="575"/>
      <c r="AD51" s="575"/>
      <c r="AE51" s="753"/>
      <c r="AF51" s="575"/>
      <c r="AG51" s="575"/>
      <c r="AH51" s="842"/>
      <c r="AI51" s="1013">
        <f t="shared" ref="AI51:AI60" si="10">ROUND((SUM(D51:AH51)),2)</f>
        <v>0</v>
      </c>
      <c r="AJ51" s="949">
        <v>0</v>
      </c>
      <c r="AK51" s="581">
        <f t="shared" si="8"/>
        <v>0</v>
      </c>
      <c r="AL51" s="746" t="s">
        <v>1557</v>
      </c>
      <c r="AM51" s="743">
        <f t="shared" si="9"/>
        <v>5.6</v>
      </c>
    </row>
    <row r="52" spans="1:39" s="560" customFormat="1" ht="13.2" customHeight="1">
      <c r="A52" s="604" t="s">
        <v>711</v>
      </c>
      <c r="B52" s="604" t="s">
        <v>1172</v>
      </c>
      <c r="C52" s="614" t="s">
        <v>39</v>
      </c>
      <c r="D52" s="580"/>
      <c r="E52" s="581"/>
      <c r="F52" s="778"/>
      <c r="G52" s="581"/>
      <c r="H52" s="581"/>
      <c r="I52" s="949"/>
      <c r="J52" s="949"/>
      <c r="K52" s="949"/>
      <c r="L52" s="575"/>
      <c r="M52" s="778"/>
      <c r="N52" s="575"/>
      <c r="O52" s="575"/>
      <c r="P52" s="575"/>
      <c r="Q52" s="575"/>
      <c r="R52" s="575"/>
      <c r="S52" s="575"/>
      <c r="T52" s="778"/>
      <c r="U52" s="575"/>
      <c r="V52" s="575"/>
      <c r="W52" s="575"/>
      <c r="X52" s="575"/>
      <c r="Y52" s="575"/>
      <c r="Z52" s="575"/>
      <c r="AA52" s="778"/>
      <c r="AB52" s="575"/>
      <c r="AC52" s="1039">
        <v>0.49</v>
      </c>
      <c r="AD52" s="575"/>
      <c r="AE52" s="753"/>
      <c r="AF52" s="575"/>
      <c r="AG52" s="575"/>
      <c r="AH52" s="842"/>
      <c r="AI52" s="1059">
        <f t="shared" si="10"/>
        <v>0.49</v>
      </c>
      <c r="AJ52" s="949">
        <v>0</v>
      </c>
      <c r="AK52" s="581">
        <f t="shared" ref="AK52:AK60" si="11">AI52+AJ52</f>
        <v>0.49</v>
      </c>
      <c r="AL52" s="746" t="s">
        <v>1558</v>
      </c>
      <c r="AM52" s="743">
        <f t="shared" ref="AM52:AM60" si="12">AL52-AK52</f>
        <v>48.26</v>
      </c>
    </row>
    <row r="53" spans="1:39" s="560" customFormat="1" ht="13.2" customHeight="1">
      <c r="A53" s="604" t="s">
        <v>714</v>
      </c>
      <c r="B53" s="604" t="s">
        <v>1175</v>
      </c>
      <c r="C53" s="690"/>
      <c r="D53" s="580"/>
      <c r="E53" s="581"/>
      <c r="F53" s="778"/>
      <c r="G53" s="581"/>
      <c r="H53" s="581"/>
      <c r="I53" s="949"/>
      <c r="J53" s="949"/>
      <c r="K53" s="949"/>
      <c r="L53" s="575"/>
      <c r="M53" s="778"/>
      <c r="N53" s="575"/>
      <c r="O53" s="575"/>
      <c r="P53" s="575"/>
      <c r="Q53" s="575"/>
      <c r="R53" s="575"/>
      <c r="S53" s="575"/>
      <c r="T53" s="778"/>
      <c r="U53" s="575"/>
      <c r="V53" s="575"/>
      <c r="W53" s="575"/>
      <c r="X53" s="575"/>
      <c r="Y53" s="575"/>
      <c r="Z53" s="575"/>
      <c r="AA53" s="778"/>
      <c r="AB53" s="575"/>
      <c r="AC53" s="575"/>
      <c r="AD53" s="575"/>
      <c r="AE53" s="753"/>
      <c r="AF53" s="575"/>
      <c r="AG53" s="575"/>
      <c r="AH53" s="842"/>
      <c r="AI53" s="1013">
        <f t="shared" si="10"/>
        <v>0</v>
      </c>
      <c r="AJ53" s="949">
        <v>0</v>
      </c>
      <c r="AK53" s="581">
        <f t="shared" si="11"/>
        <v>0</v>
      </c>
      <c r="AL53" s="746" t="s">
        <v>1560</v>
      </c>
      <c r="AM53" s="743">
        <f t="shared" si="12"/>
        <v>3.36</v>
      </c>
    </row>
    <row r="54" spans="1:39" s="560" customFormat="1" ht="13.2" customHeight="1">
      <c r="A54" s="604" t="s">
        <v>715</v>
      </c>
      <c r="B54" s="604" t="s">
        <v>1176</v>
      </c>
      <c r="C54" s="614" t="s">
        <v>39</v>
      </c>
      <c r="D54" s="580"/>
      <c r="E54" s="581"/>
      <c r="F54" s="778"/>
      <c r="G54" s="581"/>
      <c r="H54" s="581"/>
      <c r="I54" s="949"/>
      <c r="J54" s="949"/>
      <c r="K54" s="949"/>
      <c r="L54" s="575"/>
      <c r="M54" s="778"/>
      <c r="N54" s="575"/>
      <c r="O54" s="575"/>
      <c r="P54" s="575"/>
      <c r="Q54" s="575"/>
      <c r="R54" s="575"/>
      <c r="S54" s="575"/>
      <c r="T54" s="778"/>
      <c r="U54" s="575"/>
      <c r="V54" s="575"/>
      <c r="W54" s="575"/>
      <c r="X54" s="575"/>
      <c r="Y54" s="575"/>
      <c r="Z54" s="575"/>
      <c r="AA54" s="778"/>
      <c r="AB54" s="575"/>
      <c r="AC54" s="1039">
        <v>0.67</v>
      </c>
      <c r="AD54" s="575"/>
      <c r="AE54" s="753"/>
      <c r="AF54" s="575"/>
      <c r="AG54" s="575"/>
      <c r="AH54" s="842"/>
      <c r="AI54" s="1059">
        <f t="shared" si="10"/>
        <v>0.67</v>
      </c>
      <c r="AJ54" s="949">
        <v>0</v>
      </c>
      <c r="AK54" s="581">
        <f t="shared" si="11"/>
        <v>0.67</v>
      </c>
      <c r="AL54" s="746" t="s">
        <v>1561</v>
      </c>
      <c r="AM54" s="743">
        <f t="shared" si="12"/>
        <v>37.68</v>
      </c>
    </row>
    <row r="55" spans="1:39" s="560" customFormat="1" ht="13.2" customHeight="1">
      <c r="A55" s="604" t="s">
        <v>716</v>
      </c>
      <c r="B55" s="604" t="s">
        <v>1177</v>
      </c>
      <c r="C55" s="614" t="s">
        <v>36</v>
      </c>
      <c r="D55" s="580"/>
      <c r="E55" s="581"/>
      <c r="F55" s="778"/>
      <c r="G55" s="581"/>
      <c r="H55" s="581"/>
      <c r="I55" s="949"/>
      <c r="J55" s="949"/>
      <c r="K55" s="949"/>
      <c r="L55" s="575"/>
      <c r="M55" s="778"/>
      <c r="N55" s="575"/>
      <c r="O55" s="575"/>
      <c r="P55" s="575"/>
      <c r="Q55" s="575"/>
      <c r="R55" s="575"/>
      <c r="S55" s="575"/>
      <c r="T55" s="778"/>
      <c r="U55" s="575"/>
      <c r="V55" s="575"/>
      <c r="W55" s="575"/>
      <c r="X55" s="575"/>
      <c r="Y55" s="575"/>
      <c r="Z55" s="575"/>
      <c r="AA55" s="778"/>
      <c r="AB55" s="575"/>
      <c r="AC55" s="1039">
        <v>3.57</v>
      </c>
      <c r="AD55" s="575"/>
      <c r="AE55" s="753"/>
      <c r="AF55" s="575"/>
      <c r="AG55" s="575"/>
      <c r="AH55" s="842"/>
      <c r="AI55" s="1059">
        <f t="shared" si="10"/>
        <v>3.57</v>
      </c>
      <c r="AJ55" s="949">
        <v>0</v>
      </c>
      <c r="AK55" s="581">
        <f t="shared" si="11"/>
        <v>3.57</v>
      </c>
      <c r="AL55" s="746" t="s">
        <v>1562</v>
      </c>
      <c r="AM55" s="743">
        <f t="shared" si="12"/>
        <v>273.39</v>
      </c>
    </row>
    <row r="56" spans="1:39" s="560" customFormat="1" ht="13.2" customHeight="1">
      <c r="A56" s="604" t="s">
        <v>717</v>
      </c>
      <c r="B56" s="604" t="s">
        <v>1178</v>
      </c>
      <c r="C56" s="614" t="s">
        <v>47</v>
      </c>
      <c r="D56" s="580"/>
      <c r="E56" s="581"/>
      <c r="F56" s="778"/>
      <c r="G56" s="581"/>
      <c r="H56" s="581"/>
      <c r="I56" s="949"/>
      <c r="J56" s="949"/>
      <c r="K56" s="949"/>
      <c r="L56" s="575"/>
      <c r="M56" s="778"/>
      <c r="N56" s="575"/>
      <c r="O56" s="575"/>
      <c r="P56" s="575"/>
      <c r="Q56" s="575"/>
      <c r="R56" s="575"/>
      <c r="S56" s="575"/>
      <c r="T56" s="778"/>
      <c r="U56" s="575"/>
      <c r="V56" s="575"/>
      <c r="W56" s="575"/>
      <c r="X56" s="575"/>
      <c r="Y56" s="575"/>
      <c r="Z56" s="575"/>
      <c r="AA56" s="778"/>
      <c r="AB56" s="575"/>
      <c r="AC56" s="1039">
        <v>34.93</v>
      </c>
      <c r="AD56" s="575"/>
      <c r="AE56" s="753"/>
      <c r="AF56" s="575"/>
      <c r="AG56" s="575"/>
      <c r="AH56" s="842"/>
      <c r="AI56" s="1059">
        <f t="shared" si="10"/>
        <v>34.93</v>
      </c>
      <c r="AJ56" s="949">
        <v>0</v>
      </c>
      <c r="AK56" s="581">
        <f t="shared" si="11"/>
        <v>34.93</v>
      </c>
      <c r="AL56" s="746" t="s">
        <v>1563</v>
      </c>
      <c r="AM56" s="743">
        <f t="shared" si="12"/>
        <v>284.55</v>
      </c>
    </row>
    <row r="57" spans="1:39" s="560" customFormat="1" ht="13.2" customHeight="1">
      <c r="A57" s="492" t="s">
        <v>728</v>
      </c>
      <c r="B57" s="608" t="s">
        <v>1197</v>
      </c>
      <c r="C57" s="690"/>
      <c r="D57" s="580"/>
      <c r="E57" s="581"/>
      <c r="F57" s="778"/>
      <c r="G57" s="581"/>
      <c r="H57" s="581"/>
      <c r="I57" s="949"/>
      <c r="J57" s="949"/>
      <c r="K57" s="949"/>
      <c r="L57" s="575"/>
      <c r="M57" s="778"/>
      <c r="N57" s="575"/>
      <c r="O57" s="575"/>
      <c r="P57" s="575"/>
      <c r="Q57" s="575"/>
      <c r="R57" s="575"/>
      <c r="S57" s="575"/>
      <c r="T57" s="778"/>
      <c r="U57" s="575"/>
      <c r="V57" s="575"/>
      <c r="W57" s="575"/>
      <c r="X57" s="575"/>
      <c r="Y57" s="575"/>
      <c r="Z57" s="575"/>
      <c r="AA57" s="778"/>
      <c r="AB57" s="575"/>
      <c r="AC57" s="575"/>
      <c r="AD57" s="575"/>
      <c r="AE57" s="753"/>
      <c r="AF57" s="575"/>
      <c r="AG57" s="575"/>
      <c r="AH57" s="842"/>
      <c r="AI57" s="1013">
        <f t="shared" si="10"/>
        <v>0</v>
      </c>
      <c r="AJ57" s="949">
        <v>0</v>
      </c>
      <c r="AK57" s="581">
        <f t="shared" si="11"/>
        <v>0</v>
      </c>
      <c r="AL57" s="746"/>
      <c r="AM57" s="743">
        <f t="shared" si="12"/>
        <v>0</v>
      </c>
    </row>
    <row r="58" spans="1:39" s="560" customFormat="1" ht="13.2" customHeight="1">
      <c r="A58" s="607" t="s">
        <v>734</v>
      </c>
      <c r="B58" s="607" t="s">
        <v>1155</v>
      </c>
      <c r="C58" s="690"/>
      <c r="D58" s="580"/>
      <c r="E58" s="581"/>
      <c r="F58" s="778"/>
      <c r="G58" s="581"/>
      <c r="H58" s="581"/>
      <c r="I58" s="949"/>
      <c r="J58" s="949"/>
      <c r="K58" s="949"/>
      <c r="L58" s="575"/>
      <c r="M58" s="778"/>
      <c r="N58" s="575"/>
      <c r="O58" s="575"/>
      <c r="P58" s="575"/>
      <c r="Q58" s="575"/>
      <c r="R58" s="575"/>
      <c r="S58" s="575"/>
      <c r="T58" s="778"/>
      <c r="U58" s="575"/>
      <c r="V58" s="575"/>
      <c r="W58" s="575"/>
      <c r="X58" s="575"/>
      <c r="Y58" s="575"/>
      <c r="Z58" s="575"/>
      <c r="AA58" s="778"/>
      <c r="AB58" s="575"/>
      <c r="AC58" s="575"/>
      <c r="AD58" s="575"/>
      <c r="AE58" s="753"/>
      <c r="AF58" s="575"/>
      <c r="AG58" s="575"/>
      <c r="AH58" s="842"/>
      <c r="AI58" s="1013">
        <f t="shared" si="10"/>
        <v>0</v>
      </c>
      <c r="AJ58" s="949">
        <v>0</v>
      </c>
      <c r="AK58" s="581">
        <f t="shared" si="11"/>
        <v>0</v>
      </c>
      <c r="AL58" s="750"/>
      <c r="AM58" s="743">
        <f t="shared" si="12"/>
        <v>0</v>
      </c>
    </row>
    <row r="59" spans="1:39" s="560" customFormat="1" ht="13.2" customHeight="1">
      <c r="A59" s="604" t="s">
        <v>735</v>
      </c>
      <c r="B59" s="604" t="s">
        <v>1163</v>
      </c>
      <c r="C59" s="690"/>
      <c r="D59" s="580"/>
      <c r="E59" s="581"/>
      <c r="F59" s="778"/>
      <c r="G59" s="581"/>
      <c r="H59" s="581"/>
      <c r="I59" s="949"/>
      <c r="J59" s="949"/>
      <c r="K59" s="949"/>
      <c r="L59" s="575"/>
      <c r="M59" s="778"/>
      <c r="N59" s="575"/>
      <c r="O59" s="575"/>
      <c r="P59" s="575"/>
      <c r="Q59" s="575"/>
      <c r="R59" s="575"/>
      <c r="S59" s="575"/>
      <c r="T59" s="778"/>
      <c r="U59" s="575"/>
      <c r="V59" s="575"/>
      <c r="W59" s="575"/>
      <c r="X59" s="575"/>
      <c r="Y59" s="575"/>
      <c r="Z59" s="575"/>
      <c r="AA59" s="778"/>
      <c r="AB59" s="575"/>
      <c r="AC59" s="575"/>
      <c r="AD59" s="575"/>
      <c r="AE59" s="753"/>
      <c r="AF59" s="575"/>
      <c r="AG59" s="575"/>
      <c r="AH59" s="842"/>
      <c r="AI59" s="1013">
        <f t="shared" si="10"/>
        <v>0</v>
      </c>
      <c r="AJ59" s="949">
        <v>0</v>
      </c>
      <c r="AK59" s="581">
        <f t="shared" si="11"/>
        <v>0</v>
      </c>
      <c r="AL59" s="750" t="s">
        <v>1572</v>
      </c>
      <c r="AM59" s="743">
        <f t="shared" si="12"/>
        <v>4.8899999999999997</v>
      </c>
    </row>
    <row r="60" spans="1:39" s="560" customFormat="1" ht="13.2" customHeight="1" thickBot="1">
      <c r="A60" s="604" t="s">
        <v>738</v>
      </c>
      <c r="B60" s="604" t="s">
        <v>1166</v>
      </c>
      <c r="C60" s="614" t="s">
        <v>47</v>
      </c>
      <c r="D60" s="580"/>
      <c r="E60" s="1035">
        <f>2*22.97</f>
        <v>45.94</v>
      </c>
      <c r="F60" s="778"/>
      <c r="G60" s="581"/>
      <c r="H60" s="581"/>
      <c r="I60" s="949"/>
      <c r="J60" s="949"/>
      <c r="K60" s="949"/>
      <c r="L60" s="575"/>
      <c r="M60" s="778"/>
      <c r="N60" s="575"/>
      <c r="O60" s="575"/>
      <c r="P60" s="575"/>
      <c r="Q60" s="575"/>
      <c r="R60" s="575"/>
      <c r="S60" s="575"/>
      <c r="T60" s="778"/>
      <c r="U60" s="583"/>
      <c r="V60" s="583"/>
      <c r="W60" s="583"/>
      <c r="X60" s="583"/>
      <c r="Y60" s="575"/>
      <c r="Z60" s="575"/>
      <c r="AA60" s="778"/>
      <c r="AB60" s="575"/>
      <c r="AC60" s="575"/>
      <c r="AD60" s="575"/>
      <c r="AE60" s="753"/>
      <c r="AF60" s="575"/>
      <c r="AG60" s="575"/>
      <c r="AH60" s="842"/>
      <c r="AI60" s="1059">
        <f t="shared" si="10"/>
        <v>45.94</v>
      </c>
      <c r="AJ60" s="949">
        <v>0</v>
      </c>
      <c r="AK60" s="581">
        <f t="shared" si="11"/>
        <v>45.94</v>
      </c>
      <c r="AL60" s="750"/>
      <c r="AM60" s="743">
        <f t="shared" si="12"/>
        <v>-45.94</v>
      </c>
    </row>
    <row r="61" spans="1:39" s="560" customFormat="1" ht="13.2" customHeight="1">
      <c r="A61" s="606" t="s">
        <v>44</v>
      </c>
      <c r="B61" s="606" t="s">
        <v>1220</v>
      </c>
      <c r="C61" s="690"/>
      <c r="D61" s="580"/>
      <c r="E61" s="581"/>
      <c r="F61" s="581"/>
      <c r="G61" s="581"/>
      <c r="H61" s="581"/>
      <c r="I61" s="949"/>
      <c r="J61" s="949"/>
      <c r="K61" s="949"/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753"/>
      <c r="AF61" s="575"/>
      <c r="AG61" s="575"/>
      <c r="AH61" s="842"/>
      <c r="AI61" s="1013">
        <f t="shared" ref="AI61:AI64" si="13">ROUND((SUM(D61:AH61)),2)</f>
        <v>0</v>
      </c>
      <c r="AJ61" s="949">
        <v>0</v>
      </c>
      <c r="AK61" s="581">
        <f t="shared" ref="AK61:AK64" si="14">AI61+AJ61</f>
        <v>0</v>
      </c>
      <c r="AL61" s="750"/>
      <c r="AM61" s="743">
        <f t="shared" ref="AM61:AM64" si="15">AL61-AK61</f>
        <v>0</v>
      </c>
    </row>
    <row r="62" spans="1:39" s="560" customFormat="1" ht="13.2" customHeight="1">
      <c r="A62" s="492" t="s">
        <v>46</v>
      </c>
      <c r="B62" s="608" t="s">
        <v>1221</v>
      </c>
      <c r="C62" s="690"/>
      <c r="D62" s="580"/>
      <c r="E62" s="581"/>
      <c r="F62" s="581"/>
      <c r="G62" s="581"/>
      <c r="H62" s="581"/>
      <c r="I62" s="949"/>
      <c r="J62" s="949"/>
      <c r="K62" s="949"/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753"/>
      <c r="AF62" s="575"/>
      <c r="AG62" s="575"/>
      <c r="AH62" s="842"/>
      <c r="AI62" s="1013">
        <f t="shared" si="13"/>
        <v>0</v>
      </c>
      <c r="AJ62" s="949">
        <v>0</v>
      </c>
      <c r="AK62" s="581">
        <f t="shared" si="14"/>
        <v>0</v>
      </c>
      <c r="AL62" s="750"/>
      <c r="AM62" s="743">
        <f t="shared" si="15"/>
        <v>0</v>
      </c>
    </row>
    <row r="63" spans="1:39" s="560" customFormat="1" ht="13.2" customHeight="1">
      <c r="A63" s="607" t="s">
        <v>50</v>
      </c>
      <c r="B63" s="607" t="s">
        <v>1233</v>
      </c>
      <c r="C63" s="690"/>
      <c r="D63" s="580"/>
      <c r="E63" s="581"/>
      <c r="F63" s="581"/>
      <c r="G63" s="581"/>
      <c r="H63" s="581"/>
      <c r="I63" s="949"/>
      <c r="J63" s="949"/>
      <c r="K63" s="949"/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753"/>
      <c r="AF63" s="575"/>
      <c r="AG63" s="575"/>
      <c r="AH63" s="842"/>
      <c r="AI63" s="1013">
        <f t="shared" si="13"/>
        <v>0</v>
      </c>
      <c r="AJ63" s="949">
        <v>0</v>
      </c>
      <c r="AK63" s="581">
        <f t="shared" si="14"/>
        <v>0</v>
      </c>
      <c r="AL63" s="750" t="s">
        <v>1614</v>
      </c>
      <c r="AM63" s="743">
        <f t="shared" si="15"/>
        <v>90.62</v>
      </c>
    </row>
    <row r="64" spans="1:39" s="560" customFormat="1" ht="13.2" customHeight="1">
      <c r="A64" s="604" t="s">
        <v>796</v>
      </c>
      <c r="B64" s="604" t="s">
        <v>1234</v>
      </c>
      <c r="C64" s="614" t="s">
        <v>36</v>
      </c>
      <c r="D64" s="580"/>
      <c r="E64" s="581"/>
      <c r="F64" s="581"/>
      <c r="G64" s="581"/>
      <c r="H64" s="581"/>
      <c r="I64" s="949"/>
      <c r="J64" s="949"/>
      <c r="K64" s="949"/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1043">
        <f>3.4*2.2</f>
        <v>7.48</v>
      </c>
      <c r="W64" s="1043">
        <f>2.5*3.7+2.95*3.45</f>
        <v>19.427500000000002</v>
      </c>
      <c r="X64" s="575"/>
      <c r="Y64" s="575"/>
      <c r="Z64" s="575"/>
      <c r="AA64" s="575"/>
      <c r="AB64" s="575"/>
      <c r="AC64" s="575"/>
      <c r="AD64" s="575"/>
      <c r="AE64" s="753"/>
      <c r="AF64" s="575"/>
      <c r="AG64" s="575"/>
      <c r="AH64" s="842"/>
      <c r="AI64" s="1059">
        <f t="shared" si="13"/>
        <v>26.91</v>
      </c>
      <c r="AJ64" s="949">
        <v>0</v>
      </c>
      <c r="AK64" s="581">
        <f t="shared" si="14"/>
        <v>26.91</v>
      </c>
      <c r="AL64" s="750"/>
      <c r="AM64" s="743">
        <f t="shared" si="15"/>
        <v>-26.91</v>
      </c>
    </row>
    <row r="65" spans="1:39" s="560" customFormat="1" ht="13.2" customHeight="1">
      <c r="A65" s="492" t="s">
        <v>512</v>
      </c>
      <c r="B65" s="608" t="s">
        <v>1284</v>
      </c>
      <c r="C65" s="690"/>
      <c r="D65" s="580"/>
      <c r="E65" s="581"/>
      <c r="F65" s="581"/>
      <c r="G65" s="581"/>
      <c r="H65" s="581"/>
      <c r="I65" s="949"/>
      <c r="J65" s="949"/>
      <c r="K65" s="949"/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753"/>
      <c r="AF65" s="575"/>
      <c r="AG65" s="575"/>
      <c r="AH65" s="842"/>
      <c r="AI65" s="1013">
        <f t="shared" ref="AI65:AI68" si="16">ROUND((SUM(D65:AH65)),2)</f>
        <v>0</v>
      </c>
      <c r="AJ65" s="949">
        <v>0</v>
      </c>
      <c r="AK65" s="581">
        <f t="shared" ref="AK65:AK68" si="17">AI65+AJ65</f>
        <v>0</v>
      </c>
      <c r="AL65" s="750"/>
      <c r="AM65" s="743">
        <f t="shared" ref="AM65:AM68" si="18">AL65-AK65</f>
        <v>0</v>
      </c>
    </row>
    <row r="66" spans="1:39" s="560" customFormat="1" ht="13.2" customHeight="1">
      <c r="A66" s="607" t="s">
        <v>963</v>
      </c>
      <c r="B66" s="607" t="s">
        <v>1225</v>
      </c>
      <c r="C66" s="690"/>
      <c r="D66" s="580"/>
      <c r="E66" s="581"/>
      <c r="F66" s="581"/>
      <c r="G66" s="581"/>
      <c r="H66" s="581"/>
      <c r="I66" s="949"/>
      <c r="J66" s="949"/>
      <c r="K66" s="949"/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753"/>
      <c r="AF66" s="575"/>
      <c r="AG66" s="575"/>
      <c r="AH66" s="842"/>
      <c r="AI66" s="1013">
        <f t="shared" si="16"/>
        <v>0</v>
      </c>
      <c r="AJ66" s="949">
        <v>0</v>
      </c>
      <c r="AK66" s="581">
        <f t="shared" si="17"/>
        <v>0</v>
      </c>
      <c r="AL66" s="750" t="s">
        <v>1715</v>
      </c>
      <c r="AM66" s="743">
        <f t="shared" si="18"/>
        <v>117.85</v>
      </c>
    </row>
    <row r="67" spans="1:39" s="560" customFormat="1" ht="13.2" customHeight="1">
      <c r="A67" s="604" t="s">
        <v>964</v>
      </c>
      <c r="B67" s="604" t="s">
        <v>1286</v>
      </c>
      <c r="C67" s="614" t="s">
        <v>36</v>
      </c>
      <c r="D67" s="580"/>
      <c r="E67" s="581"/>
      <c r="F67" s="581"/>
      <c r="G67" s="581"/>
      <c r="H67" s="581"/>
      <c r="I67" s="949"/>
      <c r="J67" s="1034">
        <f>4.1*2.45+3.8*2.45+2.6*2.45</f>
        <v>25.725000000000001</v>
      </c>
      <c r="K67" s="1034">
        <f>3.15*2.6+1.05</f>
        <v>9.24</v>
      </c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  <c r="AB67" s="575"/>
      <c r="AC67" s="575"/>
      <c r="AD67" s="575"/>
      <c r="AE67" s="753"/>
      <c r="AF67" s="575"/>
      <c r="AG67" s="575"/>
      <c r="AH67" s="842"/>
      <c r="AI67" s="1059">
        <f t="shared" si="16"/>
        <v>34.97</v>
      </c>
      <c r="AJ67" s="949">
        <v>0</v>
      </c>
      <c r="AK67" s="581">
        <f t="shared" si="17"/>
        <v>34.97</v>
      </c>
      <c r="AL67" s="750" t="s">
        <v>1716</v>
      </c>
      <c r="AM67" s="743">
        <f t="shared" si="18"/>
        <v>30.97</v>
      </c>
    </row>
    <row r="68" spans="1:39" s="560" customFormat="1" ht="13.2" customHeight="1" thickBot="1">
      <c r="A68" s="604" t="s">
        <v>966</v>
      </c>
      <c r="B68" s="604" t="s">
        <v>1288</v>
      </c>
      <c r="C68" s="614" t="s">
        <v>36</v>
      </c>
      <c r="D68" s="580"/>
      <c r="E68" s="581"/>
      <c r="F68" s="581"/>
      <c r="G68" s="581"/>
      <c r="H68" s="581"/>
      <c r="I68" s="949"/>
      <c r="J68" s="949"/>
      <c r="K68" s="1034">
        <f>3.48*0.79+0.96</f>
        <v>3.7092000000000001</v>
      </c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  <c r="AB68" s="575"/>
      <c r="AC68" s="575"/>
      <c r="AD68" s="575"/>
      <c r="AE68" s="753"/>
      <c r="AF68" s="575"/>
      <c r="AG68" s="575"/>
      <c r="AH68" s="842"/>
      <c r="AI68" s="1059">
        <f t="shared" si="16"/>
        <v>3.71</v>
      </c>
      <c r="AJ68" s="949">
        <v>0</v>
      </c>
      <c r="AK68" s="581">
        <f t="shared" si="17"/>
        <v>3.71</v>
      </c>
      <c r="AL68" s="750"/>
      <c r="AM68" s="743">
        <f t="shared" si="18"/>
        <v>-3.71</v>
      </c>
    </row>
    <row r="69" spans="1:39" s="1045" customFormat="1" ht="13.2" customHeight="1">
      <c r="A69" s="1016" t="s">
        <v>497</v>
      </c>
      <c r="B69" s="1016" t="s">
        <v>1369</v>
      </c>
      <c r="C69" s="1018"/>
      <c r="D69" s="888"/>
      <c r="E69" s="889"/>
      <c r="F69" s="889"/>
      <c r="G69" s="889"/>
      <c r="H69" s="889"/>
      <c r="I69" s="890"/>
      <c r="J69" s="890"/>
      <c r="K69" s="890"/>
      <c r="L69" s="891"/>
      <c r="M69" s="891"/>
      <c r="N69" s="891"/>
      <c r="O69" s="891"/>
      <c r="P69" s="891"/>
      <c r="Q69" s="891"/>
      <c r="R69" s="891"/>
      <c r="S69" s="891"/>
      <c r="T69" s="891"/>
      <c r="U69" s="891"/>
      <c r="V69" s="891"/>
      <c r="W69" s="891"/>
      <c r="X69" s="891"/>
      <c r="Y69" s="891"/>
      <c r="Z69" s="891"/>
      <c r="AA69" s="891"/>
      <c r="AB69" s="891"/>
      <c r="AC69" s="891"/>
      <c r="AD69" s="891"/>
      <c r="AE69" s="892"/>
      <c r="AF69" s="891"/>
      <c r="AG69" s="891"/>
      <c r="AH69" s="893"/>
      <c r="AI69" s="1013">
        <f t="shared" ref="AI69:AI121" si="19">ROUND((SUM(D69:AH69)),2)</f>
        <v>0</v>
      </c>
      <c r="AJ69" s="890">
        <v>0</v>
      </c>
      <c r="AK69" s="889">
        <f t="shared" ref="AK69:AK126" si="20">AI69+AJ69</f>
        <v>0</v>
      </c>
      <c r="AL69" s="902"/>
      <c r="AM69" s="896">
        <f t="shared" ref="AM69:AM126" si="21">AL69-AK69</f>
        <v>0</v>
      </c>
    </row>
    <row r="70" spans="1:39" ht="13.2" customHeight="1">
      <c r="A70" s="492" t="s">
        <v>498</v>
      </c>
      <c r="B70" s="608" t="s">
        <v>1370</v>
      </c>
      <c r="C70" s="690"/>
      <c r="D70" s="580"/>
      <c r="E70" s="581"/>
      <c r="F70" s="581"/>
      <c r="G70" s="581"/>
      <c r="H70" s="581"/>
      <c r="I70" s="949"/>
      <c r="J70" s="949"/>
      <c r="K70" s="949"/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753"/>
      <c r="AF70" s="575"/>
      <c r="AG70" s="575"/>
      <c r="AH70" s="842"/>
      <c r="AI70" s="1013">
        <f t="shared" si="19"/>
        <v>0</v>
      </c>
      <c r="AJ70" s="949">
        <v>0</v>
      </c>
      <c r="AK70" s="581">
        <f t="shared" si="20"/>
        <v>0</v>
      </c>
      <c r="AL70" s="750"/>
      <c r="AM70" s="743">
        <f t="shared" si="21"/>
        <v>0</v>
      </c>
    </row>
    <row r="71" spans="1:39" ht="13.2" customHeight="1">
      <c r="A71" s="607" t="s">
        <v>1044</v>
      </c>
      <c r="B71" s="607" t="s">
        <v>1376</v>
      </c>
      <c r="C71" s="690"/>
      <c r="D71" s="580"/>
      <c r="E71" s="581"/>
      <c r="F71" s="581"/>
      <c r="G71" s="581"/>
      <c r="H71" s="581"/>
      <c r="I71" s="949"/>
      <c r="J71" s="949"/>
      <c r="K71" s="949"/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753"/>
      <c r="AF71" s="575"/>
      <c r="AG71" s="575"/>
      <c r="AH71" s="842"/>
      <c r="AI71" s="1013">
        <f t="shared" si="19"/>
        <v>0</v>
      </c>
      <c r="AJ71" s="949">
        <v>0</v>
      </c>
      <c r="AK71" s="581">
        <f t="shared" si="20"/>
        <v>0</v>
      </c>
      <c r="AL71" s="750" t="s">
        <v>1749</v>
      </c>
      <c r="AM71" s="743">
        <f t="shared" si="21"/>
        <v>43</v>
      </c>
    </row>
    <row r="72" spans="1:39" ht="13.2" customHeight="1" thickBot="1">
      <c r="A72" s="604" t="s">
        <v>1045</v>
      </c>
      <c r="B72" s="604" t="s">
        <v>1376</v>
      </c>
      <c r="C72" s="614" t="s">
        <v>1438</v>
      </c>
      <c r="D72" s="580"/>
      <c r="E72" s="581"/>
      <c r="F72" s="581"/>
      <c r="G72" s="581"/>
      <c r="H72" s="581"/>
      <c r="I72" s="949"/>
      <c r="J72" s="949"/>
      <c r="K72" s="949"/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1039">
        <v>5</v>
      </c>
      <c r="AD72" s="575"/>
      <c r="AE72" s="753"/>
      <c r="AF72" s="575"/>
      <c r="AG72" s="575"/>
      <c r="AH72" s="842"/>
      <c r="AI72" s="1059">
        <f t="shared" si="19"/>
        <v>5</v>
      </c>
      <c r="AJ72" s="949">
        <v>0</v>
      </c>
      <c r="AK72" s="581">
        <f t="shared" si="20"/>
        <v>5</v>
      </c>
      <c r="AL72" s="750" t="s">
        <v>1750</v>
      </c>
      <c r="AM72" s="743">
        <f t="shared" si="21"/>
        <v>2</v>
      </c>
    </row>
    <row r="73" spans="1:39" ht="13.2" hidden="1" customHeight="1">
      <c r="A73" s="604" t="s">
        <v>1046</v>
      </c>
      <c r="B73" s="604" t="s">
        <v>1377</v>
      </c>
      <c r="C73" s="614" t="s">
        <v>1438</v>
      </c>
      <c r="D73" s="580"/>
      <c r="E73" s="581"/>
      <c r="F73" s="581"/>
      <c r="G73" s="581"/>
      <c r="H73" s="581"/>
      <c r="I73" s="949"/>
      <c r="J73" s="949"/>
      <c r="K73" s="949"/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  <c r="AB73" s="575"/>
      <c r="AC73" s="575"/>
      <c r="AD73" s="575"/>
      <c r="AE73" s="753"/>
      <c r="AF73" s="575"/>
      <c r="AG73" s="575"/>
      <c r="AH73" s="842"/>
      <c r="AI73" s="1013">
        <f t="shared" si="19"/>
        <v>0</v>
      </c>
      <c r="AJ73" s="949">
        <v>0</v>
      </c>
      <c r="AK73" s="581">
        <f t="shared" si="20"/>
        <v>0</v>
      </c>
      <c r="AL73" s="750"/>
      <c r="AM73" s="743">
        <f t="shared" si="21"/>
        <v>0</v>
      </c>
    </row>
    <row r="74" spans="1:39" ht="13.2" hidden="1" customHeight="1">
      <c r="A74" s="607" t="s">
        <v>1047</v>
      </c>
      <c r="B74" s="607" t="s">
        <v>1378</v>
      </c>
      <c r="C74" s="690"/>
      <c r="D74" s="580"/>
      <c r="E74" s="581"/>
      <c r="F74" s="581"/>
      <c r="G74" s="581"/>
      <c r="H74" s="581"/>
      <c r="I74" s="949"/>
      <c r="J74" s="949"/>
      <c r="K74" s="949"/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753"/>
      <c r="AF74" s="575"/>
      <c r="AG74" s="575"/>
      <c r="AH74" s="842"/>
      <c r="AI74" s="1013">
        <f t="shared" si="19"/>
        <v>0</v>
      </c>
      <c r="AJ74" s="949">
        <v>0</v>
      </c>
      <c r="AK74" s="581">
        <f t="shared" si="20"/>
        <v>0</v>
      </c>
      <c r="AL74" s="750" t="s">
        <v>1751</v>
      </c>
      <c r="AM74" s="743">
        <f t="shared" si="21"/>
        <v>17</v>
      </c>
    </row>
    <row r="75" spans="1:39" ht="13.2" hidden="1" customHeight="1">
      <c r="A75" s="604" t="s">
        <v>1048</v>
      </c>
      <c r="B75" s="604" t="s">
        <v>1379</v>
      </c>
      <c r="C75" s="614" t="s">
        <v>35</v>
      </c>
      <c r="D75" s="580"/>
      <c r="E75" s="581"/>
      <c r="F75" s="581"/>
      <c r="G75" s="581"/>
      <c r="H75" s="581"/>
      <c r="I75" s="949"/>
      <c r="J75" s="949"/>
      <c r="K75" s="949"/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  <c r="AB75" s="575"/>
      <c r="AC75" s="575"/>
      <c r="AD75" s="575"/>
      <c r="AE75" s="753"/>
      <c r="AF75" s="575"/>
      <c r="AG75" s="575"/>
      <c r="AH75" s="842"/>
      <c r="AI75" s="1013">
        <f t="shared" si="19"/>
        <v>0</v>
      </c>
      <c r="AJ75" s="949">
        <v>0</v>
      </c>
      <c r="AK75" s="581">
        <f t="shared" si="20"/>
        <v>0</v>
      </c>
      <c r="AL75" s="750" t="s">
        <v>1752</v>
      </c>
      <c r="AM75" s="743">
        <f t="shared" si="21"/>
        <v>23</v>
      </c>
    </row>
    <row r="76" spans="1:39" ht="13.2" hidden="1" customHeight="1">
      <c r="A76" s="604" t="s">
        <v>1049</v>
      </c>
      <c r="B76" s="604" t="s">
        <v>1380</v>
      </c>
      <c r="C76" s="614" t="s">
        <v>35</v>
      </c>
      <c r="D76" s="580"/>
      <c r="E76" s="581"/>
      <c r="F76" s="581"/>
      <c r="G76" s="581"/>
      <c r="H76" s="581"/>
      <c r="I76" s="949"/>
      <c r="J76" s="949"/>
      <c r="K76" s="949"/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  <c r="AB76" s="575"/>
      <c r="AC76" s="575"/>
      <c r="AD76" s="575"/>
      <c r="AE76" s="753"/>
      <c r="AF76" s="575"/>
      <c r="AG76" s="575"/>
      <c r="AH76" s="842"/>
      <c r="AI76" s="1013">
        <f t="shared" si="19"/>
        <v>0</v>
      </c>
      <c r="AJ76" s="949">
        <v>0</v>
      </c>
      <c r="AK76" s="581">
        <f t="shared" si="20"/>
        <v>0</v>
      </c>
      <c r="AL76" s="750" t="s">
        <v>1684</v>
      </c>
      <c r="AM76" s="743">
        <f t="shared" si="21"/>
        <v>2</v>
      </c>
    </row>
    <row r="77" spans="1:39" ht="13.2" hidden="1" customHeight="1">
      <c r="A77" s="604" t="s">
        <v>1050</v>
      </c>
      <c r="B77" s="604" t="s">
        <v>1381</v>
      </c>
      <c r="C77" s="614" t="s">
        <v>35</v>
      </c>
      <c r="D77" s="580"/>
      <c r="E77" s="581"/>
      <c r="F77" s="581"/>
      <c r="G77" s="581"/>
      <c r="H77" s="581"/>
      <c r="I77" s="949"/>
      <c r="J77" s="949"/>
      <c r="K77" s="949"/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753"/>
      <c r="AF77" s="575"/>
      <c r="AG77" s="575"/>
      <c r="AH77" s="842"/>
      <c r="AI77" s="1013">
        <f t="shared" si="19"/>
        <v>0</v>
      </c>
      <c r="AJ77" s="949">
        <v>0</v>
      </c>
      <c r="AK77" s="581">
        <f t="shared" si="20"/>
        <v>0</v>
      </c>
      <c r="AL77" s="750" t="s">
        <v>1441</v>
      </c>
      <c r="AM77" s="743">
        <f t="shared" si="21"/>
        <v>1</v>
      </c>
    </row>
    <row r="78" spans="1:39" ht="13.2" hidden="1" customHeight="1">
      <c r="A78" s="604" t="s">
        <v>1051</v>
      </c>
      <c r="B78" s="604" t="s">
        <v>1382</v>
      </c>
      <c r="C78" s="614" t="s">
        <v>35</v>
      </c>
      <c r="D78" s="580"/>
      <c r="E78" s="581"/>
      <c r="F78" s="581"/>
      <c r="G78" s="581"/>
      <c r="H78" s="581"/>
      <c r="I78" s="949"/>
      <c r="J78" s="949"/>
      <c r="K78" s="949"/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  <c r="AB78" s="575"/>
      <c r="AC78" s="575"/>
      <c r="AD78" s="575"/>
      <c r="AE78" s="753"/>
      <c r="AF78" s="575"/>
      <c r="AG78" s="575"/>
      <c r="AH78" s="842"/>
      <c r="AI78" s="1013">
        <f t="shared" si="19"/>
        <v>0</v>
      </c>
      <c r="AJ78" s="949">
        <v>0</v>
      </c>
      <c r="AK78" s="581">
        <f t="shared" si="20"/>
        <v>0</v>
      </c>
      <c r="AL78" s="750" t="s">
        <v>1750</v>
      </c>
      <c r="AM78" s="743">
        <f t="shared" si="21"/>
        <v>7</v>
      </c>
    </row>
    <row r="79" spans="1:39" ht="13.2" hidden="1" customHeight="1">
      <c r="A79" s="604" t="s">
        <v>1052</v>
      </c>
      <c r="B79" s="604" t="s">
        <v>1383</v>
      </c>
      <c r="C79" s="614" t="s">
        <v>35</v>
      </c>
      <c r="D79" s="580"/>
      <c r="E79" s="581"/>
      <c r="F79" s="581"/>
      <c r="G79" s="581"/>
      <c r="H79" s="581"/>
      <c r="I79" s="949"/>
      <c r="J79" s="949"/>
      <c r="K79" s="949"/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753"/>
      <c r="AF79" s="575"/>
      <c r="AG79" s="575"/>
      <c r="AH79" s="842"/>
      <c r="AI79" s="1013">
        <f t="shared" si="19"/>
        <v>0</v>
      </c>
      <c r="AJ79" s="949">
        <v>0</v>
      </c>
      <c r="AK79" s="581">
        <f t="shared" si="20"/>
        <v>0</v>
      </c>
      <c r="AL79" s="750"/>
      <c r="AM79" s="743">
        <f t="shared" si="21"/>
        <v>0</v>
      </c>
    </row>
    <row r="80" spans="1:39" ht="13.2" hidden="1" customHeight="1">
      <c r="A80" s="607" t="s">
        <v>1053</v>
      </c>
      <c r="B80" s="607" t="s">
        <v>1384</v>
      </c>
      <c r="C80" s="690"/>
      <c r="D80" s="580"/>
      <c r="E80" s="581"/>
      <c r="F80" s="581"/>
      <c r="G80" s="581"/>
      <c r="H80" s="581"/>
      <c r="I80" s="949"/>
      <c r="J80" s="949"/>
      <c r="K80" s="949"/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753"/>
      <c r="AF80" s="575"/>
      <c r="AG80" s="575"/>
      <c r="AH80" s="842"/>
      <c r="AI80" s="1013">
        <f t="shared" si="19"/>
        <v>0</v>
      </c>
      <c r="AJ80" s="949">
        <v>0</v>
      </c>
      <c r="AK80" s="581">
        <f t="shared" si="20"/>
        <v>0</v>
      </c>
      <c r="AL80" s="750" t="s">
        <v>1475</v>
      </c>
      <c r="AM80" s="743">
        <f t="shared" si="21"/>
        <v>16</v>
      </c>
    </row>
    <row r="81" spans="1:39" ht="13.2" hidden="1" customHeight="1">
      <c r="A81" s="604" t="s">
        <v>1054</v>
      </c>
      <c r="B81" s="604" t="s">
        <v>1385</v>
      </c>
      <c r="C81" s="614" t="s">
        <v>1438</v>
      </c>
      <c r="D81" s="580"/>
      <c r="E81" s="581"/>
      <c r="F81" s="581"/>
      <c r="G81" s="581"/>
      <c r="H81" s="581"/>
      <c r="I81" s="949"/>
      <c r="J81" s="949"/>
      <c r="K81" s="949"/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753"/>
      <c r="AF81" s="575"/>
      <c r="AG81" s="575"/>
      <c r="AH81" s="842"/>
      <c r="AI81" s="1013">
        <f t="shared" si="19"/>
        <v>0</v>
      </c>
      <c r="AJ81" s="949">
        <v>0</v>
      </c>
      <c r="AK81" s="581">
        <f t="shared" si="20"/>
        <v>0</v>
      </c>
      <c r="AL81" s="750" t="s">
        <v>1684</v>
      </c>
      <c r="AM81" s="743">
        <f t="shared" si="21"/>
        <v>2</v>
      </c>
    </row>
    <row r="82" spans="1:39" ht="13.2" hidden="1" customHeight="1">
      <c r="A82" s="604" t="s">
        <v>1055</v>
      </c>
      <c r="B82" s="604" t="s">
        <v>1386</v>
      </c>
      <c r="C82" s="614" t="s">
        <v>1438</v>
      </c>
      <c r="D82" s="580"/>
      <c r="E82" s="581"/>
      <c r="F82" s="581"/>
      <c r="G82" s="581"/>
      <c r="H82" s="581"/>
      <c r="I82" s="949"/>
      <c r="J82" s="949"/>
      <c r="K82" s="949"/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753"/>
      <c r="AF82" s="575"/>
      <c r="AG82" s="575"/>
      <c r="AH82" s="842"/>
      <c r="AI82" s="1013">
        <f t="shared" si="19"/>
        <v>0</v>
      </c>
      <c r="AJ82" s="949">
        <v>0</v>
      </c>
      <c r="AK82" s="581">
        <f t="shared" si="20"/>
        <v>0</v>
      </c>
      <c r="AL82" s="750" t="s">
        <v>1684</v>
      </c>
      <c r="AM82" s="743">
        <f t="shared" si="21"/>
        <v>2</v>
      </c>
    </row>
    <row r="83" spans="1:39" ht="13.2" hidden="1" customHeight="1">
      <c r="A83" s="604" t="s">
        <v>1056</v>
      </c>
      <c r="B83" s="604" t="s">
        <v>1387</v>
      </c>
      <c r="C83" s="614" t="s">
        <v>1438</v>
      </c>
      <c r="D83" s="580"/>
      <c r="E83" s="581"/>
      <c r="F83" s="581"/>
      <c r="G83" s="581"/>
      <c r="H83" s="581"/>
      <c r="I83" s="949"/>
      <c r="J83" s="949"/>
      <c r="K83" s="949"/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753"/>
      <c r="AF83" s="575"/>
      <c r="AG83" s="575"/>
      <c r="AH83" s="842"/>
      <c r="AI83" s="1013">
        <f t="shared" si="19"/>
        <v>0</v>
      </c>
      <c r="AJ83" s="949">
        <v>0</v>
      </c>
      <c r="AK83" s="581">
        <f t="shared" si="20"/>
        <v>0</v>
      </c>
      <c r="AL83" s="750"/>
      <c r="AM83" s="743">
        <f t="shared" si="21"/>
        <v>0</v>
      </c>
    </row>
    <row r="84" spans="1:39" ht="13.2" hidden="1" customHeight="1">
      <c r="A84" s="607" t="s">
        <v>1057</v>
      </c>
      <c r="B84" s="607" t="s">
        <v>1388</v>
      </c>
      <c r="C84" s="690"/>
      <c r="D84" s="580"/>
      <c r="E84" s="581"/>
      <c r="F84" s="581"/>
      <c r="G84" s="581"/>
      <c r="H84" s="581"/>
      <c r="I84" s="949"/>
      <c r="J84" s="949"/>
      <c r="K84" s="949"/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753"/>
      <c r="AF84" s="575"/>
      <c r="AG84" s="575"/>
      <c r="AH84" s="842"/>
      <c r="AI84" s="1013">
        <f t="shared" si="19"/>
        <v>0</v>
      </c>
      <c r="AJ84" s="949">
        <v>0</v>
      </c>
      <c r="AK84" s="581">
        <f t="shared" si="20"/>
        <v>0</v>
      </c>
      <c r="AL84" s="750" t="s">
        <v>1753</v>
      </c>
      <c r="AM84" s="743">
        <f t="shared" si="21"/>
        <v>14</v>
      </c>
    </row>
    <row r="85" spans="1:39" ht="13.2" hidden="1" customHeight="1">
      <c r="A85" s="604" t="s">
        <v>1058</v>
      </c>
      <c r="B85" s="604" t="s">
        <v>1389</v>
      </c>
      <c r="C85" s="614" t="s">
        <v>1438</v>
      </c>
      <c r="D85" s="580"/>
      <c r="E85" s="581"/>
      <c r="F85" s="581"/>
      <c r="G85" s="581"/>
      <c r="H85" s="581"/>
      <c r="I85" s="949"/>
      <c r="J85" s="949"/>
      <c r="K85" s="949"/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753"/>
      <c r="AF85" s="575"/>
      <c r="AG85" s="575"/>
      <c r="AH85" s="842"/>
      <c r="AI85" s="1013">
        <f t="shared" si="19"/>
        <v>0</v>
      </c>
      <c r="AJ85" s="949">
        <v>0</v>
      </c>
      <c r="AK85" s="581">
        <f t="shared" si="20"/>
        <v>0</v>
      </c>
      <c r="AL85" s="750" t="s">
        <v>1441</v>
      </c>
      <c r="AM85" s="743">
        <f t="shared" si="21"/>
        <v>1</v>
      </c>
    </row>
    <row r="86" spans="1:39" ht="13.2" hidden="1" customHeight="1">
      <c r="A86" s="604" t="s">
        <v>1059</v>
      </c>
      <c r="B86" s="604" t="s">
        <v>1390</v>
      </c>
      <c r="C86" s="614" t="s">
        <v>1438</v>
      </c>
      <c r="D86" s="580"/>
      <c r="E86" s="581"/>
      <c r="F86" s="581"/>
      <c r="G86" s="581"/>
      <c r="H86" s="581"/>
      <c r="I86" s="949"/>
      <c r="J86" s="949"/>
      <c r="K86" s="949"/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753"/>
      <c r="AF86" s="575"/>
      <c r="AG86" s="588"/>
      <c r="AH86" s="588"/>
      <c r="AI86" s="1013">
        <f t="shared" si="19"/>
        <v>0</v>
      </c>
      <c r="AJ86" s="949">
        <v>0</v>
      </c>
      <c r="AK86" s="581">
        <f t="shared" si="20"/>
        <v>0</v>
      </c>
      <c r="AL86" s="750" t="s">
        <v>1604</v>
      </c>
      <c r="AM86" s="743">
        <f t="shared" si="21"/>
        <v>3</v>
      </c>
    </row>
    <row r="87" spans="1:39" ht="13.2" hidden="1" customHeight="1">
      <c r="A87" s="604" t="s">
        <v>1060</v>
      </c>
      <c r="B87" s="604" t="s">
        <v>1391</v>
      </c>
      <c r="C87" s="614" t="s">
        <v>1438</v>
      </c>
      <c r="D87" s="580"/>
      <c r="E87" s="581"/>
      <c r="F87" s="581"/>
      <c r="G87" s="581"/>
      <c r="H87" s="581"/>
      <c r="I87" s="949"/>
      <c r="J87" s="949"/>
      <c r="K87" s="949"/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753"/>
      <c r="AF87" s="575"/>
      <c r="AG87" s="588"/>
      <c r="AH87" s="588"/>
      <c r="AI87" s="1013">
        <f t="shared" si="19"/>
        <v>0</v>
      </c>
      <c r="AJ87" s="949">
        <v>0</v>
      </c>
      <c r="AK87" s="581">
        <f t="shared" si="20"/>
        <v>0</v>
      </c>
      <c r="AL87" s="750" t="s">
        <v>1627</v>
      </c>
      <c r="AM87" s="743">
        <f t="shared" si="21"/>
        <v>9</v>
      </c>
    </row>
    <row r="88" spans="1:39" ht="13.2" hidden="1" customHeight="1">
      <c r="A88" s="604" t="s">
        <v>1061</v>
      </c>
      <c r="B88" s="604" t="s">
        <v>1392</v>
      </c>
      <c r="C88" s="614" t="s">
        <v>1438</v>
      </c>
      <c r="D88" s="580"/>
      <c r="E88" s="581"/>
      <c r="F88" s="581"/>
      <c r="G88" s="581"/>
      <c r="H88" s="581"/>
      <c r="I88" s="949"/>
      <c r="J88" s="949"/>
      <c r="K88" s="949"/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753"/>
      <c r="AF88" s="575"/>
      <c r="AG88" s="588"/>
      <c r="AH88" s="588"/>
      <c r="AI88" s="1013">
        <f t="shared" si="19"/>
        <v>0</v>
      </c>
      <c r="AJ88" s="949">
        <v>0</v>
      </c>
      <c r="AK88" s="581">
        <f t="shared" si="20"/>
        <v>0</v>
      </c>
      <c r="AL88" s="750" t="s">
        <v>1441</v>
      </c>
      <c r="AM88" s="743">
        <f t="shared" si="21"/>
        <v>1</v>
      </c>
    </row>
    <row r="89" spans="1:39" ht="13.2" hidden="1" customHeight="1">
      <c r="A89" s="604" t="s">
        <v>1062</v>
      </c>
      <c r="B89" s="604" t="s">
        <v>1393</v>
      </c>
      <c r="C89" s="614" t="s">
        <v>1438</v>
      </c>
      <c r="D89" s="580"/>
      <c r="E89" s="581"/>
      <c r="F89" s="581"/>
      <c r="G89" s="581"/>
      <c r="H89" s="581"/>
      <c r="I89" s="949"/>
      <c r="J89" s="949"/>
      <c r="K89" s="949"/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753"/>
      <c r="AF89" s="575"/>
      <c r="AG89" s="588"/>
      <c r="AH89" s="588"/>
      <c r="AI89" s="1013">
        <f t="shared" si="19"/>
        <v>0</v>
      </c>
      <c r="AJ89" s="949">
        <v>0</v>
      </c>
      <c r="AK89" s="581">
        <f t="shared" si="20"/>
        <v>0</v>
      </c>
      <c r="AL89" s="750"/>
      <c r="AM89" s="743">
        <f t="shared" si="21"/>
        <v>0</v>
      </c>
    </row>
    <row r="90" spans="1:39" ht="13.2" hidden="1" customHeight="1">
      <c r="A90" s="607" t="s">
        <v>1063</v>
      </c>
      <c r="B90" s="607" t="s">
        <v>1394</v>
      </c>
      <c r="C90" s="690"/>
      <c r="D90" s="580"/>
      <c r="E90" s="581"/>
      <c r="F90" s="581"/>
      <c r="G90" s="581"/>
      <c r="H90" s="581"/>
      <c r="I90" s="949"/>
      <c r="J90" s="949"/>
      <c r="K90" s="949"/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753"/>
      <c r="AF90" s="575"/>
      <c r="AG90" s="588"/>
      <c r="AH90" s="588"/>
      <c r="AI90" s="1013">
        <f t="shared" si="19"/>
        <v>0</v>
      </c>
      <c r="AJ90" s="949">
        <v>0</v>
      </c>
      <c r="AK90" s="581">
        <f t="shared" si="20"/>
        <v>0</v>
      </c>
      <c r="AL90" s="750" t="s">
        <v>1441</v>
      </c>
      <c r="AM90" s="743">
        <f t="shared" si="21"/>
        <v>1</v>
      </c>
    </row>
    <row r="91" spans="1:39" ht="13.2" hidden="1" customHeight="1">
      <c r="A91" s="604" t="s">
        <v>1064</v>
      </c>
      <c r="B91" s="604" t="s">
        <v>1395</v>
      </c>
      <c r="C91" s="614" t="s">
        <v>1438</v>
      </c>
      <c r="D91" s="580"/>
      <c r="E91" s="581"/>
      <c r="F91" s="581"/>
      <c r="G91" s="581"/>
      <c r="H91" s="581"/>
      <c r="I91" s="949"/>
      <c r="J91" s="949"/>
      <c r="K91" s="949"/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753"/>
      <c r="AF91" s="575"/>
      <c r="AG91" s="588"/>
      <c r="AH91" s="588"/>
      <c r="AI91" s="1013">
        <f t="shared" si="19"/>
        <v>0</v>
      </c>
      <c r="AJ91" s="949">
        <v>0</v>
      </c>
      <c r="AK91" s="581">
        <f t="shared" si="20"/>
        <v>0</v>
      </c>
      <c r="AL91" s="750" t="s">
        <v>1441</v>
      </c>
      <c r="AM91" s="743">
        <f t="shared" si="21"/>
        <v>1</v>
      </c>
    </row>
    <row r="92" spans="1:39" ht="13.2" hidden="1" customHeight="1">
      <c r="A92" s="604" t="s">
        <v>1065</v>
      </c>
      <c r="B92" s="604" t="s">
        <v>1396</v>
      </c>
      <c r="C92" s="614" t="s">
        <v>1438</v>
      </c>
      <c r="D92" s="580"/>
      <c r="E92" s="581"/>
      <c r="F92" s="581"/>
      <c r="G92" s="581"/>
      <c r="H92" s="581"/>
      <c r="I92" s="949"/>
      <c r="J92" s="949"/>
      <c r="K92" s="949"/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753"/>
      <c r="AF92" s="575"/>
      <c r="AG92" s="588"/>
      <c r="AH92" s="588"/>
      <c r="AI92" s="1013">
        <f t="shared" si="19"/>
        <v>0</v>
      </c>
      <c r="AJ92" s="949">
        <v>0</v>
      </c>
      <c r="AK92" s="581">
        <f t="shared" si="20"/>
        <v>0</v>
      </c>
      <c r="AL92" s="750" t="s">
        <v>1712</v>
      </c>
      <c r="AM92" s="743">
        <f t="shared" si="21"/>
        <v>11</v>
      </c>
    </row>
    <row r="93" spans="1:39" ht="13.2" hidden="1" customHeight="1">
      <c r="A93" s="604" t="s">
        <v>1066</v>
      </c>
      <c r="B93" s="604" t="s">
        <v>1397</v>
      </c>
      <c r="C93" s="614" t="s">
        <v>1438</v>
      </c>
      <c r="D93" s="580"/>
      <c r="E93" s="581"/>
      <c r="F93" s="581"/>
      <c r="G93" s="581"/>
      <c r="H93" s="581"/>
      <c r="I93" s="949"/>
      <c r="J93" s="949"/>
      <c r="K93" s="949"/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753"/>
      <c r="AF93" s="575"/>
      <c r="AG93" s="588"/>
      <c r="AH93" s="588"/>
      <c r="AI93" s="1013">
        <f t="shared" si="19"/>
        <v>0</v>
      </c>
      <c r="AJ93" s="949">
        <v>0</v>
      </c>
      <c r="AK93" s="581">
        <f t="shared" si="20"/>
        <v>0</v>
      </c>
      <c r="AL93" s="750" t="s">
        <v>1684</v>
      </c>
      <c r="AM93" s="743">
        <f t="shared" si="21"/>
        <v>2</v>
      </c>
    </row>
    <row r="94" spans="1:39" ht="13.2" hidden="1" customHeight="1">
      <c r="A94" s="604" t="s">
        <v>1067</v>
      </c>
      <c r="B94" s="604" t="s">
        <v>1398</v>
      </c>
      <c r="C94" s="614" t="s">
        <v>1438</v>
      </c>
      <c r="D94" s="580"/>
      <c r="E94" s="581"/>
      <c r="F94" s="581"/>
      <c r="G94" s="581"/>
      <c r="H94" s="581"/>
      <c r="I94" s="949"/>
      <c r="J94" s="949"/>
      <c r="K94" s="949"/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753"/>
      <c r="AF94" s="575"/>
      <c r="AG94" s="588"/>
      <c r="AH94" s="588"/>
      <c r="AI94" s="1013">
        <f t="shared" si="19"/>
        <v>0</v>
      </c>
      <c r="AJ94" s="949">
        <v>0</v>
      </c>
      <c r="AK94" s="581">
        <f t="shared" si="20"/>
        <v>0</v>
      </c>
      <c r="AL94" s="750" t="s">
        <v>1684</v>
      </c>
      <c r="AM94" s="743">
        <f t="shared" si="21"/>
        <v>2</v>
      </c>
    </row>
    <row r="95" spans="1:39" ht="13.2" hidden="1" customHeight="1">
      <c r="A95" s="604" t="s">
        <v>1068</v>
      </c>
      <c r="B95" s="604" t="s">
        <v>1399</v>
      </c>
      <c r="C95" s="614" t="s">
        <v>1438</v>
      </c>
      <c r="D95" s="580"/>
      <c r="E95" s="581"/>
      <c r="F95" s="581"/>
      <c r="G95" s="581"/>
      <c r="H95" s="581"/>
      <c r="I95" s="949"/>
      <c r="J95" s="949"/>
      <c r="K95" s="949"/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753"/>
      <c r="AF95" s="575"/>
      <c r="AG95" s="588"/>
      <c r="AH95" s="588"/>
      <c r="AI95" s="1013">
        <f t="shared" si="19"/>
        <v>0</v>
      </c>
      <c r="AJ95" s="949">
        <v>0</v>
      </c>
      <c r="AK95" s="581">
        <f t="shared" si="20"/>
        <v>0</v>
      </c>
      <c r="AL95" s="750"/>
      <c r="AM95" s="743">
        <f t="shared" si="21"/>
        <v>0</v>
      </c>
    </row>
    <row r="96" spans="1:39" ht="13.2" hidden="1" customHeight="1">
      <c r="A96" s="607" t="s">
        <v>1069</v>
      </c>
      <c r="B96" s="607" t="s">
        <v>1400</v>
      </c>
      <c r="C96" s="690"/>
      <c r="D96" s="580"/>
      <c r="E96" s="581"/>
      <c r="F96" s="581"/>
      <c r="G96" s="581"/>
      <c r="H96" s="581"/>
      <c r="I96" s="949"/>
      <c r="J96" s="949"/>
      <c r="K96" s="949"/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753"/>
      <c r="AF96" s="575"/>
      <c r="AG96" s="588"/>
      <c r="AH96" s="588"/>
      <c r="AI96" s="1013">
        <f t="shared" si="19"/>
        <v>0</v>
      </c>
      <c r="AJ96" s="949">
        <v>0</v>
      </c>
      <c r="AK96" s="581">
        <f t="shared" si="20"/>
        <v>0</v>
      </c>
      <c r="AL96" s="750" t="s">
        <v>1441</v>
      </c>
      <c r="AM96" s="743">
        <f t="shared" si="21"/>
        <v>1</v>
      </c>
    </row>
    <row r="97" spans="1:39" ht="13.2" hidden="1" customHeight="1">
      <c r="A97" s="604" t="s">
        <v>1070</v>
      </c>
      <c r="B97" s="604" t="s">
        <v>1401</v>
      </c>
      <c r="C97" s="614" t="s">
        <v>35</v>
      </c>
      <c r="D97" s="580"/>
      <c r="E97" s="581"/>
      <c r="F97" s="581"/>
      <c r="G97" s="581"/>
      <c r="H97" s="581"/>
      <c r="I97" s="949"/>
      <c r="J97" s="949"/>
      <c r="K97" s="949"/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753"/>
      <c r="AF97" s="575"/>
      <c r="AG97" s="588"/>
      <c r="AH97" s="588"/>
      <c r="AI97" s="1013">
        <f t="shared" si="19"/>
        <v>0</v>
      </c>
      <c r="AJ97" s="949">
        <v>0</v>
      </c>
      <c r="AK97" s="581">
        <f t="shared" si="20"/>
        <v>0</v>
      </c>
      <c r="AL97" s="750"/>
      <c r="AM97" s="743">
        <f t="shared" si="21"/>
        <v>0</v>
      </c>
    </row>
    <row r="98" spans="1:39" ht="13.2" hidden="1" customHeight="1">
      <c r="A98" s="607" t="s">
        <v>1071</v>
      </c>
      <c r="B98" s="607" t="s">
        <v>1402</v>
      </c>
      <c r="C98" s="690"/>
      <c r="D98" s="580"/>
      <c r="E98" s="581"/>
      <c r="F98" s="581"/>
      <c r="G98" s="581"/>
      <c r="H98" s="581"/>
      <c r="I98" s="949"/>
      <c r="J98" s="949"/>
      <c r="K98" s="949"/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753"/>
      <c r="AF98" s="575"/>
      <c r="AG98" s="588"/>
      <c r="AH98" s="588"/>
      <c r="AI98" s="1013">
        <f t="shared" si="19"/>
        <v>0</v>
      </c>
      <c r="AJ98" s="949">
        <v>0</v>
      </c>
      <c r="AK98" s="581">
        <f t="shared" si="20"/>
        <v>0</v>
      </c>
      <c r="AL98" s="750" t="s">
        <v>1441</v>
      </c>
      <c r="AM98" s="743">
        <f t="shared" si="21"/>
        <v>1</v>
      </c>
    </row>
    <row r="99" spans="1:39" ht="13.2" hidden="1" customHeight="1">
      <c r="A99" s="604" t="s">
        <v>1072</v>
      </c>
      <c r="B99" s="604" t="s">
        <v>1403</v>
      </c>
      <c r="C99" s="614" t="s">
        <v>35</v>
      </c>
      <c r="D99" s="580"/>
      <c r="E99" s="581"/>
      <c r="F99" s="581"/>
      <c r="G99" s="581"/>
      <c r="H99" s="581"/>
      <c r="I99" s="949"/>
      <c r="J99" s="949"/>
      <c r="K99" s="949"/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753"/>
      <c r="AF99" s="575"/>
      <c r="AG99" s="588"/>
      <c r="AH99" s="588"/>
      <c r="AI99" s="1013">
        <f t="shared" si="19"/>
        <v>0</v>
      </c>
      <c r="AJ99" s="949">
        <v>0</v>
      </c>
      <c r="AK99" s="581">
        <f t="shared" si="20"/>
        <v>0</v>
      </c>
      <c r="AL99" s="750"/>
      <c r="AM99" s="743">
        <f t="shared" si="21"/>
        <v>0</v>
      </c>
    </row>
    <row r="100" spans="1:39" ht="13.2" hidden="1" customHeight="1">
      <c r="A100" s="492" t="s">
        <v>499</v>
      </c>
      <c r="B100" s="608" t="s">
        <v>1404</v>
      </c>
      <c r="C100" s="690"/>
      <c r="D100" s="580"/>
      <c r="E100" s="581"/>
      <c r="F100" s="581"/>
      <c r="G100" s="581"/>
      <c r="H100" s="581"/>
      <c r="I100" s="949"/>
      <c r="J100" s="949"/>
      <c r="K100" s="949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753"/>
      <c r="AF100" s="575"/>
      <c r="AG100" s="588"/>
      <c r="AH100" s="588"/>
      <c r="AI100" s="1013">
        <f t="shared" si="19"/>
        <v>0</v>
      </c>
      <c r="AJ100" s="949">
        <v>0</v>
      </c>
      <c r="AK100" s="581">
        <f t="shared" si="20"/>
        <v>0</v>
      </c>
      <c r="AL100" s="750"/>
      <c r="AM100" s="743">
        <f t="shared" si="21"/>
        <v>0</v>
      </c>
    </row>
    <row r="101" spans="1:39" ht="13.2" hidden="1" customHeight="1">
      <c r="A101" s="607" t="s">
        <v>1073</v>
      </c>
      <c r="B101" s="607" t="s">
        <v>1405</v>
      </c>
      <c r="C101" s="690"/>
      <c r="D101" s="580"/>
      <c r="E101" s="581"/>
      <c r="F101" s="581"/>
      <c r="G101" s="581"/>
      <c r="H101" s="581"/>
      <c r="I101" s="949"/>
      <c r="J101" s="949"/>
      <c r="K101" s="949"/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753"/>
      <c r="AF101" s="575"/>
      <c r="AG101" s="588"/>
      <c r="AH101" s="588"/>
      <c r="AI101" s="1013">
        <f t="shared" si="19"/>
        <v>0</v>
      </c>
      <c r="AJ101" s="949">
        <v>0</v>
      </c>
      <c r="AK101" s="581">
        <f t="shared" si="20"/>
        <v>0</v>
      </c>
      <c r="AL101" s="750" t="s">
        <v>1754</v>
      </c>
      <c r="AM101" s="743">
        <f t="shared" si="21"/>
        <v>29</v>
      </c>
    </row>
    <row r="102" spans="1:39" ht="13.2" hidden="1" customHeight="1">
      <c r="A102" s="604" t="s">
        <v>1074</v>
      </c>
      <c r="B102" s="604" t="s">
        <v>1406</v>
      </c>
      <c r="C102" s="614" t="s">
        <v>37</v>
      </c>
      <c r="D102" s="580"/>
      <c r="E102" s="581"/>
      <c r="F102" s="581"/>
      <c r="G102" s="581"/>
      <c r="H102" s="581"/>
      <c r="I102" s="949"/>
      <c r="J102" s="949"/>
      <c r="K102" s="949"/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  <c r="AB102" s="575"/>
      <c r="AC102" s="575"/>
      <c r="AD102" s="575"/>
      <c r="AE102" s="753"/>
      <c r="AF102" s="575"/>
      <c r="AG102" s="588"/>
      <c r="AH102" s="588"/>
      <c r="AI102" s="1013">
        <f t="shared" si="19"/>
        <v>0</v>
      </c>
      <c r="AJ102" s="949">
        <v>0</v>
      </c>
      <c r="AK102" s="581">
        <f t="shared" si="20"/>
        <v>0</v>
      </c>
      <c r="AL102" s="750"/>
      <c r="AM102" s="743">
        <f t="shared" si="21"/>
        <v>0</v>
      </c>
    </row>
    <row r="103" spans="1:39" ht="13.2" hidden="1" customHeight="1">
      <c r="A103" s="607" t="s">
        <v>1075</v>
      </c>
      <c r="B103" s="607" t="s">
        <v>1407</v>
      </c>
      <c r="C103" s="690"/>
      <c r="D103" s="580"/>
      <c r="E103" s="581"/>
      <c r="F103" s="581"/>
      <c r="G103" s="581"/>
      <c r="H103" s="581"/>
      <c r="I103" s="949"/>
      <c r="J103" s="949"/>
      <c r="K103" s="949"/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  <c r="AB103" s="575"/>
      <c r="AC103" s="575"/>
      <c r="AD103" s="575"/>
      <c r="AE103" s="753"/>
      <c r="AF103" s="575"/>
      <c r="AG103" s="588"/>
      <c r="AH103" s="588"/>
      <c r="AI103" s="1013">
        <f t="shared" si="19"/>
        <v>0</v>
      </c>
      <c r="AJ103" s="949">
        <v>0</v>
      </c>
      <c r="AK103" s="581">
        <f t="shared" si="20"/>
        <v>0</v>
      </c>
      <c r="AL103" s="750" t="s">
        <v>1722</v>
      </c>
      <c r="AM103" s="743">
        <f t="shared" si="21"/>
        <v>64</v>
      </c>
    </row>
    <row r="104" spans="1:39" ht="13.2" hidden="1" customHeight="1">
      <c r="A104" s="604" t="s">
        <v>1076</v>
      </c>
      <c r="B104" s="604" t="s">
        <v>1408</v>
      </c>
      <c r="C104" s="614" t="s">
        <v>37</v>
      </c>
      <c r="D104" s="580"/>
      <c r="E104" s="581"/>
      <c r="F104" s="581"/>
      <c r="G104" s="581"/>
      <c r="H104" s="581"/>
      <c r="I104" s="949"/>
      <c r="J104" s="949"/>
      <c r="K104" s="949"/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  <c r="AB104" s="575"/>
      <c r="AC104" s="575"/>
      <c r="AD104" s="575"/>
      <c r="AE104" s="753"/>
      <c r="AF104" s="575"/>
      <c r="AG104" s="588"/>
      <c r="AH104" s="588"/>
      <c r="AI104" s="1013">
        <f t="shared" si="19"/>
        <v>0</v>
      </c>
      <c r="AJ104" s="949">
        <v>0</v>
      </c>
      <c r="AK104" s="581">
        <f t="shared" si="20"/>
        <v>0</v>
      </c>
      <c r="AL104" s="750"/>
      <c r="AM104" s="743">
        <f t="shared" si="21"/>
        <v>0</v>
      </c>
    </row>
    <row r="105" spans="1:39" ht="13.2" hidden="1" customHeight="1">
      <c r="A105" s="607" t="s">
        <v>1077</v>
      </c>
      <c r="B105" s="607" t="s">
        <v>1409</v>
      </c>
      <c r="C105" s="690"/>
      <c r="D105" s="580"/>
      <c r="E105" s="581"/>
      <c r="F105" s="581"/>
      <c r="G105" s="581"/>
      <c r="H105" s="581"/>
      <c r="I105" s="949"/>
      <c r="J105" s="949"/>
      <c r="K105" s="949"/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753"/>
      <c r="AF105" s="575"/>
      <c r="AG105" s="588"/>
      <c r="AH105" s="588"/>
      <c r="AI105" s="1013">
        <f t="shared" si="19"/>
        <v>0</v>
      </c>
      <c r="AJ105" s="949">
        <v>0</v>
      </c>
      <c r="AK105" s="581">
        <f t="shared" si="20"/>
        <v>0</v>
      </c>
      <c r="AL105" s="750" t="s">
        <v>1722</v>
      </c>
      <c r="AM105" s="743">
        <f t="shared" si="21"/>
        <v>64</v>
      </c>
    </row>
    <row r="106" spans="1:39" ht="13.2" hidden="1" customHeight="1">
      <c r="A106" s="604" t="s">
        <v>1078</v>
      </c>
      <c r="B106" s="604" t="s">
        <v>1410</v>
      </c>
      <c r="C106" s="614" t="s">
        <v>37</v>
      </c>
      <c r="D106" s="580"/>
      <c r="E106" s="581"/>
      <c r="F106" s="581"/>
      <c r="G106" s="581"/>
      <c r="H106" s="581"/>
      <c r="I106" s="949"/>
      <c r="J106" s="949"/>
      <c r="K106" s="949"/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753"/>
      <c r="AF106" s="575"/>
      <c r="AG106" s="588"/>
      <c r="AH106" s="588"/>
      <c r="AI106" s="1013">
        <f t="shared" si="19"/>
        <v>0</v>
      </c>
      <c r="AJ106" s="949">
        <v>0</v>
      </c>
      <c r="AK106" s="581">
        <f t="shared" si="20"/>
        <v>0</v>
      </c>
      <c r="AL106" s="750"/>
      <c r="AM106" s="743">
        <f t="shared" si="21"/>
        <v>0</v>
      </c>
    </row>
    <row r="107" spans="1:39" ht="13.2" hidden="1" customHeight="1">
      <c r="A107" s="607" t="s">
        <v>1079</v>
      </c>
      <c r="B107" s="607" t="s">
        <v>1411</v>
      </c>
      <c r="C107" s="690"/>
      <c r="D107" s="580"/>
      <c r="E107" s="581"/>
      <c r="F107" s="581"/>
      <c r="G107" s="581"/>
      <c r="H107" s="581"/>
      <c r="I107" s="949"/>
      <c r="J107" s="949"/>
      <c r="K107" s="949"/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753"/>
      <c r="AF107" s="575"/>
      <c r="AG107" s="588"/>
      <c r="AH107" s="588"/>
      <c r="AI107" s="1013">
        <f t="shared" si="19"/>
        <v>0</v>
      </c>
      <c r="AJ107" s="949">
        <v>0</v>
      </c>
      <c r="AK107" s="581">
        <f t="shared" si="20"/>
        <v>0</v>
      </c>
      <c r="AL107" s="750" t="s">
        <v>1603</v>
      </c>
      <c r="AM107" s="743">
        <f t="shared" si="21"/>
        <v>6</v>
      </c>
    </row>
    <row r="108" spans="1:39" ht="13.2" hidden="1" customHeight="1">
      <c r="A108" s="604" t="s">
        <v>1080</v>
      </c>
      <c r="B108" s="604" t="s">
        <v>1412</v>
      </c>
      <c r="C108" s="614" t="s">
        <v>1438</v>
      </c>
      <c r="D108" s="580"/>
      <c r="E108" s="581"/>
      <c r="F108" s="581"/>
      <c r="G108" s="581"/>
      <c r="H108" s="581"/>
      <c r="I108" s="949"/>
      <c r="J108" s="949"/>
      <c r="K108" s="949"/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753"/>
      <c r="AF108" s="575"/>
      <c r="AG108" s="588"/>
      <c r="AH108" s="588"/>
      <c r="AI108" s="1013">
        <f t="shared" si="19"/>
        <v>0</v>
      </c>
      <c r="AJ108" s="949">
        <v>0</v>
      </c>
      <c r="AK108" s="581">
        <f t="shared" si="20"/>
        <v>0</v>
      </c>
      <c r="AL108" s="750"/>
      <c r="AM108" s="743">
        <f t="shared" si="21"/>
        <v>0</v>
      </c>
    </row>
    <row r="109" spans="1:39" ht="13.2" hidden="1" customHeight="1">
      <c r="A109" s="607" t="s">
        <v>1081</v>
      </c>
      <c r="B109" s="607" t="s">
        <v>1378</v>
      </c>
      <c r="C109" s="690"/>
      <c r="D109" s="580"/>
      <c r="E109" s="581"/>
      <c r="F109" s="581"/>
      <c r="G109" s="581"/>
      <c r="H109" s="581"/>
      <c r="I109" s="949"/>
      <c r="J109" s="949"/>
      <c r="K109" s="949"/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  <c r="AB109" s="575"/>
      <c r="AC109" s="575"/>
      <c r="AD109" s="575"/>
      <c r="AE109" s="753"/>
      <c r="AF109" s="575"/>
      <c r="AG109" s="588"/>
      <c r="AH109" s="588"/>
      <c r="AI109" s="1013">
        <f t="shared" si="19"/>
        <v>0</v>
      </c>
      <c r="AJ109" s="949">
        <v>0</v>
      </c>
      <c r="AK109" s="581">
        <f t="shared" si="20"/>
        <v>0</v>
      </c>
      <c r="AL109" s="750" t="s">
        <v>1603</v>
      </c>
      <c r="AM109" s="743">
        <f t="shared" si="21"/>
        <v>6</v>
      </c>
    </row>
    <row r="110" spans="1:39" ht="13.2" hidden="1" customHeight="1">
      <c r="A110" s="604" t="s">
        <v>1082</v>
      </c>
      <c r="B110" s="604" t="s">
        <v>1413</v>
      </c>
      <c r="C110" s="614" t="s">
        <v>35</v>
      </c>
      <c r="D110" s="580"/>
      <c r="E110" s="581"/>
      <c r="F110" s="581"/>
      <c r="G110" s="581"/>
      <c r="H110" s="581"/>
      <c r="I110" s="949"/>
      <c r="J110" s="949"/>
      <c r="K110" s="949"/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  <c r="AB110" s="575"/>
      <c r="AC110" s="575"/>
      <c r="AD110" s="575"/>
      <c r="AE110" s="753"/>
      <c r="AF110" s="575"/>
      <c r="AG110" s="588"/>
      <c r="AH110" s="588"/>
      <c r="AI110" s="1013">
        <f t="shared" si="19"/>
        <v>0</v>
      </c>
      <c r="AJ110" s="949">
        <v>0</v>
      </c>
      <c r="AK110" s="581">
        <f t="shared" si="20"/>
        <v>0</v>
      </c>
      <c r="AL110" s="750"/>
      <c r="AM110" s="743">
        <f t="shared" si="21"/>
        <v>0</v>
      </c>
    </row>
    <row r="111" spans="1:39" ht="13.2" hidden="1" customHeight="1">
      <c r="A111" s="492" t="s">
        <v>1083</v>
      </c>
      <c r="B111" s="608" t="s">
        <v>1414</v>
      </c>
      <c r="C111" s="690"/>
      <c r="D111" s="580"/>
      <c r="E111" s="581"/>
      <c r="F111" s="581"/>
      <c r="G111" s="581"/>
      <c r="H111" s="581"/>
      <c r="I111" s="949"/>
      <c r="J111" s="949"/>
      <c r="K111" s="949"/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753"/>
      <c r="AF111" s="575"/>
      <c r="AG111" s="588"/>
      <c r="AH111" s="588"/>
      <c r="AI111" s="1013">
        <f t="shared" si="19"/>
        <v>0</v>
      </c>
      <c r="AJ111" s="949">
        <v>0</v>
      </c>
      <c r="AK111" s="581">
        <f t="shared" si="20"/>
        <v>0</v>
      </c>
      <c r="AL111" s="750"/>
      <c r="AM111" s="743">
        <f t="shared" si="21"/>
        <v>0</v>
      </c>
    </row>
    <row r="112" spans="1:39" ht="13.2" hidden="1" customHeight="1">
      <c r="A112" s="607" t="s">
        <v>1084</v>
      </c>
      <c r="B112" s="607" t="s">
        <v>1405</v>
      </c>
      <c r="C112" s="690"/>
      <c r="D112" s="580"/>
      <c r="E112" s="581"/>
      <c r="F112" s="581"/>
      <c r="G112" s="581"/>
      <c r="H112" s="581"/>
      <c r="I112" s="949"/>
      <c r="J112" s="949"/>
      <c r="K112" s="949"/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753"/>
      <c r="AF112" s="575"/>
      <c r="AG112" s="588"/>
      <c r="AH112" s="588"/>
      <c r="AI112" s="1013">
        <f t="shared" si="19"/>
        <v>0</v>
      </c>
      <c r="AJ112" s="949">
        <v>0</v>
      </c>
      <c r="AK112" s="581">
        <f t="shared" si="20"/>
        <v>0</v>
      </c>
      <c r="AL112" s="750" t="s">
        <v>1755</v>
      </c>
      <c r="AM112" s="743">
        <f t="shared" si="21"/>
        <v>56</v>
      </c>
    </row>
    <row r="113" spans="1:39" ht="13.2" hidden="1" customHeight="1">
      <c r="A113" s="604" t="s">
        <v>1085</v>
      </c>
      <c r="B113" s="604" t="s">
        <v>1406</v>
      </c>
      <c r="C113" s="614" t="s">
        <v>37</v>
      </c>
      <c r="D113" s="580"/>
      <c r="E113" s="581"/>
      <c r="F113" s="581"/>
      <c r="G113" s="581"/>
      <c r="H113" s="581"/>
      <c r="I113" s="949"/>
      <c r="J113" s="949"/>
      <c r="K113" s="949"/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753"/>
      <c r="AF113" s="575"/>
      <c r="AG113" s="588"/>
      <c r="AH113" s="588"/>
      <c r="AI113" s="1013">
        <f t="shared" si="19"/>
        <v>0</v>
      </c>
      <c r="AJ113" s="949">
        <v>0</v>
      </c>
      <c r="AK113" s="581">
        <f t="shared" si="20"/>
        <v>0</v>
      </c>
      <c r="AL113" s="750"/>
      <c r="AM113" s="743">
        <f t="shared" si="21"/>
        <v>0</v>
      </c>
    </row>
    <row r="114" spans="1:39" ht="13.2" hidden="1" customHeight="1">
      <c r="A114" s="607" t="s">
        <v>1086</v>
      </c>
      <c r="B114" s="607" t="s">
        <v>1407</v>
      </c>
      <c r="C114" s="690"/>
      <c r="D114" s="580"/>
      <c r="E114" s="581"/>
      <c r="F114" s="581"/>
      <c r="G114" s="581"/>
      <c r="H114" s="581"/>
      <c r="I114" s="949"/>
      <c r="J114" s="949"/>
      <c r="K114" s="949"/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753"/>
      <c r="AF114" s="575"/>
      <c r="AG114" s="588"/>
      <c r="AH114" s="588"/>
      <c r="AI114" s="1013">
        <f t="shared" si="19"/>
        <v>0</v>
      </c>
      <c r="AJ114" s="949">
        <v>0</v>
      </c>
      <c r="AK114" s="581">
        <f t="shared" si="20"/>
        <v>0</v>
      </c>
      <c r="AL114" s="750" t="s">
        <v>1756</v>
      </c>
      <c r="AM114" s="743">
        <f t="shared" si="21"/>
        <v>80</v>
      </c>
    </row>
    <row r="115" spans="1:39" ht="13.2" hidden="1" customHeight="1">
      <c r="A115" s="604" t="s">
        <v>1087</v>
      </c>
      <c r="B115" s="604" t="s">
        <v>1415</v>
      </c>
      <c r="C115" s="614" t="s">
        <v>37</v>
      </c>
      <c r="D115" s="580"/>
      <c r="E115" s="581"/>
      <c r="F115" s="581"/>
      <c r="G115" s="581"/>
      <c r="H115" s="581"/>
      <c r="I115" s="949"/>
      <c r="J115" s="949"/>
      <c r="K115" s="949"/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  <c r="AB115" s="575"/>
      <c r="AC115" s="575"/>
      <c r="AD115" s="575"/>
      <c r="AE115" s="753"/>
      <c r="AF115" s="575"/>
      <c r="AG115" s="588"/>
      <c r="AH115" s="588"/>
      <c r="AI115" s="1013">
        <f t="shared" si="19"/>
        <v>0</v>
      </c>
      <c r="AJ115" s="949">
        <v>0</v>
      </c>
      <c r="AK115" s="581">
        <f t="shared" si="20"/>
        <v>0</v>
      </c>
      <c r="AL115" s="750"/>
      <c r="AM115" s="743">
        <f t="shared" si="21"/>
        <v>0</v>
      </c>
    </row>
    <row r="116" spans="1:39" ht="13.2" hidden="1" customHeight="1">
      <c r="A116" s="607" t="s">
        <v>1088</v>
      </c>
      <c r="B116" s="607" t="s">
        <v>1409</v>
      </c>
      <c r="C116" s="690"/>
      <c r="D116" s="580"/>
      <c r="E116" s="581"/>
      <c r="F116" s="581"/>
      <c r="G116" s="581"/>
      <c r="H116" s="581"/>
      <c r="I116" s="949"/>
      <c r="J116" s="949"/>
      <c r="K116" s="949"/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753"/>
      <c r="AF116" s="575"/>
      <c r="AG116" s="588"/>
      <c r="AH116" s="588"/>
      <c r="AI116" s="1013">
        <f t="shared" si="19"/>
        <v>0</v>
      </c>
      <c r="AJ116" s="949">
        <v>0</v>
      </c>
      <c r="AK116" s="581">
        <f t="shared" si="20"/>
        <v>0</v>
      </c>
      <c r="AL116" s="750" t="s">
        <v>1755</v>
      </c>
      <c r="AM116" s="743">
        <f t="shared" si="21"/>
        <v>56</v>
      </c>
    </row>
    <row r="117" spans="1:39" ht="13.2" hidden="1" customHeight="1">
      <c r="A117" s="604" t="s">
        <v>1089</v>
      </c>
      <c r="B117" s="604" t="s">
        <v>1416</v>
      </c>
      <c r="C117" s="614" t="s">
        <v>37</v>
      </c>
      <c r="D117" s="580"/>
      <c r="E117" s="581"/>
      <c r="F117" s="581"/>
      <c r="G117" s="581"/>
      <c r="H117" s="581"/>
      <c r="I117" s="949"/>
      <c r="J117" s="949"/>
      <c r="K117" s="949"/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753"/>
      <c r="AF117" s="575"/>
      <c r="AG117" s="588"/>
      <c r="AH117" s="588"/>
      <c r="AI117" s="1013">
        <f t="shared" si="19"/>
        <v>0</v>
      </c>
      <c r="AJ117" s="949">
        <v>0</v>
      </c>
      <c r="AK117" s="581">
        <f t="shared" si="20"/>
        <v>0</v>
      </c>
      <c r="AL117" s="750"/>
      <c r="AM117" s="743">
        <f t="shared" si="21"/>
        <v>0</v>
      </c>
    </row>
    <row r="118" spans="1:39" ht="13.2" hidden="1" customHeight="1">
      <c r="A118" s="607" t="s">
        <v>1090</v>
      </c>
      <c r="B118" s="607" t="s">
        <v>1417</v>
      </c>
      <c r="C118" s="690"/>
      <c r="D118" s="580"/>
      <c r="E118" s="581"/>
      <c r="F118" s="581"/>
      <c r="G118" s="581"/>
      <c r="H118" s="581"/>
      <c r="I118" s="949"/>
      <c r="J118" s="949"/>
      <c r="K118" s="949"/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753"/>
      <c r="AF118" s="575"/>
      <c r="AG118" s="588"/>
      <c r="AH118" s="588"/>
      <c r="AI118" s="1013">
        <f t="shared" si="19"/>
        <v>0</v>
      </c>
      <c r="AJ118" s="949">
        <v>0</v>
      </c>
      <c r="AK118" s="581">
        <f t="shared" si="20"/>
        <v>0</v>
      </c>
      <c r="AL118" s="750" t="s">
        <v>1603</v>
      </c>
      <c r="AM118" s="743">
        <f t="shared" si="21"/>
        <v>6</v>
      </c>
    </row>
    <row r="119" spans="1:39" ht="13.2" hidden="1" customHeight="1">
      <c r="A119" s="604" t="s">
        <v>1091</v>
      </c>
      <c r="B119" s="604" t="s">
        <v>1418</v>
      </c>
      <c r="C119" s="614" t="s">
        <v>35</v>
      </c>
      <c r="D119" s="580"/>
      <c r="E119" s="581"/>
      <c r="F119" s="581"/>
      <c r="G119" s="581"/>
      <c r="H119" s="581"/>
      <c r="I119" s="949"/>
      <c r="J119" s="949"/>
      <c r="K119" s="949"/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753"/>
      <c r="AF119" s="575"/>
      <c r="AG119" s="588"/>
      <c r="AH119" s="588"/>
      <c r="AI119" s="1013">
        <f t="shared" si="19"/>
        <v>0</v>
      </c>
      <c r="AJ119" s="949">
        <v>0</v>
      </c>
      <c r="AK119" s="581">
        <f t="shared" si="20"/>
        <v>0</v>
      </c>
      <c r="AL119" s="750"/>
      <c r="AM119" s="743">
        <f t="shared" si="21"/>
        <v>0</v>
      </c>
    </row>
    <row r="120" spans="1:39" ht="13.2" hidden="1" customHeight="1">
      <c r="A120" s="607" t="s">
        <v>1092</v>
      </c>
      <c r="B120" s="607" t="s">
        <v>1419</v>
      </c>
      <c r="C120" s="690"/>
      <c r="D120" s="580"/>
      <c r="E120" s="581"/>
      <c r="F120" s="581"/>
      <c r="G120" s="581"/>
      <c r="H120" s="581"/>
      <c r="I120" s="949"/>
      <c r="J120" s="949"/>
      <c r="K120" s="949"/>
      <c r="L120" s="575"/>
      <c r="M120" s="575"/>
      <c r="N120" s="575"/>
      <c r="O120" s="575"/>
      <c r="P120" s="575"/>
      <c r="Q120" s="575"/>
      <c r="R120" s="575"/>
      <c r="S120" s="575"/>
      <c r="T120" s="575"/>
      <c r="U120" s="575"/>
      <c r="V120" s="575"/>
      <c r="W120" s="575"/>
      <c r="X120" s="575"/>
      <c r="Y120" s="575"/>
      <c r="Z120" s="575"/>
      <c r="AA120" s="575"/>
      <c r="AB120" s="575"/>
      <c r="AC120" s="575"/>
      <c r="AD120" s="575"/>
      <c r="AE120" s="753"/>
      <c r="AF120" s="575"/>
      <c r="AG120" s="588"/>
      <c r="AH120" s="588"/>
      <c r="AI120" s="1013">
        <f t="shared" si="19"/>
        <v>0</v>
      </c>
      <c r="AJ120" s="949">
        <v>0</v>
      </c>
      <c r="AK120" s="581">
        <f t="shared" si="20"/>
        <v>0</v>
      </c>
      <c r="AL120" s="750" t="s">
        <v>1603</v>
      </c>
      <c r="AM120" s="743">
        <f t="shared" si="21"/>
        <v>6</v>
      </c>
    </row>
    <row r="121" spans="1:39" ht="13.2" hidden="1" customHeight="1">
      <c r="A121" s="604" t="s">
        <v>1093</v>
      </c>
      <c r="B121" s="604" t="s">
        <v>1420</v>
      </c>
      <c r="C121" s="614" t="s">
        <v>1438</v>
      </c>
      <c r="D121" s="580"/>
      <c r="E121" s="581"/>
      <c r="F121" s="581"/>
      <c r="G121" s="581"/>
      <c r="H121" s="581"/>
      <c r="I121" s="949"/>
      <c r="J121" s="949"/>
      <c r="K121" s="949"/>
      <c r="L121" s="575"/>
      <c r="M121" s="575"/>
      <c r="N121" s="575"/>
      <c r="O121" s="575"/>
      <c r="P121" s="575"/>
      <c r="Q121" s="575"/>
      <c r="R121" s="575"/>
      <c r="S121" s="575"/>
      <c r="T121" s="575"/>
      <c r="U121" s="575"/>
      <c r="V121" s="575"/>
      <c r="W121" s="575"/>
      <c r="X121" s="575"/>
      <c r="Y121" s="575"/>
      <c r="Z121" s="575"/>
      <c r="AA121" s="575"/>
      <c r="AB121" s="575"/>
      <c r="AC121" s="575"/>
      <c r="AD121" s="575"/>
      <c r="AE121" s="753"/>
      <c r="AF121" s="575"/>
      <c r="AG121" s="588"/>
      <c r="AH121" s="588"/>
      <c r="AI121" s="1013">
        <f t="shared" si="19"/>
        <v>0</v>
      </c>
      <c r="AJ121" s="949">
        <v>0</v>
      </c>
      <c r="AK121" s="581">
        <f t="shared" si="20"/>
        <v>0</v>
      </c>
      <c r="AL121" s="750"/>
      <c r="AM121" s="743">
        <f t="shared" si="21"/>
        <v>0</v>
      </c>
    </row>
    <row r="122" spans="1:39" ht="13.2" hidden="1" customHeight="1">
      <c r="A122" s="607" t="s">
        <v>1094</v>
      </c>
      <c r="B122" s="607" t="s">
        <v>1402</v>
      </c>
      <c r="C122" s="690"/>
      <c r="D122" s="580"/>
      <c r="E122" s="581"/>
      <c r="F122" s="581"/>
      <c r="G122" s="581"/>
      <c r="H122" s="581"/>
      <c r="I122" s="949"/>
      <c r="J122" s="949"/>
      <c r="K122" s="949"/>
      <c r="L122" s="575"/>
      <c r="M122" s="575"/>
      <c r="N122" s="575"/>
      <c r="O122" s="575"/>
      <c r="P122" s="575"/>
      <c r="Q122" s="575"/>
      <c r="R122" s="575"/>
      <c r="S122" s="575"/>
      <c r="T122" s="575"/>
      <c r="U122" s="575"/>
      <c r="V122" s="575"/>
      <c r="W122" s="575"/>
      <c r="X122" s="575"/>
      <c r="Y122" s="575"/>
      <c r="Z122" s="575"/>
      <c r="AA122" s="575"/>
      <c r="AB122" s="575"/>
      <c r="AC122" s="575"/>
      <c r="AD122" s="575"/>
      <c r="AE122" s="753"/>
      <c r="AF122" s="575"/>
      <c r="AG122" s="588"/>
      <c r="AH122" s="588"/>
      <c r="AI122" s="1013">
        <f t="shared" ref="AI122:AI145" si="22">ROUND((SUM(D122:AH122)),2)</f>
        <v>0</v>
      </c>
      <c r="AJ122" s="949">
        <v>0</v>
      </c>
      <c r="AK122" s="581">
        <f t="shared" si="20"/>
        <v>0</v>
      </c>
      <c r="AL122" s="750" t="s">
        <v>1603</v>
      </c>
      <c r="AM122" s="743">
        <f t="shared" si="21"/>
        <v>6</v>
      </c>
    </row>
    <row r="123" spans="1:39" ht="13.2" hidden="1" customHeight="1">
      <c r="A123" s="604" t="s">
        <v>1095</v>
      </c>
      <c r="B123" s="604" t="s">
        <v>1421</v>
      </c>
      <c r="C123" s="614" t="s">
        <v>35</v>
      </c>
      <c r="D123" s="580"/>
      <c r="E123" s="581"/>
      <c r="F123" s="581"/>
      <c r="G123" s="581"/>
      <c r="H123" s="581"/>
      <c r="I123" s="949"/>
      <c r="J123" s="949"/>
      <c r="K123" s="949"/>
      <c r="L123" s="575"/>
      <c r="M123" s="575"/>
      <c r="N123" s="575"/>
      <c r="O123" s="575"/>
      <c r="P123" s="575"/>
      <c r="Q123" s="575"/>
      <c r="R123" s="575"/>
      <c r="S123" s="575"/>
      <c r="T123" s="575"/>
      <c r="U123" s="575"/>
      <c r="V123" s="575"/>
      <c r="W123" s="575"/>
      <c r="X123" s="575"/>
      <c r="Y123" s="575"/>
      <c r="Z123" s="575"/>
      <c r="AA123" s="575"/>
      <c r="AB123" s="575"/>
      <c r="AC123" s="575"/>
      <c r="AD123" s="575"/>
      <c r="AE123" s="753"/>
      <c r="AF123" s="575"/>
      <c r="AG123" s="588"/>
      <c r="AH123" s="588"/>
      <c r="AI123" s="1013">
        <f t="shared" si="22"/>
        <v>0</v>
      </c>
      <c r="AJ123" s="949">
        <v>0</v>
      </c>
      <c r="AK123" s="581">
        <f t="shared" si="20"/>
        <v>0</v>
      </c>
      <c r="AL123" s="750"/>
      <c r="AM123" s="743">
        <f t="shared" si="21"/>
        <v>0</v>
      </c>
    </row>
    <row r="124" spans="1:39" ht="13.2" hidden="1" customHeight="1">
      <c r="A124" s="607" t="s">
        <v>1096</v>
      </c>
      <c r="B124" s="607" t="s">
        <v>1411</v>
      </c>
      <c r="C124" s="690"/>
      <c r="D124" s="580"/>
      <c r="E124" s="581"/>
      <c r="F124" s="581"/>
      <c r="G124" s="581"/>
      <c r="H124" s="581"/>
      <c r="I124" s="949"/>
      <c r="J124" s="949"/>
      <c r="K124" s="949"/>
      <c r="L124" s="575"/>
      <c r="M124" s="575"/>
      <c r="N124" s="575"/>
      <c r="O124" s="575"/>
      <c r="P124" s="575"/>
      <c r="Q124" s="575"/>
      <c r="R124" s="575"/>
      <c r="S124" s="575"/>
      <c r="T124" s="575"/>
      <c r="U124" s="575"/>
      <c r="V124" s="575"/>
      <c r="W124" s="575"/>
      <c r="X124" s="575"/>
      <c r="Y124" s="575"/>
      <c r="Z124" s="575"/>
      <c r="AA124" s="575"/>
      <c r="AB124" s="575"/>
      <c r="AC124" s="575"/>
      <c r="AD124" s="575"/>
      <c r="AE124" s="753"/>
      <c r="AF124" s="575"/>
      <c r="AG124" s="588"/>
      <c r="AH124" s="588"/>
      <c r="AI124" s="1013">
        <f t="shared" si="22"/>
        <v>0</v>
      </c>
      <c r="AJ124" s="949">
        <v>0</v>
      </c>
      <c r="AK124" s="581">
        <f t="shared" si="20"/>
        <v>0</v>
      </c>
      <c r="AL124" s="750" t="s">
        <v>1603</v>
      </c>
      <c r="AM124" s="743">
        <f t="shared" si="21"/>
        <v>6</v>
      </c>
    </row>
    <row r="125" spans="1:39" ht="13.2" hidden="1" customHeight="1">
      <c r="A125" s="604" t="s">
        <v>1097</v>
      </c>
      <c r="B125" s="604" t="s">
        <v>1422</v>
      </c>
      <c r="C125" s="614" t="s">
        <v>1438</v>
      </c>
      <c r="D125" s="580"/>
      <c r="E125" s="581"/>
      <c r="F125" s="581"/>
      <c r="G125" s="581"/>
      <c r="H125" s="581"/>
      <c r="I125" s="949"/>
      <c r="J125" s="949"/>
      <c r="K125" s="949"/>
      <c r="L125" s="575"/>
      <c r="M125" s="575"/>
      <c r="N125" s="575"/>
      <c r="O125" s="575"/>
      <c r="P125" s="575"/>
      <c r="Q125" s="575"/>
      <c r="R125" s="575"/>
      <c r="S125" s="575"/>
      <c r="T125" s="575"/>
      <c r="U125" s="575"/>
      <c r="V125" s="575"/>
      <c r="W125" s="575"/>
      <c r="X125" s="575"/>
      <c r="Y125" s="575"/>
      <c r="Z125" s="575"/>
      <c r="AA125" s="575"/>
      <c r="AB125" s="575"/>
      <c r="AC125" s="575"/>
      <c r="AD125" s="575"/>
      <c r="AE125" s="753"/>
      <c r="AF125" s="575"/>
      <c r="AG125" s="588"/>
      <c r="AH125" s="588"/>
      <c r="AI125" s="1013">
        <f t="shared" si="22"/>
        <v>0</v>
      </c>
      <c r="AJ125" s="949">
        <v>0</v>
      </c>
      <c r="AK125" s="581">
        <f t="shared" si="20"/>
        <v>0</v>
      </c>
      <c r="AL125" s="750"/>
      <c r="AM125" s="743">
        <f t="shared" si="21"/>
        <v>0</v>
      </c>
    </row>
    <row r="126" spans="1:39" ht="13.2" hidden="1" customHeight="1">
      <c r="A126" s="607" t="s">
        <v>1098</v>
      </c>
      <c r="B126" s="607" t="s">
        <v>1378</v>
      </c>
      <c r="C126" s="690"/>
      <c r="D126" s="580"/>
      <c r="E126" s="581"/>
      <c r="F126" s="581"/>
      <c r="G126" s="581"/>
      <c r="H126" s="581"/>
      <c r="I126" s="949"/>
      <c r="J126" s="949"/>
      <c r="K126" s="949"/>
      <c r="L126" s="575"/>
      <c r="M126" s="575"/>
      <c r="N126" s="575"/>
      <c r="O126" s="575"/>
      <c r="P126" s="575"/>
      <c r="Q126" s="575"/>
      <c r="R126" s="575"/>
      <c r="S126" s="575"/>
      <c r="T126" s="575"/>
      <c r="U126" s="575"/>
      <c r="V126" s="575"/>
      <c r="W126" s="575"/>
      <c r="X126" s="575"/>
      <c r="Y126" s="575"/>
      <c r="Z126" s="575"/>
      <c r="AA126" s="575"/>
      <c r="AB126" s="575"/>
      <c r="AC126" s="575"/>
      <c r="AD126" s="575"/>
      <c r="AE126" s="753"/>
      <c r="AF126" s="575"/>
      <c r="AG126" s="588"/>
      <c r="AH126" s="588"/>
      <c r="AI126" s="1013">
        <f t="shared" si="22"/>
        <v>0</v>
      </c>
      <c r="AJ126" s="949">
        <v>0</v>
      </c>
      <c r="AK126" s="581">
        <f t="shared" si="20"/>
        <v>0</v>
      </c>
      <c r="AL126" s="750" t="s">
        <v>1603</v>
      </c>
      <c r="AM126" s="743">
        <f t="shared" si="21"/>
        <v>6</v>
      </c>
    </row>
    <row r="127" spans="1:39" ht="13.2" hidden="1" customHeight="1">
      <c r="A127" s="604" t="s">
        <v>1099</v>
      </c>
      <c r="B127" s="604" t="s">
        <v>1423</v>
      </c>
      <c r="C127" s="614" t="s">
        <v>35</v>
      </c>
      <c r="D127" s="580"/>
      <c r="E127" s="581"/>
      <c r="F127" s="581"/>
      <c r="G127" s="581"/>
      <c r="H127" s="581"/>
      <c r="I127" s="949"/>
      <c r="J127" s="949"/>
      <c r="K127" s="949"/>
      <c r="L127" s="575"/>
      <c r="M127" s="575"/>
      <c r="N127" s="575"/>
      <c r="O127" s="575"/>
      <c r="P127" s="575"/>
      <c r="Q127" s="575"/>
      <c r="R127" s="575"/>
      <c r="S127" s="575"/>
      <c r="T127" s="575"/>
      <c r="U127" s="575"/>
      <c r="V127" s="575"/>
      <c r="W127" s="575"/>
      <c r="X127" s="575"/>
      <c r="Y127" s="575"/>
      <c r="Z127" s="575"/>
      <c r="AA127" s="575"/>
      <c r="AB127" s="575"/>
      <c r="AC127" s="575"/>
      <c r="AD127" s="575"/>
      <c r="AE127" s="753"/>
      <c r="AF127" s="575"/>
      <c r="AG127" s="588"/>
      <c r="AH127" s="588"/>
      <c r="AI127" s="1013">
        <f t="shared" si="22"/>
        <v>0</v>
      </c>
      <c r="AJ127" s="949">
        <v>0</v>
      </c>
      <c r="AK127" s="581">
        <f t="shared" ref="AK127:AK145" si="23">AI127+AJ127</f>
        <v>0</v>
      </c>
      <c r="AL127" s="750"/>
      <c r="AM127" s="743">
        <f t="shared" ref="AM127:AM146" si="24">AL127-AK127</f>
        <v>0</v>
      </c>
    </row>
    <row r="128" spans="1:39" ht="13.2" hidden="1" customHeight="1">
      <c r="A128" s="492" t="s">
        <v>1100</v>
      </c>
      <c r="B128" s="608" t="s">
        <v>1424</v>
      </c>
      <c r="C128" s="690"/>
      <c r="D128" s="580"/>
      <c r="E128" s="581"/>
      <c r="F128" s="581"/>
      <c r="G128" s="581"/>
      <c r="H128" s="581"/>
      <c r="I128" s="949"/>
      <c r="J128" s="949"/>
      <c r="K128" s="949"/>
      <c r="L128" s="575"/>
      <c r="M128" s="575"/>
      <c r="N128" s="575"/>
      <c r="O128" s="575"/>
      <c r="P128" s="575"/>
      <c r="Q128" s="575"/>
      <c r="R128" s="575"/>
      <c r="S128" s="575"/>
      <c r="T128" s="575"/>
      <c r="U128" s="575"/>
      <c r="V128" s="575"/>
      <c r="W128" s="575"/>
      <c r="X128" s="575"/>
      <c r="Y128" s="575"/>
      <c r="Z128" s="575"/>
      <c r="AA128" s="575"/>
      <c r="AB128" s="575"/>
      <c r="AC128" s="575"/>
      <c r="AD128" s="575"/>
      <c r="AE128" s="753"/>
      <c r="AF128" s="575"/>
      <c r="AG128" s="588"/>
      <c r="AH128" s="588"/>
      <c r="AI128" s="1013">
        <f t="shared" si="22"/>
        <v>0</v>
      </c>
      <c r="AJ128" s="949">
        <v>0</v>
      </c>
      <c r="AK128" s="581">
        <f t="shared" si="23"/>
        <v>0</v>
      </c>
      <c r="AL128" s="750"/>
      <c r="AM128" s="743">
        <f t="shared" si="24"/>
        <v>0</v>
      </c>
    </row>
    <row r="129" spans="1:39" ht="13.2" hidden="1" customHeight="1">
      <c r="A129" s="607" t="s">
        <v>1101</v>
      </c>
      <c r="B129" s="607" t="s">
        <v>1425</v>
      </c>
      <c r="C129" s="690"/>
      <c r="D129" s="580"/>
      <c r="E129" s="581"/>
      <c r="F129" s="581"/>
      <c r="G129" s="581"/>
      <c r="H129" s="581"/>
      <c r="I129" s="949"/>
      <c r="J129" s="949"/>
      <c r="K129" s="949"/>
      <c r="L129" s="575"/>
      <c r="M129" s="575"/>
      <c r="N129" s="575"/>
      <c r="O129" s="575"/>
      <c r="P129" s="575"/>
      <c r="Q129" s="575"/>
      <c r="R129" s="575"/>
      <c r="S129" s="575"/>
      <c r="T129" s="575"/>
      <c r="U129" s="575"/>
      <c r="V129" s="575"/>
      <c r="W129" s="575"/>
      <c r="X129" s="575"/>
      <c r="Y129" s="575"/>
      <c r="Z129" s="575"/>
      <c r="AA129" s="575"/>
      <c r="AB129" s="575"/>
      <c r="AC129" s="575"/>
      <c r="AD129" s="575"/>
      <c r="AE129" s="753"/>
      <c r="AF129" s="575"/>
      <c r="AG129" s="588"/>
      <c r="AH129" s="588"/>
      <c r="AI129" s="1013">
        <f t="shared" si="22"/>
        <v>0</v>
      </c>
      <c r="AJ129" s="949">
        <v>0</v>
      </c>
      <c r="AK129" s="581">
        <f t="shared" si="23"/>
        <v>0</v>
      </c>
      <c r="AL129" s="750" t="s">
        <v>1441</v>
      </c>
      <c r="AM129" s="743">
        <f t="shared" si="24"/>
        <v>1</v>
      </c>
    </row>
    <row r="130" spans="1:39" ht="13.2" hidden="1" customHeight="1">
      <c r="A130" s="604" t="s">
        <v>1102</v>
      </c>
      <c r="B130" s="604" t="s">
        <v>1426</v>
      </c>
      <c r="C130" s="614" t="s">
        <v>1439</v>
      </c>
      <c r="D130" s="580"/>
      <c r="E130" s="581"/>
      <c r="F130" s="581"/>
      <c r="G130" s="581"/>
      <c r="H130" s="581"/>
      <c r="I130" s="949"/>
      <c r="J130" s="949"/>
      <c r="K130" s="949"/>
      <c r="L130" s="575"/>
      <c r="M130" s="575"/>
      <c r="N130" s="575"/>
      <c r="O130" s="575"/>
      <c r="P130" s="575"/>
      <c r="Q130" s="575"/>
      <c r="R130" s="575"/>
      <c r="S130" s="575"/>
      <c r="T130" s="575"/>
      <c r="U130" s="575"/>
      <c r="V130" s="575"/>
      <c r="W130" s="575"/>
      <c r="X130" s="575"/>
      <c r="Y130" s="575"/>
      <c r="Z130" s="575"/>
      <c r="AA130" s="575"/>
      <c r="AB130" s="575"/>
      <c r="AC130" s="575"/>
      <c r="AD130" s="575"/>
      <c r="AE130" s="753"/>
      <c r="AF130" s="575"/>
      <c r="AG130" s="588"/>
      <c r="AH130" s="588"/>
      <c r="AI130" s="1013">
        <f t="shared" si="22"/>
        <v>0</v>
      </c>
      <c r="AJ130" s="949">
        <v>0</v>
      </c>
      <c r="AK130" s="581">
        <f t="shared" si="23"/>
        <v>0</v>
      </c>
      <c r="AL130" s="750"/>
      <c r="AM130" s="743">
        <f t="shared" si="24"/>
        <v>0</v>
      </c>
    </row>
    <row r="131" spans="1:39" ht="13.2" hidden="1" customHeight="1">
      <c r="A131" s="607" t="s">
        <v>1103</v>
      </c>
      <c r="B131" s="607" t="s">
        <v>1427</v>
      </c>
      <c r="C131" s="690"/>
      <c r="D131" s="580"/>
      <c r="E131" s="581"/>
      <c r="F131" s="581"/>
      <c r="G131" s="581"/>
      <c r="H131" s="581"/>
      <c r="I131" s="949"/>
      <c r="J131" s="949"/>
      <c r="K131" s="949"/>
      <c r="L131" s="575"/>
      <c r="M131" s="575"/>
      <c r="N131" s="575"/>
      <c r="O131" s="575"/>
      <c r="P131" s="575"/>
      <c r="Q131" s="575"/>
      <c r="R131" s="575"/>
      <c r="S131" s="575"/>
      <c r="T131" s="575"/>
      <c r="U131" s="575"/>
      <c r="V131" s="575"/>
      <c r="W131" s="575"/>
      <c r="X131" s="575"/>
      <c r="Y131" s="575"/>
      <c r="Z131" s="575"/>
      <c r="AA131" s="575"/>
      <c r="AB131" s="575"/>
      <c r="AC131" s="575"/>
      <c r="AD131" s="575"/>
      <c r="AE131" s="753"/>
      <c r="AF131" s="575"/>
      <c r="AG131" s="588"/>
      <c r="AH131" s="588"/>
      <c r="AI131" s="1013">
        <f t="shared" si="22"/>
        <v>0</v>
      </c>
      <c r="AJ131" s="949">
        <v>0</v>
      </c>
      <c r="AK131" s="581">
        <f t="shared" si="23"/>
        <v>0</v>
      </c>
      <c r="AL131" s="750" t="s">
        <v>1684</v>
      </c>
      <c r="AM131" s="743">
        <f t="shared" si="24"/>
        <v>2</v>
      </c>
    </row>
    <row r="132" spans="1:39" ht="13.2" hidden="1" customHeight="1">
      <c r="A132" s="604" t="s">
        <v>1104</v>
      </c>
      <c r="B132" s="604" t="s">
        <v>1428</v>
      </c>
      <c r="C132" s="614" t="s">
        <v>1440</v>
      </c>
      <c r="D132" s="580"/>
      <c r="E132" s="581"/>
      <c r="F132" s="581"/>
      <c r="G132" s="581"/>
      <c r="H132" s="581"/>
      <c r="I132" s="949"/>
      <c r="J132" s="949"/>
      <c r="K132" s="949"/>
      <c r="L132" s="575"/>
      <c r="M132" s="575"/>
      <c r="N132" s="575"/>
      <c r="O132" s="575"/>
      <c r="P132" s="575"/>
      <c r="Q132" s="575"/>
      <c r="R132" s="575"/>
      <c r="S132" s="575"/>
      <c r="T132" s="575"/>
      <c r="U132" s="575"/>
      <c r="V132" s="575"/>
      <c r="W132" s="575"/>
      <c r="X132" s="575"/>
      <c r="Y132" s="575"/>
      <c r="Z132" s="575"/>
      <c r="AA132" s="575"/>
      <c r="AB132" s="575"/>
      <c r="AC132" s="575"/>
      <c r="AD132" s="575"/>
      <c r="AE132" s="753"/>
      <c r="AF132" s="575"/>
      <c r="AG132" s="588"/>
      <c r="AH132" s="588"/>
      <c r="AI132" s="1013">
        <f t="shared" si="22"/>
        <v>0</v>
      </c>
      <c r="AJ132" s="949">
        <v>0</v>
      </c>
      <c r="AK132" s="581">
        <f t="shared" si="23"/>
        <v>0</v>
      </c>
      <c r="AL132" s="750"/>
      <c r="AM132" s="743">
        <f t="shared" si="24"/>
        <v>0</v>
      </c>
    </row>
    <row r="133" spans="1:39" ht="13.2" hidden="1" customHeight="1">
      <c r="A133" s="607" t="s">
        <v>1105</v>
      </c>
      <c r="B133" s="607" t="s">
        <v>1405</v>
      </c>
      <c r="C133" s="690"/>
      <c r="D133" s="580"/>
      <c r="E133" s="581"/>
      <c r="F133" s="581"/>
      <c r="G133" s="581"/>
      <c r="H133" s="581"/>
      <c r="I133" s="949"/>
      <c r="J133" s="949"/>
      <c r="K133" s="949"/>
      <c r="L133" s="575"/>
      <c r="M133" s="575"/>
      <c r="N133" s="575"/>
      <c r="O133" s="575"/>
      <c r="P133" s="575"/>
      <c r="Q133" s="575"/>
      <c r="R133" s="575"/>
      <c r="S133" s="575"/>
      <c r="T133" s="575"/>
      <c r="U133" s="575"/>
      <c r="V133" s="575"/>
      <c r="W133" s="575"/>
      <c r="X133" s="575"/>
      <c r="Y133" s="575"/>
      <c r="Z133" s="575"/>
      <c r="AA133" s="575"/>
      <c r="AB133" s="575"/>
      <c r="AC133" s="575"/>
      <c r="AD133" s="575"/>
      <c r="AE133" s="753"/>
      <c r="AF133" s="575"/>
      <c r="AG133" s="588"/>
      <c r="AH133" s="588"/>
      <c r="AI133" s="1013">
        <f t="shared" si="22"/>
        <v>0</v>
      </c>
      <c r="AJ133" s="949">
        <v>0</v>
      </c>
      <c r="AK133" s="581">
        <f t="shared" si="23"/>
        <v>0</v>
      </c>
      <c r="AL133" s="750" t="s">
        <v>1757</v>
      </c>
      <c r="AM133" s="743">
        <f t="shared" si="24"/>
        <v>90</v>
      </c>
    </row>
    <row r="134" spans="1:39" ht="13.2" hidden="1" customHeight="1">
      <c r="A134" s="604" t="s">
        <v>1106</v>
      </c>
      <c r="B134" s="604" t="s">
        <v>1406</v>
      </c>
      <c r="C134" s="614" t="s">
        <v>37</v>
      </c>
      <c r="D134" s="580"/>
      <c r="E134" s="581"/>
      <c r="F134" s="581"/>
      <c r="G134" s="581"/>
      <c r="H134" s="581"/>
      <c r="I134" s="949"/>
      <c r="J134" s="949"/>
      <c r="K134" s="949"/>
      <c r="L134" s="575"/>
      <c r="M134" s="575"/>
      <c r="N134" s="575"/>
      <c r="O134" s="575"/>
      <c r="P134" s="575"/>
      <c r="Q134" s="575"/>
      <c r="R134" s="575"/>
      <c r="S134" s="575"/>
      <c r="T134" s="575"/>
      <c r="U134" s="575"/>
      <c r="V134" s="575"/>
      <c r="W134" s="575"/>
      <c r="X134" s="575"/>
      <c r="Y134" s="575"/>
      <c r="Z134" s="575"/>
      <c r="AA134" s="575"/>
      <c r="AB134" s="575"/>
      <c r="AC134" s="575"/>
      <c r="AD134" s="575"/>
      <c r="AE134" s="753"/>
      <c r="AF134" s="575"/>
      <c r="AG134" s="588"/>
      <c r="AH134" s="588"/>
      <c r="AI134" s="1013">
        <f t="shared" si="22"/>
        <v>0</v>
      </c>
      <c r="AJ134" s="949">
        <v>0</v>
      </c>
      <c r="AK134" s="581">
        <f t="shared" si="23"/>
        <v>0</v>
      </c>
      <c r="AL134" s="750"/>
      <c r="AM134" s="743">
        <f t="shared" si="24"/>
        <v>0</v>
      </c>
    </row>
    <row r="135" spans="1:39" ht="13.2" hidden="1" customHeight="1">
      <c r="A135" s="607" t="s">
        <v>1107</v>
      </c>
      <c r="B135" s="607" t="s">
        <v>1407</v>
      </c>
      <c r="C135" s="690"/>
      <c r="D135" s="580"/>
      <c r="E135" s="581"/>
      <c r="F135" s="581"/>
      <c r="G135" s="581"/>
      <c r="H135" s="581"/>
      <c r="I135" s="949"/>
      <c r="J135" s="949"/>
      <c r="K135" s="949"/>
      <c r="L135" s="575"/>
      <c r="M135" s="575"/>
      <c r="N135" s="575"/>
      <c r="O135" s="575"/>
      <c r="P135" s="575"/>
      <c r="Q135" s="575"/>
      <c r="R135" s="575"/>
      <c r="S135" s="575"/>
      <c r="T135" s="575"/>
      <c r="U135" s="575"/>
      <c r="V135" s="575"/>
      <c r="W135" s="575"/>
      <c r="X135" s="575"/>
      <c r="Y135" s="575"/>
      <c r="Z135" s="575"/>
      <c r="AA135" s="575"/>
      <c r="AB135" s="575"/>
      <c r="AC135" s="575"/>
      <c r="AD135" s="575"/>
      <c r="AE135" s="753"/>
      <c r="AF135" s="575"/>
      <c r="AG135" s="588"/>
      <c r="AH135" s="588"/>
      <c r="AI135" s="1013">
        <f t="shared" si="22"/>
        <v>0</v>
      </c>
      <c r="AJ135" s="949">
        <v>0</v>
      </c>
      <c r="AK135" s="581">
        <f t="shared" si="23"/>
        <v>0</v>
      </c>
      <c r="AL135" s="750">
        <v>12</v>
      </c>
      <c r="AM135" s="743">
        <f t="shared" si="24"/>
        <v>12</v>
      </c>
    </row>
    <row r="136" spans="1:39" ht="13.2" hidden="1" customHeight="1">
      <c r="A136" s="604" t="s">
        <v>1108</v>
      </c>
      <c r="B136" s="604" t="s">
        <v>1429</v>
      </c>
      <c r="C136" s="614" t="s">
        <v>37</v>
      </c>
      <c r="D136" s="580"/>
      <c r="E136" s="581"/>
      <c r="F136" s="581"/>
      <c r="G136" s="581"/>
      <c r="H136" s="581"/>
      <c r="I136" s="949"/>
      <c r="J136" s="949"/>
      <c r="K136" s="949"/>
      <c r="L136" s="575"/>
      <c r="M136" s="575"/>
      <c r="N136" s="575"/>
      <c r="O136" s="575"/>
      <c r="P136" s="575"/>
      <c r="Q136" s="575"/>
      <c r="R136" s="575"/>
      <c r="S136" s="575"/>
      <c r="T136" s="575"/>
      <c r="U136" s="575"/>
      <c r="V136" s="575"/>
      <c r="W136" s="575"/>
      <c r="X136" s="575"/>
      <c r="Y136" s="575"/>
      <c r="Z136" s="575"/>
      <c r="AA136" s="575"/>
      <c r="AB136" s="575"/>
      <c r="AC136" s="575"/>
      <c r="AD136" s="575"/>
      <c r="AE136" s="753"/>
      <c r="AF136" s="575"/>
      <c r="AG136" s="588"/>
      <c r="AH136" s="588"/>
      <c r="AI136" s="1013">
        <f t="shared" si="22"/>
        <v>0</v>
      </c>
      <c r="AJ136" s="949">
        <v>0</v>
      </c>
      <c r="AK136" s="581">
        <f t="shared" si="23"/>
        <v>0</v>
      </c>
      <c r="AL136" s="750">
        <v>106</v>
      </c>
      <c r="AM136" s="743">
        <f t="shared" si="24"/>
        <v>106</v>
      </c>
    </row>
    <row r="137" spans="1:39" ht="13.2" hidden="1" customHeight="1">
      <c r="A137" s="604" t="s">
        <v>1109</v>
      </c>
      <c r="B137" s="604" t="s">
        <v>1430</v>
      </c>
      <c r="C137" s="614" t="s">
        <v>37</v>
      </c>
      <c r="D137" s="580"/>
      <c r="E137" s="581"/>
      <c r="F137" s="581"/>
      <c r="G137" s="581"/>
      <c r="H137" s="581"/>
      <c r="I137" s="949"/>
      <c r="J137" s="949"/>
      <c r="K137" s="949"/>
      <c r="L137" s="575"/>
      <c r="M137" s="575"/>
      <c r="N137" s="575"/>
      <c r="O137" s="575"/>
      <c r="P137" s="575"/>
      <c r="Q137" s="575"/>
      <c r="R137" s="575"/>
      <c r="S137" s="575"/>
      <c r="T137" s="575"/>
      <c r="U137" s="575"/>
      <c r="V137" s="575"/>
      <c r="W137" s="575"/>
      <c r="X137" s="575"/>
      <c r="Y137" s="575"/>
      <c r="Z137" s="575"/>
      <c r="AA137" s="575"/>
      <c r="AB137" s="575"/>
      <c r="AC137" s="575"/>
      <c r="AD137" s="575"/>
      <c r="AE137" s="753"/>
      <c r="AF137" s="575"/>
      <c r="AG137" s="588"/>
      <c r="AH137" s="588"/>
      <c r="AI137" s="1013">
        <f t="shared" si="22"/>
        <v>0</v>
      </c>
      <c r="AJ137" s="949">
        <v>0</v>
      </c>
      <c r="AK137" s="581">
        <f t="shared" si="23"/>
        <v>0</v>
      </c>
      <c r="AL137" s="750"/>
      <c r="AM137" s="743">
        <f t="shared" si="24"/>
        <v>0</v>
      </c>
    </row>
    <row r="138" spans="1:39" ht="13.2" hidden="1" customHeight="1">
      <c r="A138" s="607" t="s">
        <v>1110</v>
      </c>
      <c r="B138" s="607" t="s">
        <v>1409</v>
      </c>
      <c r="C138" s="690"/>
      <c r="D138" s="580"/>
      <c r="E138" s="581"/>
      <c r="F138" s="581"/>
      <c r="G138" s="581"/>
      <c r="H138" s="581"/>
      <c r="I138" s="949"/>
      <c r="J138" s="949"/>
      <c r="K138" s="949"/>
      <c r="L138" s="575"/>
      <c r="M138" s="575"/>
      <c r="N138" s="575"/>
      <c r="O138" s="575"/>
      <c r="P138" s="575"/>
      <c r="Q138" s="575"/>
      <c r="R138" s="575"/>
      <c r="S138" s="575"/>
      <c r="T138" s="575"/>
      <c r="U138" s="575"/>
      <c r="V138" s="575"/>
      <c r="W138" s="575"/>
      <c r="X138" s="575"/>
      <c r="Y138" s="575"/>
      <c r="Z138" s="575"/>
      <c r="AA138" s="575"/>
      <c r="AB138" s="575"/>
      <c r="AC138" s="575"/>
      <c r="AD138" s="575"/>
      <c r="AE138" s="753"/>
      <c r="AF138" s="575"/>
      <c r="AG138" s="588"/>
      <c r="AH138" s="588"/>
      <c r="AI138" s="1013">
        <f t="shared" si="22"/>
        <v>0</v>
      </c>
      <c r="AJ138" s="949">
        <v>0</v>
      </c>
      <c r="AK138" s="581">
        <f t="shared" si="23"/>
        <v>0</v>
      </c>
      <c r="AL138" s="750">
        <v>106</v>
      </c>
      <c r="AM138" s="743">
        <f t="shared" si="24"/>
        <v>106</v>
      </c>
    </row>
    <row r="139" spans="1:39" ht="13.2" hidden="1" customHeight="1">
      <c r="A139" s="604" t="s">
        <v>1111</v>
      </c>
      <c r="B139" s="604" t="s">
        <v>1431</v>
      </c>
      <c r="C139" s="614" t="s">
        <v>37</v>
      </c>
      <c r="D139" s="580"/>
      <c r="E139" s="581"/>
      <c r="F139" s="581"/>
      <c r="G139" s="581"/>
      <c r="H139" s="581"/>
      <c r="I139" s="949"/>
      <c r="J139" s="949"/>
      <c r="K139" s="949"/>
      <c r="L139" s="575"/>
      <c r="M139" s="575"/>
      <c r="N139" s="575"/>
      <c r="O139" s="575"/>
      <c r="P139" s="575"/>
      <c r="Q139" s="575"/>
      <c r="R139" s="575"/>
      <c r="S139" s="575"/>
      <c r="T139" s="575"/>
      <c r="U139" s="575"/>
      <c r="V139" s="575"/>
      <c r="W139" s="575"/>
      <c r="X139" s="575"/>
      <c r="Y139" s="575"/>
      <c r="Z139" s="575"/>
      <c r="AA139" s="575"/>
      <c r="AB139" s="575"/>
      <c r="AC139" s="575"/>
      <c r="AD139" s="575"/>
      <c r="AE139" s="753"/>
      <c r="AF139" s="575"/>
      <c r="AG139" s="588"/>
      <c r="AH139" s="588"/>
      <c r="AI139" s="1013">
        <f t="shared" si="22"/>
        <v>0</v>
      </c>
      <c r="AJ139" s="949">
        <v>0</v>
      </c>
      <c r="AK139" s="581">
        <f t="shared" si="23"/>
        <v>0</v>
      </c>
      <c r="AL139" s="750"/>
      <c r="AM139" s="743">
        <f t="shared" si="24"/>
        <v>0</v>
      </c>
    </row>
    <row r="140" spans="1:39" ht="13.2" hidden="1" customHeight="1">
      <c r="A140" s="607" t="s">
        <v>1112</v>
      </c>
      <c r="B140" s="607" t="s">
        <v>1402</v>
      </c>
      <c r="C140" s="690"/>
      <c r="D140" s="580"/>
      <c r="E140" s="581"/>
      <c r="F140" s="581"/>
      <c r="G140" s="581"/>
      <c r="H140" s="581"/>
      <c r="I140" s="949"/>
      <c r="J140" s="949"/>
      <c r="K140" s="949"/>
      <c r="L140" s="575"/>
      <c r="M140" s="575"/>
      <c r="N140" s="575"/>
      <c r="O140" s="575"/>
      <c r="P140" s="575"/>
      <c r="Q140" s="575"/>
      <c r="R140" s="575"/>
      <c r="S140" s="575"/>
      <c r="T140" s="575"/>
      <c r="U140" s="575"/>
      <c r="V140" s="575"/>
      <c r="W140" s="575"/>
      <c r="X140" s="575"/>
      <c r="Y140" s="575"/>
      <c r="Z140" s="575"/>
      <c r="AA140" s="575"/>
      <c r="AB140" s="575"/>
      <c r="AC140" s="575"/>
      <c r="AD140" s="575"/>
      <c r="AE140" s="753"/>
      <c r="AF140" s="575"/>
      <c r="AG140" s="588"/>
      <c r="AH140" s="588"/>
      <c r="AI140" s="1013">
        <f t="shared" si="22"/>
        <v>0</v>
      </c>
      <c r="AJ140" s="949">
        <v>0</v>
      </c>
      <c r="AK140" s="581">
        <f t="shared" si="23"/>
        <v>0</v>
      </c>
      <c r="AL140" s="750">
        <v>5</v>
      </c>
      <c r="AM140" s="743">
        <f t="shared" si="24"/>
        <v>5</v>
      </c>
    </row>
    <row r="141" spans="1:39" ht="13.2" hidden="1" customHeight="1">
      <c r="A141" s="604" t="s">
        <v>1113</v>
      </c>
      <c r="B141" s="604" t="s">
        <v>1403</v>
      </c>
      <c r="C141" s="614" t="s">
        <v>35</v>
      </c>
      <c r="D141" s="580"/>
      <c r="E141" s="581"/>
      <c r="F141" s="581"/>
      <c r="G141" s="581"/>
      <c r="H141" s="581"/>
      <c r="I141" s="949"/>
      <c r="J141" s="949"/>
      <c r="K141" s="949"/>
      <c r="L141" s="575"/>
      <c r="M141" s="575"/>
      <c r="N141" s="575"/>
      <c r="O141" s="575"/>
      <c r="P141" s="575"/>
      <c r="Q141" s="575"/>
      <c r="R141" s="575"/>
      <c r="S141" s="575"/>
      <c r="T141" s="575"/>
      <c r="U141" s="575"/>
      <c r="V141" s="575"/>
      <c r="W141" s="575"/>
      <c r="X141" s="575"/>
      <c r="Y141" s="575"/>
      <c r="Z141" s="575"/>
      <c r="AA141" s="575"/>
      <c r="AB141" s="575"/>
      <c r="AC141" s="575"/>
      <c r="AD141" s="575"/>
      <c r="AE141" s="753"/>
      <c r="AF141" s="575"/>
      <c r="AG141" s="588"/>
      <c r="AH141" s="588"/>
      <c r="AI141" s="1013">
        <f t="shared" si="22"/>
        <v>0</v>
      </c>
      <c r="AJ141" s="949">
        <v>0</v>
      </c>
      <c r="AK141" s="581">
        <f t="shared" si="23"/>
        <v>0</v>
      </c>
      <c r="AL141" s="750"/>
      <c r="AM141" s="743">
        <f t="shared" si="24"/>
        <v>0</v>
      </c>
    </row>
    <row r="142" spans="1:39" ht="13.2" hidden="1" customHeight="1">
      <c r="A142" s="607" t="s">
        <v>1114</v>
      </c>
      <c r="B142" s="607" t="s">
        <v>1432</v>
      </c>
      <c r="C142" s="690"/>
      <c r="D142" s="580"/>
      <c r="E142" s="581"/>
      <c r="F142" s="581"/>
      <c r="G142" s="581"/>
      <c r="H142" s="581"/>
      <c r="I142" s="949"/>
      <c r="J142" s="949"/>
      <c r="K142" s="949"/>
      <c r="L142" s="575"/>
      <c r="M142" s="575"/>
      <c r="N142" s="575"/>
      <c r="O142" s="575"/>
      <c r="P142" s="575"/>
      <c r="Q142" s="575"/>
      <c r="R142" s="575"/>
      <c r="S142" s="575"/>
      <c r="T142" s="575"/>
      <c r="U142" s="575"/>
      <c r="V142" s="575"/>
      <c r="W142" s="575"/>
      <c r="X142" s="575"/>
      <c r="Y142" s="575"/>
      <c r="Z142" s="575"/>
      <c r="AA142" s="575"/>
      <c r="AB142" s="575"/>
      <c r="AC142" s="575"/>
      <c r="AD142" s="575"/>
      <c r="AE142" s="753"/>
      <c r="AF142" s="575"/>
      <c r="AG142" s="588"/>
      <c r="AH142" s="588"/>
      <c r="AI142" s="1013">
        <f t="shared" si="22"/>
        <v>0</v>
      </c>
      <c r="AJ142" s="949">
        <v>0</v>
      </c>
      <c r="AK142" s="581">
        <f t="shared" si="23"/>
        <v>0</v>
      </c>
      <c r="AL142" s="750">
        <v>1</v>
      </c>
      <c r="AM142" s="743">
        <f t="shared" si="24"/>
        <v>1</v>
      </c>
    </row>
    <row r="143" spans="1:39" ht="13.2" hidden="1" customHeight="1">
      <c r="A143" s="604" t="s">
        <v>1115</v>
      </c>
      <c r="B143" s="604" t="s">
        <v>1433</v>
      </c>
      <c r="C143" s="614" t="s">
        <v>63</v>
      </c>
      <c r="D143" s="580"/>
      <c r="E143" s="581"/>
      <c r="F143" s="581"/>
      <c r="G143" s="581"/>
      <c r="H143" s="581"/>
      <c r="I143" s="949"/>
      <c r="J143" s="949"/>
      <c r="K143" s="949"/>
      <c r="L143" s="575"/>
      <c r="M143" s="575"/>
      <c r="N143" s="575"/>
      <c r="O143" s="575"/>
      <c r="P143" s="575"/>
      <c r="Q143" s="575"/>
      <c r="R143" s="575"/>
      <c r="S143" s="575"/>
      <c r="T143" s="575"/>
      <c r="U143" s="575"/>
      <c r="V143" s="575"/>
      <c r="W143" s="575"/>
      <c r="X143" s="575"/>
      <c r="Y143" s="575"/>
      <c r="Z143" s="575"/>
      <c r="AA143" s="575"/>
      <c r="AB143" s="575"/>
      <c r="AC143" s="575"/>
      <c r="AD143" s="575"/>
      <c r="AE143" s="753"/>
      <c r="AF143" s="575"/>
      <c r="AG143" s="588"/>
      <c r="AH143" s="588"/>
      <c r="AI143" s="1013">
        <f t="shared" si="22"/>
        <v>0</v>
      </c>
      <c r="AJ143" s="949">
        <v>0</v>
      </c>
      <c r="AK143" s="581">
        <f t="shared" si="23"/>
        <v>0</v>
      </c>
      <c r="AL143" s="750"/>
      <c r="AM143" s="743">
        <f t="shared" si="24"/>
        <v>0</v>
      </c>
    </row>
    <row r="144" spans="1:39" ht="13.2" hidden="1" customHeight="1">
      <c r="A144" s="607" t="s">
        <v>1116</v>
      </c>
      <c r="B144" s="607" t="s">
        <v>1434</v>
      </c>
      <c r="C144" s="845"/>
      <c r="D144" s="581"/>
      <c r="E144" s="581"/>
      <c r="F144" s="581"/>
      <c r="G144" s="581"/>
      <c r="H144" s="581"/>
      <c r="I144" s="949"/>
      <c r="J144" s="949"/>
      <c r="K144" s="949"/>
      <c r="L144" s="588"/>
      <c r="M144" s="588"/>
      <c r="N144" s="588"/>
      <c r="O144" s="588"/>
      <c r="P144" s="588"/>
      <c r="Q144" s="588"/>
      <c r="R144" s="588"/>
      <c r="S144" s="588"/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926"/>
      <c r="AF144" s="588"/>
      <c r="AG144" s="588"/>
      <c r="AH144" s="588"/>
      <c r="AI144" s="1013">
        <f t="shared" si="22"/>
        <v>0</v>
      </c>
      <c r="AJ144" s="949">
        <v>1</v>
      </c>
      <c r="AK144" s="581">
        <f t="shared" si="23"/>
        <v>1</v>
      </c>
      <c r="AL144" s="750"/>
      <c r="AM144" s="743">
        <f t="shared" si="24"/>
        <v>-1</v>
      </c>
    </row>
    <row r="145" spans="1:39" ht="13.95" hidden="1" customHeight="1">
      <c r="A145" s="620" t="s">
        <v>1117</v>
      </c>
      <c r="B145" s="620" t="s">
        <v>1435</v>
      </c>
      <c r="C145" s="846" t="s">
        <v>63</v>
      </c>
      <c r="D145" s="581"/>
      <c r="E145" s="581"/>
      <c r="F145" s="581"/>
      <c r="G145" s="581"/>
      <c r="H145" s="581"/>
      <c r="I145" s="949"/>
      <c r="J145" s="949"/>
      <c r="K145" s="949"/>
      <c r="L145" s="588"/>
      <c r="M145" s="588"/>
      <c r="N145" s="588"/>
      <c r="O145" s="588"/>
      <c r="P145" s="588"/>
      <c r="Q145" s="588"/>
      <c r="R145" s="588"/>
      <c r="S145" s="588"/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926"/>
      <c r="AF145" s="588"/>
      <c r="AG145" s="588"/>
      <c r="AH145" s="588"/>
      <c r="AI145" s="1013">
        <f t="shared" si="22"/>
        <v>0</v>
      </c>
      <c r="AJ145" s="949">
        <v>2</v>
      </c>
      <c r="AK145" s="581">
        <f t="shared" si="23"/>
        <v>2</v>
      </c>
      <c r="AL145" s="750"/>
      <c r="AM145" s="743">
        <f t="shared" si="24"/>
        <v>-2</v>
      </c>
    </row>
    <row r="146" spans="1:39" ht="13.95" customHeight="1" thickBot="1">
      <c r="A146" s="622"/>
      <c r="B146" s="623" t="s">
        <v>1</v>
      </c>
      <c r="C146" s="592"/>
      <c r="D146" s="847"/>
      <c r="E146" s="847"/>
      <c r="F146" s="847"/>
      <c r="G146" s="848"/>
      <c r="H146" s="848"/>
      <c r="I146" s="847"/>
      <c r="J146" s="848"/>
      <c r="K146" s="848"/>
      <c r="L146" s="844"/>
      <c r="M146" s="844"/>
      <c r="N146" s="844"/>
      <c r="O146" s="844"/>
      <c r="P146" s="844"/>
      <c r="Q146" s="844"/>
      <c r="R146" s="844"/>
      <c r="S146" s="844"/>
      <c r="T146" s="844"/>
      <c r="U146" s="844"/>
      <c r="V146" s="844"/>
      <c r="W146" s="844"/>
      <c r="X146" s="844"/>
      <c r="Y146" s="844"/>
      <c r="Z146" s="844"/>
      <c r="AA146" s="844"/>
      <c r="AB146" s="844"/>
      <c r="AC146" s="844"/>
      <c r="AD146" s="844"/>
      <c r="AE146" s="1008"/>
      <c r="AF146" s="844"/>
      <c r="AG146" s="844"/>
      <c r="AH146" s="844"/>
      <c r="AI146" s="1021"/>
      <c r="AJ146" s="745"/>
      <c r="AK146" s="745"/>
      <c r="AL146" s="751">
        <f>AK146/10</f>
        <v>0</v>
      </c>
      <c r="AM146" s="743">
        <f t="shared" si="24"/>
        <v>0</v>
      </c>
    </row>
  </sheetData>
  <mergeCells count="8"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27" orientation="portrait" r:id="rId1"/>
  <colBreaks count="1" manualBreakCount="1">
    <brk id="35" max="1048575" man="1"/>
  </col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Q78"/>
  <sheetViews>
    <sheetView workbookViewId="0">
      <selection sqref="A1:X1"/>
    </sheetView>
  </sheetViews>
  <sheetFormatPr baseColWidth="10" defaultColWidth="11.44140625" defaultRowHeight="13.2"/>
  <cols>
    <col min="1" max="1" width="11.6640625" style="618" customWidth="1"/>
    <col min="2" max="2" width="99.33203125" style="616" customWidth="1"/>
    <col min="3" max="3" width="5" style="559" customWidth="1"/>
    <col min="4" max="29" width="7" style="557" customWidth="1"/>
    <col min="30" max="30" width="7" style="558" customWidth="1"/>
    <col min="31" max="31" width="10.109375" style="558" customWidth="1"/>
    <col min="32" max="33" width="7" style="558" customWidth="1"/>
    <col min="34" max="34" width="7" style="558" hidden="1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  <c r="L1" s="1538"/>
      <c r="M1" s="1538"/>
      <c r="N1" s="1538"/>
      <c r="O1" s="1538"/>
      <c r="P1" s="1538"/>
      <c r="Q1" s="1538"/>
      <c r="R1" s="1538"/>
      <c r="S1" s="1538"/>
      <c r="T1" s="1538"/>
      <c r="U1" s="1538"/>
      <c r="V1" s="1538"/>
      <c r="W1" s="1538"/>
      <c r="X1" s="1538"/>
    </row>
    <row r="2" spans="1:43">
      <c r="A2" s="1539" t="s">
        <v>1789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  <c r="L2" s="1539"/>
      <c r="M2" s="1539"/>
      <c r="N2" s="1539"/>
      <c r="O2" s="1539"/>
      <c r="P2" s="1539"/>
      <c r="Q2" s="1539"/>
      <c r="R2" s="1539"/>
      <c r="S2" s="1539"/>
      <c r="T2" s="1539"/>
      <c r="U2" s="1539"/>
      <c r="V2" s="1539"/>
      <c r="W2" s="1539"/>
      <c r="X2" s="1539"/>
    </row>
    <row r="3" spans="1:43">
      <c r="A3" s="615"/>
      <c r="O3" s="557" t="s">
        <v>1978</v>
      </c>
    </row>
    <row r="4" spans="1:43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  <c r="L4" s="1540"/>
    </row>
    <row r="5" spans="1:43" ht="12.75" customHeight="1">
      <c r="A5" s="617"/>
      <c r="B5" s="1541" t="e">
        <f>#REF!</f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  <c r="L5" s="1542"/>
      <c r="M5" s="1542"/>
      <c r="N5" s="1542"/>
      <c r="O5" s="1542"/>
      <c r="P5" s="1542"/>
      <c r="Q5" s="1542"/>
      <c r="R5" s="1542"/>
      <c r="S5" s="1542"/>
      <c r="T5" s="1542"/>
      <c r="U5" s="1542"/>
      <c r="V5" s="1542"/>
      <c r="W5" s="1542"/>
      <c r="X5" s="1542"/>
      <c r="Y5" s="1542"/>
      <c r="Z5" s="1542"/>
      <c r="AA5" s="1542"/>
    </row>
    <row r="6" spans="1:43" ht="13.5" customHeight="1">
      <c r="B6" s="619"/>
      <c r="C6" s="561"/>
    </row>
    <row r="7" spans="1:43" ht="13.5" customHeight="1" thickBot="1">
      <c r="B7" s="619"/>
      <c r="C7" s="561"/>
      <c r="Q7" s="1545" t="s">
        <v>283</v>
      </c>
      <c r="R7" s="1545"/>
      <c r="S7" s="1545"/>
      <c r="T7" s="1545"/>
      <c r="U7" s="1545"/>
      <c r="V7" s="1545"/>
      <c r="W7" s="1546">
        <v>42857</v>
      </c>
      <c r="X7" s="1546"/>
      <c r="Y7" s="1546"/>
      <c r="Z7" s="1546"/>
    </row>
    <row r="8" spans="1:43" ht="13.5" customHeight="1" thickBot="1">
      <c r="B8" s="619"/>
      <c r="C8" s="561"/>
      <c r="D8" s="1010" t="s">
        <v>1991</v>
      </c>
      <c r="E8" s="1010" t="s">
        <v>1873</v>
      </c>
      <c r="F8" s="1010" t="s">
        <v>1872</v>
      </c>
      <c r="G8" s="1010" t="s">
        <v>1866</v>
      </c>
      <c r="H8" s="1010" t="s">
        <v>1867</v>
      </c>
      <c r="I8" s="1010" t="s">
        <v>1868</v>
      </c>
      <c r="J8" s="1010" t="s">
        <v>1869</v>
      </c>
      <c r="K8" s="1010" t="s">
        <v>1870</v>
      </c>
      <c r="L8" s="1010" t="s">
        <v>1871</v>
      </c>
      <c r="M8" s="1010" t="s">
        <v>1872</v>
      </c>
      <c r="N8" s="1010" t="s">
        <v>1866</v>
      </c>
      <c r="O8" s="1010" t="s">
        <v>1867</v>
      </c>
      <c r="P8" s="1010" t="s">
        <v>1868</v>
      </c>
      <c r="Q8" s="1010" t="s">
        <v>1869</v>
      </c>
      <c r="R8" s="1010" t="s">
        <v>1870</v>
      </c>
      <c r="S8" s="1010" t="s">
        <v>1871</v>
      </c>
      <c r="T8" s="1010" t="s">
        <v>1872</v>
      </c>
      <c r="U8" s="1010" t="s">
        <v>1866</v>
      </c>
      <c r="V8" s="1010" t="s">
        <v>1867</v>
      </c>
      <c r="W8" s="1010" t="s">
        <v>1868</v>
      </c>
      <c r="X8" s="1010" t="s">
        <v>1869</v>
      </c>
      <c r="Y8" s="1010" t="s">
        <v>1870</v>
      </c>
      <c r="Z8" s="1010" t="s">
        <v>1871</v>
      </c>
      <c r="AA8" s="1010" t="s">
        <v>1872</v>
      </c>
      <c r="AB8" s="1010" t="s">
        <v>1866</v>
      </c>
      <c r="AC8" s="1010" t="s">
        <v>1867</v>
      </c>
      <c r="AD8" s="1010" t="s">
        <v>1868</v>
      </c>
      <c r="AE8" s="1010" t="s">
        <v>1869</v>
      </c>
      <c r="AF8" s="1010" t="s">
        <v>1870</v>
      </c>
      <c r="AG8" s="1010" t="s">
        <v>1871</v>
      </c>
      <c r="AH8" s="1010" t="s">
        <v>1872</v>
      </c>
      <c r="AI8" s="929"/>
      <c r="AJ8" s="1547" t="s">
        <v>1864</v>
      </c>
      <c r="AK8" s="1548"/>
      <c r="AL8" s="1548"/>
      <c r="AM8" s="1549"/>
      <c r="AN8" s="1547" t="s">
        <v>1865</v>
      </c>
      <c r="AO8" s="1548"/>
      <c r="AP8" s="1548"/>
      <c r="AQ8" s="1549"/>
    </row>
    <row r="9" spans="1:43" ht="13.8" thickBot="1">
      <c r="A9" s="1543" t="s">
        <v>284</v>
      </c>
      <c r="B9" s="1543" t="s">
        <v>19</v>
      </c>
      <c r="C9" s="562"/>
      <c r="D9" s="1050">
        <v>1</v>
      </c>
      <c r="E9" s="1050">
        <f t="shared" ref="E9:AH9" si="0">+D9+1</f>
        <v>2</v>
      </c>
      <c r="F9" s="788">
        <f t="shared" si="0"/>
        <v>3</v>
      </c>
      <c r="G9" s="1050">
        <f t="shared" si="0"/>
        <v>4</v>
      </c>
      <c r="H9" s="1050">
        <f t="shared" si="0"/>
        <v>5</v>
      </c>
      <c r="I9" s="1050">
        <f t="shared" si="0"/>
        <v>6</v>
      </c>
      <c r="J9" s="1050">
        <f t="shared" si="0"/>
        <v>7</v>
      </c>
      <c r="K9" s="1050">
        <f t="shared" si="0"/>
        <v>8</v>
      </c>
      <c r="L9" s="1050">
        <f t="shared" si="0"/>
        <v>9</v>
      </c>
      <c r="M9" s="788">
        <f t="shared" si="0"/>
        <v>10</v>
      </c>
      <c r="N9" s="1050">
        <f t="shared" si="0"/>
        <v>11</v>
      </c>
      <c r="O9" s="1050">
        <f t="shared" si="0"/>
        <v>12</v>
      </c>
      <c r="P9" s="1050">
        <f t="shared" si="0"/>
        <v>13</v>
      </c>
      <c r="Q9" s="1050">
        <f t="shared" si="0"/>
        <v>14</v>
      </c>
      <c r="R9" s="1050">
        <f t="shared" si="0"/>
        <v>15</v>
      </c>
      <c r="S9" s="1050">
        <f t="shared" si="0"/>
        <v>16</v>
      </c>
      <c r="T9" s="788">
        <f t="shared" si="0"/>
        <v>17</v>
      </c>
      <c r="U9" s="1050">
        <f t="shared" si="0"/>
        <v>18</v>
      </c>
      <c r="V9" s="1050">
        <f t="shared" si="0"/>
        <v>19</v>
      </c>
      <c r="W9" s="1050">
        <f t="shared" si="0"/>
        <v>20</v>
      </c>
      <c r="X9" s="1050">
        <f t="shared" si="0"/>
        <v>21</v>
      </c>
      <c r="Y9" s="1050">
        <f t="shared" si="0"/>
        <v>22</v>
      </c>
      <c r="Z9" s="1050">
        <f t="shared" si="0"/>
        <v>23</v>
      </c>
      <c r="AA9" s="788">
        <f t="shared" si="0"/>
        <v>24</v>
      </c>
      <c r="AB9" s="1050">
        <f t="shared" si="0"/>
        <v>25</v>
      </c>
      <c r="AC9" s="1050">
        <f t="shared" si="0"/>
        <v>26</v>
      </c>
      <c r="AD9" s="564">
        <f t="shared" si="0"/>
        <v>27</v>
      </c>
      <c r="AE9" s="1050">
        <f t="shared" si="0"/>
        <v>28</v>
      </c>
      <c r="AF9" s="564">
        <f t="shared" si="0"/>
        <v>29</v>
      </c>
      <c r="AG9" s="1050">
        <f t="shared" si="0"/>
        <v>30</v>
      </c>
      <c r="AH9" s="564">
        <f t="shared" si="0"/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44"/>
      <c r="B10" s="1544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568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8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571"/>
      <c r="E11" s="572"/>
      <c r="F11" s="790"/>
      <c r="G11" s="572"/>
      <c r="H11" s="572"/>
      <c r="I11" s="573"/>
      <c r="J11" s="573"/>
      <c r="K11" s="573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574"/>
      <c r="AC11" s="574"/>
      <c r="AD11" s="574"/>
      <c r="AE11" s="574"/>
      <c r="AF11" s="575"/>
      <c r="AG11" s="575"/>
      <c r="AH11" s="575"/>
      <c r="AI11" s="576">
        <f>SUM(D11:AH11)</f>
        <v>0</v>
      </c>
      <c r="AJ11" s="577">
        <v>0</v>
      </c>
      <c r="AK11" s="578">
        <f>AI11-AJ11</f>
        <v>0</v>
      </c>
      <c r="AN11" s="577">
        <v>0</v>
      </c>
      <c r="AO11" s="578">
        <f>AM11-AN11</f>
        <v>0</v>
      </c>
    </row>
    <row r="12" spans="1:43" s="560" customFormat="1">
      <c r="A12" s="604" t="s">
        <v>501</v>
      </c>
      <c r="B12" s="314" t="s">
        <v>33</v>
      </c>
      <c r="C12" s="590"/>
      <c r="D12" s="580"/>
      <c r="E12" s="581"/>
      <c r="F12" s="778"/>
      <c r="G12" s="581"/>
      <c r="H12" s="581"/>
      <c r="I12" s="949"/>
      <c r="J12" s="949"/>
      <c r="K12" s="949"/>
      <c r="L12" s="949"/>
      <c r="M12" s="778"/>
      <c r="N12" s="949"/>
      <c r="O12" s="949"/>
      <c r="P12" s="949"/>
      <c r="Q12" s="949"/>
      <c r="R12" s="949"/>
      <c r="S12" s="949"/>
      <c r="T12" s="778"/>
      <c r="U12" s="949"/>
      <c r="V12" s="949"/>
      <c r="W12" s="949"/>
      <c r="X12" s="949"/>
      <c r="Y12" s="949"/>
      <c r="Z12" s="949"/>
      <c r="AA12" s="778"/>
      <c r="AB12" s="583"/>
      <c r="AC12" s="583"/>
      <c r="AD12" s="575"/>
      <c r="AE12" s="575"/>
      <c r="AF12" s="575"/>
      <c r="AG12" s="575"/>
      <c r="AH12" s="575"/>
      <c r="AI12" s="576">
        <f t="shared" ref="AI12:AI41" si="1">SUM(D12:AH12)</f>
        <v>0</v>
      </c>
      <c r="AJ12" s="584">
        <v>0</v>
      </c>
      <c r="AK12" s="578">
        <f>AI12-AJ12</f>
        <v>0</v>
      </c>
      <c r="AN12" s="584">
        <v>0</v>
      </c>
      <c r="AO12" s="578">
        <f>AM12-AN12</f>
        <v>0</v>
      </c>
    </row>
    <row r="13" spans="1:43" s="560" customFormat="1" ht="13.8">
      <c r="A13" s="604" t="s">
        <v>1814</v>
      </c>
      <c r="B13" s="804" t="s">
        <v>1820</v>
      </c>
      <c r="C13" s="798" t="s">
        <v>39</v>
      </c>
      <c r="D13" s="581"/>
      <c r="E13" s="810"/>
      <c r="F13" s="828"/>
      <c r="G13" s="741"/>
      <c r="H13" s="1031">
        <v>23.9</v>
      </c>
      <c r="I13" s="949"/>
      <c r="J13" s="581"/>
      <c r="K13" s="581"/>
      <c r="L13" s="949"/>
      <c r="M13" s="828"/>
      <c r="N13" s="588"/>
      <c r="O13" s="949"/>
      <c r="P13" s="949"/>
      <c r="Q13" s="949"/>
      <c r="R13" s="1034">
        <v>17.3</v>
      </c>
      <c r="S13" s="1038">
        <v>12.3</v>
      </c>
      <c r="T13" s="828"/>
      <c r="U13" s="1038">
        <v>24.6</v>
      </c>
      <c r="V13" s="949"/>
      <c r="W13" s="1038">
        <v>24.6</v>
      </c>
      <c r="X13" s="949"/>
      <c r="Y13" s="949"/>
      <c r="Z13" s="949"/>
      <c r="AA13" s="828"/>
      <c r="AB13" s="1032">
        <v>18.5</v>
      </c>
      <c r="AC13" s="949"/>
      <c r="AD13" s="949"/>
      <c r="AE13" s="949"/>
      <c r="AF13" s="949"/>
      <c r="AG13" s="949"/>
      <c r="AH13" s="786"/>
      <c r="AI13" s="1060">
        <f>SUM(D13:AH13)</f>
        <v>121.19999999999999</v>
      </c>
      <c r="AJ13" s="584">
        <v>339.27</v>
      </c>
      <c r="AK13" s="578">
        <f>AI13+AJ13</f>
        <v>460.46999999999997</v>
      </c>
      <c r="AL13" s="560">
        <v>1204.5</v>
      </c>
      <c r="AM13" s="578">
        <f t="shared" ref="AM13" si="2">AL13-AK13</f>
        <v>744.03</v>
      </c>
      <c r="AN13" s="584">
        <v>339.27</v>
      </c>
      <c r="AO13" s="578">
        <f>AM13+AN13</f>
        <v>1083.3</v>
      </c>
      <c r="AP13" s="560">
        <v>1204.5</v>
      </c>
      <c r="AQ13" s="578">
        <f t="shared" ref="AQ13" si="3">AP13-AO13</f>
        <v>121.20000000000005</v>
      </c>
    </row>
    <row r="14" spans="1:43" s="560" customFormat="1" ht="13.8">
      <c r="A14" s="604" t="s">
        <v>1894</v>
      </c>
      <c r="B14" s="804" t="s">
        <v>2014</v>
      </c>
      <c r="C14" s="799" t="s">
        <v>2015</v>
      </c>
      <c r="D14" s="800"/>
      <c r="E14" s="800"/>
      <c r="F14" s="801"/>
      <c r="G14" s="800"/>
      <c r="H14" s="800"/>
      <c r="I14" s="802"/>
      <c r="J14" s="802"/>
      <c r="K14" s="802"/>
      <c r="L14" s="802"/>
      <c r="M14" s="801"/>
      <c r="N14" s="802"/>
      <c r="O14" s="1053"/>
      <c r="P14" s="802"/>
      <c r="Q14" s="741"/>
      <c r="R14" s="949"/>
      <c r="S14" s="802"/>
      <c r="T14" s="801"/>
      <c r="U14" s="802"/>
      <c r="V14" s="802"/>
      <c r="W14" s="802"/>
      <c r="X14" s="802"/>
      <c r="Y14" s="802"/>
      <c r="Z14" s="802"/>
      <c r="AA14" s="801"/>
      <c r="AB14" s="802"/>
      <c r="AC14" s="802"/>
      <c r="AD14" s="1054">
        <v>578</v>
      </c>
      <c r="AE14" s="802"/>
      <c r="AF14" s="802"/>
      <c r="AG14" s="802"/>
      <c r="AH14" s="786"/>
      <c r="AI14" s="1061">
        <f>SUM(D14:AH14)</f>
        <v>578</v>
      </c>
      <c r="AJ14" s="811"/>
      <c r="AK14" s="578"/>
      <c r="AM14" s="578"/>
    </row>
    <row r="15" spans="1:43" s="560" customFormat="1" ht="13.8">
      <c r="A15" s="1055" t="s">
        <v>1971</v>
      </c>
      <c r="B15" s="1057" t="s">
        <v>1197</v>
      </c>
      <c r="C15" s="799"/>
      <c r="D15" s="800"/>
      <c r="E15" s="800"/>
      <c r="F15" s="801"/>
      <c r="G15" s="800"/>
      <c r="H15" s="800"/>
      <c r="I15" s="802"/>
      <c r="J15" s="802"/>
      <c r="K15" s="802"/>
      <c r="L15" s="802"/>
      <c r="M15" s="801"/>
      <c r="N15" s="802"/>
      <c r="O15" s="802"/>
      <c r="P15" s="802"/>
      <c r="Q15" s="741"/>
      <c r="S15" s="802"/>
      <c r="T15" s="801"/>
      <c r="U15" s="802"/>
      <c r="V15" s="802"/>
      <c r="W15" s="802"/>
      <c r="X15" s="802"/>
      <c r="Y15" s="802"/>
      <c r="Z15" s="802"/>
      <c r="AA15" s="801"/>
      <c r="AB15" s="802"/>
      <c r="AC15" s="802"/>
      <c r="AD15" s="802"/>
      <c r="AE15" s="802"/>
      <c r="AF15" s="802"/>
      <c r="AG15" s="802"/>
      <c r="AH15" s="786"/>
      <c r="AI15" s="576">
        <f t="shared" si="1"/>
        <v>0</v>
      </c>
      <c r="AJ15" s="811"/>
      <c r="AK15" s="578"/>
      <c r="AM15" s="578"/>
    </row>
    <row r="16" spans="1:43" s="560" customFormat="1" ht="13.8">
      <c r="A16" s="940" t="s">
        <v>1972</v>
      </c>
      <c r="B16" s="804" t="s">
        <v>1834</v>
      </c>
      <c r="C16" s="799"/>
      <c r="D16" s="800"/>
      <c r="E16" s="800"/>
      <c r="F16" s="801"/>
      <c r="G16" s="800"/>
      <c r="H16" s="800"/>
      <c r="I16" s="802"/>
      <c r="J16" s="802"/>
      <c r="K16" s="802"/>
      <c r="L16" s="802"/>
      <c r="M16" s="801"/>
      <c r="N16" s="802"/>
      <c r="O16" s="802"/>
      <c r="P16" s="802"/>
      <c r="Q16" s="741"/>
      <c r="R16" s="949"/>
      <c r="S16" s="802"/>
      <c r="T16" s="801"/>
      <c r="U16" s="802"/>
      <c r="V16" s="802"/>
      <c r="W16" s="802"/>
      <c r="X16" s="802"/>
      <c r="Y16" s="802"/>
      <c r="Z16" s="802"/>
      <c r="AA16" s="801"/>
      <c r="AB16" s="802"/>
      <c r="AC16" s="802"/>
      <c r="AD16" s="802"/>
      <c r="AE16" s="802"/>
      <c r="AF16" s="802"/>
      <c r="AG16" s="802"/>
      <c r="AH16" s="786"/>
      <c r="AI16" s="576">
        <f t="shared" si="1"/>
        <v>0</v>
      </c>
      <c r="AJ16" s="811"/>
      <c r="AK16" s="578"/>
      <c r="AM16" s="578"/>
    </row>
    <row r="17" spans="1:39" s="560" customFormat="1" ht="13.8">
      <c r="A17" s="940" t="s">
        <v>1973</v>
      </c>
      <c r="B17" s="804" t="s">
        <v>1835</v>
      </c>
      <c r="C17" s="799" t="s">
        <v>39</v>
      </c>
      <c r="D17" s="802"/>
      <c r="E17" s="1033">
        <f>1.1*1.1*1</f>
        <v>1.2100000000000002</v>
      </c>
      <c r="F17" s="801"/>
      <c r="G17" s="800"/>
      <c r="H17" s="800"/>
      <c r="I17" s="802"/>
      <c r="J17" s="802"/>
      <c r="K17" s="802"/>
      <c r="L17" s="802"/>
      <c r="M17" s="801"/>
      <c r="N17" s="802"/>
      <c r="O17" s="802"/>
      <c r="P17" s="802"/>
      <c r="Q17" s="741"/>
      <c r="R17" s="802"/>
      <c r="S17" s="802"/>
      <c r="T17" s="801"/>
      <c r="U17" s="802"/>
      <c r="V17" s="802"/>
      <c r="W17" s="802"/>
      <c r="X17" s="802"/>
      <c r="Y17" s="802"/>
      <c r="Z17" s="802"/>
      <c r="AA17" s="801"/>
      <c r="AB17" s="802"/>
      <c r="AC17" s="802"/>
      <c r="AD17" s="802"/>
      <c r="AE17" s="802"/>
      <c r="AF17" s="802"/>
      <c r="AG17" s="802"/>
      <c r="AH17" s="786"/>
      <c r="AI17" s="1060">
        <f t="shared" si="1"/>
        <v>1.2100000000000002</v>
      </c>
      <c r="AJ17" s="811"/>
      <c r="AK17" s="578"/>
      <c r="AM17" s="578"/>
    </row>
    <row r="18" spans="1:39" s="560" customFormat="1" ht="13.8" hidden="1">
      <c r="A18" s="940" t="s">
        <v>1974</v>
      </c>
      <c r="B18" s="804" t="s">
        <v>1885</v>
      </c>
      <c r="C18" s="799"/>
      <c r="D18" s="800"/>
      <c r="E18" s="800"/>
      <c r="F18" s="801"/>
      <c r="G18" s="800"/>
      <c r="H18" s="800"/>
      <c r="I18" s="802"/>
      <c r="J18" s="802"/>
      <c r="K18" s="802"/>
      <c r="L18" s="802"/>
      <c r="M18" s="801"/>
      <c r="N18" s="802"/>
      <c r="O18" s="741"/>
      <c r="P18" s="802"/>
      <c r="Q18" s="741"/>
      <c r="R18" s="949"/>
      <c r="S18" s="802"/>
      <c r="T18" s="801"/>
      <c r="U18" s="802"/>
      <c r="V18" s="802"/>
      <c r="W18" s="802"/>
      <c r="X18" s="802"/>
      <c r="Y18" s="802"/>
      <c r="Z18" s="802"/>
      <c r="AA18" s="801"/>
      <c r="AB18" s="802"/>
      <c r="AC18" s="802"/>
      <c r="AD18" s="802"/>
      <c r="AE18" s="802"/>
      <c r="AF18" s="802"/>
      <c r="AG18" s="802"/>
      <c r="AH18" s="786"/>
      <c r="AI18" s="576">
        <f t="shared" si="1"/>
        <v>0</v>
      </c>
      <c r="AJ18" s="811"/>
      <c r="AK18" s="578"/>
      <c r="AM18" s="578"/>
    </row>
    <row r="19" spans="1:39" s="560" customFormat="1" ht="13.8">
      <c r="A19" s="940" t="s">
        <v>1984</v>
      </c>
      <c r="B19" s="607" t="s">
        <v>1225</v>
      </c>
      <c r="C19" s="799"/>
      <c r="D19" s="800"/>
      <c r="E19" s="800"/>
      <c r="F19" s="801"/>
      <c r="G19" s="800"/>
      <c r="H19" s="800"/>
      <c r="I19" s="802"/>
      <c r="J19" s="802"/>
      <c r="K19" s="802"/>
      <c r="L19" s="802"/>
      <c r="M19" s="801"/>
      <c r="N19" s="802"/>
      <c r="O19" s="741"/>
      <c r="P19" s="802"/>
      <c r="Q19" s="741"/>
      <c r="R19" s="949"/>
      <c r="S19" s="802"/>
      <c r="T19" s="801"/>
      <c r="U19" s="802"/>
      <c r="V19" s="802"/>
      <c r="W19" s="802"/>
      <c r="X19" s="802"/>
      <c r="Y19" s="802"/>
      <c r="Z19" s="802"/>
      <c r="AA19" s="801"/>
      <c r="AB19" s="802"/>
      <c r="AC19" s="802"/>
      <c r="AD19" s="802"/>
      <c r="AE19" s="802"/>
      <c r="AF19" s="802"/>
      <c r="AG19" s="802"/>
      <c r="AH19" s="786"/>
      <c r="AI19" s="576">
        <f t="shared" si="1"/>
        <v>0</v>
      </c>
      <c r="AJ19" s="811"/>
      <c r="AK19" s="578"/>
      <c r="AM19" s="578"/>
    </row>
    <row r="20" spans="1:39" s="560" customFormat="1" ht="13.8">
      <c r="A20" s="607" t="s">
        <v>1985</v>
      </c>
      <c r="B20" s="1056" t="s">
        <v>1981</v>
      </c>
      <c r="C20" s="799" t="s">
        <v>1982</v>
      </c>
      <c r="D20" s="1033">
        <f>3*10.4</f>
        <v>31.200000000000003</v>
      </c>
      <c r="E20" s="1033">
        <v>10.4</v>
      </c>
      <c r="F20" s="801"/>
      <c r="G20" s="800"/>
      <c r="H20" s="800"/>
      <c r="I20" s="1037">
        <f>10.4</f>
        <v>10.4</v>
      </c>
      <c r="J20" s="802"/>
      <c r="K20" s="1037">
        <v>10.4</v>
      </c>
      <c r="L20" s="802"/>
      <c r="M20" s="801"/>
      <c r="N20" s="802"/>
      <c r="O20" s="741"/>
      <c r="P20" s="802"/>
      <c r="Q20" s="741"/>
      <c r="R20" s="949"/>
      <c r="S20" s="802"/>
      <c r="T20" s="801"/>
      <c r="U20" s="802"/>
      <c r="V20" s="802"/>
      <c r="W20" s="802"/>
      <c r="X20" s="802"/>
      <c r="Y20" s="802"/>
      <c r="Z20" s="802"/>
      <c r="AA20" s="801"/>
      <c r="AB20" s="802"/>
      <c r="AC20" s="802"/>
      <c r="AD20" s="802"/>
      <c r="AE20" s="802"/>
      <c r="AF20" s="802"/>
      <c r="AG20" s="802"/>
      <c r="AH20" s="786"/>
      <c r="AI20" s="1060">
        <f t="shared" si="1"/>
        <v>62.4</v>
      </c>
      <c r="AJ20" s="811"/>
      <c r="AK20" s="578"/>
      <c r="AM20" s="578"/>
    </row>
    <row r="21" spans="1:39" s="560" customFormat="1" ht="13.8">
      <c r="A21" s="1055" t="s">
        <v>1998</v>
      </c>
      <c r="B21" s="1056" t="s">
        <v>1876</v>
      </c>
      <c r="C21" s="799"/>
      <c r="D21" s="800"/>
      <c r="E21" s="800"/>
      <c r="F21" s="801"/>
      <c r="G21" s="800"/>
      <c r="H21" s="800"/>
      <c r="I21" s="802"/>
      <c r="J21" s="802"/>
      <c r="K21" s="802"/>
      <c r="L21" s="802"/>
      <c r="M21" s="801"/>
      <c r="N21" s="802"/>
      <c r="O21" s="741"/>
      <c r="P21" s="802"/>
      <c r="Q21" s="741"/>
      <c r="R21" s="949"/>
      <c r="S21" s="802"/>
      <c r="T21" s="801"/>
      <c r="U21" s="802"/>
      <c r="V21" s="802"/>
      <c r="W21" s="802"/>
      <c r="X21" s="802"/>
      <c r="Y21" s="802"/>
      <c r="Z21" s="802"/>
      <c r="AA21" s="801"/>
      <c r="AB21" s="802"/>
      <c r="AC21" s="802"/>
      <c r="AD21" s="802"/>
      <c r="AE21" s="802"/>
      <c r="AF21" s="802"/>
      <c r="AG21" s="802"/>
      <c r="AH21" s="786"/>
      <c r="AI21" s="576">
        <f t="shared" si="1"/>
        <v>0</v>
      </c>
      <c r="AJ21" s="811"/>
      <c r="AK21" s="578"/>
      <c r="AM21" s="578"/>
    </row>
    <row r="22" spans="1:39" s="560" customFormat="1">
      <c r="A22" s="940" t="s">
        <v>1999</v>
      </c>
      <c r="B22" s="604" t="s">
        <v>2001</v>
      </c>
      <c r="D22" s="800"/>
      <c r="E22" s="800"/>
      <c r="F22" s="801"/>
      <c r="G22" s="800"/>
      <c r="H22" s="800"/>
      <c r="I22" s="802"/>
      <c r="J22" s="802"/>
      <c r="K22" s="802"/>
      <c r="L22" s="802"/>
      <c r="M22" s="801"/>
      <c r="N22" s="802"/>
      <c r="O22" s="741"/>
      <c r="P22" s="802"/>
      <c r="Q22" s="741"/>
      <c r="R22" s="949"/>
      <c r="S22" s="802"/>
      <c r="T22" s="801"/>
      <c r="U22" s="802"/>
      <c r="V22" s="802"/>
      <c r="W22" s="802"/>
      <c r="X22" s="802"/>
      <c r="Y22" s="802"/>
      <c r="Z22" s="802"/>
      <c r="AA22" s="801"/>
      <c r="AB22" s="802"/>
      <c r="AC22" s="802"/>
      <c r="AD22" s="802"/>
      <c r="AE22" s="802"/>
      <c r="AF22" s="802"/>
      <c r="AG22" s="802"/>
      <c r="AH22" s="786"/>
      <c r="AI22" s="576">
        <f t="shared" si="1"/>
        <v>0</v>
      </c>
      <c r="AJ22" s="811"/>
      <c r="AK22" s="578"/>
      <c r="AM22" s="578"/>
    </row>
    <row r="23" spans="1:39" s="560" customFormat="1" ht="13.8">
      <c r="A23" s="940" t="s">
        <v>2000</v>
      </c>
      <c r="B23" s="604" t="s">
        <v>2003</v>
      </c>
      <c r="C23" s="799" t="s">
        <v>39</v>
      </c>
      <c r="D23" s="800"/>
      <c r="E23" s="1033">
        <f>1.1*1.1*0.5</f>
        <v>0.60500000000000009</v>
      </c>
      <c r="F23" s="801"/>
      <c r="G23" s="800"/>
      <c r="H23" s="800"/>
      <c r="I23" s="802"/>
      <c r="J23" s="802"/>
      <c r="K23" s="802"/>
      <c r="L23" s="802"/>
      <c r="M23" s="801"/>
      <c r="N23" s="802"/>
      <c r="O23" s="741"/>
      <c r="P23" s="802"/>
      <c r="Q23" s="741"/>
      <c r="R23" s="949"/>
      <c r="S23" s="802"/>
      <c r="T23" s="801"/>
      <c r="U23" s="802"/>
      <c r="V23" s="802"/>
      <c r="W23" s="802"/>
      <c r="X23" s="802"/>
      <c r="Y23" s="802"/>
      <c r="Z23" s="802"/>
      <c r="AA23" s="801"/>
      <c r="AB23" s="802"/>
      <c r="AC23" s="802"/>
      <c r="AD23" s="802"/>
      <c r="AE23" s="802"/>
      <c r="AF23" s="802"/>
      <c r="AG23" s="802"/>
      <c r="AH23" s="786"/>
      <c r="AI23" s="1060">
        <f t="shared" si="1"/>
        <v>0.60500000000000009</v>
      </c>
      <c r="AJ23" s="811"/>
      <c r="AK23" s="578"/>
      <c r="AM23" s="578"/>
    </row>
    <row r="24" spans="1:39" s="560" customFormat="1">
      <c r="A24" s="940" t="s">
        <v>2002</v>
      </c>
      <c r="B24" s="604" t="s">
        <v>2004</v>
      </c>
      <c r="C24" s="614" t="s">
        <v>47</v>
      </c>
      <c r="D24" s="800"/>
      <c r="E24" s="1033">
        <v>15.83</v>
      </c>
      <c r="F24" s="801"/>
      <c r="G24" s="800"/>
      <c r="H24" s="800"/>
      <c r="I24" s="802"/>
      <c r="J24" s="802"/>
      <c r="K24" s="802"/>
      <c r="L24" s="802"/>
      <c r="M24" s="801"/>
      <c r="N24" s="802"/>
      <c r="O24" s="741"/>
      <c r="P24" s="802"/>
      <c r="Q24" s="741"/>
      <c r="R24" s="949"/>
      <c r="S24" s="802"/>
      <c r="T24" s="801"/>
      <c r="U24" s="802"/>
      <c r="V24" s="802"/>
      <c r="W24" s="802"/>
      <c r="X24" s="802"/>
      <c r="Y24" s="802"/>
      <c r="Z24" s="802"/>
      <c r="AA24" s="801"/>
      <c r="AB24" s="802"/>
      <c r="AC24" s="802"/>
      <c r="AD24" s="802"/>
      <c r="AE24" s="802"/>
      <c r="AF24" s="802"/>
      <c r="AG24" s="802"/>
      <c r="AH24" s="786"/>
      <c r="AI24" s="1060">
        <f t="shared" si="1"/>
        <v>15.83</v>
      </c>
      <c r="AJ24" s="811"/>
      <c r="AK24" s="578"/>
      <c r="AM24" s="578"/>
    </row>
    <row r="25" spans="1:39" s="560" customFormat="1">
      <c r="A25" s="940" t="s">
        <v>2017</v>
      </c>
      <c r="B25" s="804" t="s">
        <v>224</v>
      </c>
      <c r="C25" s="614" t="s">
        <v>2016</v>
      </c>
      <c r="D25" s="800"/>
      <c r="E25" s="800"/>
      <c r="F25" s="801"/>
      <c r="G25" s="800"/>
      <c r="H25" s="800"/>
      <c r="I25" s="802"/>
      <c r="J25" s="802"/>
      <c r="K25" s="802"/>
      <c r="L25" s="802"/>
      <c r="M25" s="801"/>
      <c r="N25" s="802"/>
      <c r="O25" s="741"/>
      <c r="P25" s="802"/>
      <c r="Q25" s="741"/>
      <c r="R25" s="949"/>
      <c r="S25" s="802"/>
      <c r="T25" s="801"/>
      <c r="U25" s="802"/>
      <c r="V25" s="802"/>
      <c r="W25" s="802"/>
      <c r="X25" s="802"/>
      <c r="Y25" s="802"/>
      <c r="Z25" s="802"/>
      <c r="AA25" s="801"/>
      <c r="AB25" s="802"/>
      <c r="AC25" s="802"/>
      <c r="AD25" s="802"/>
      <c r="AE25" s="802"/>
      <c r="AF25" s="802"/>
      <c r="AG25" s="1054">
        <v>2</v>
      </c>
      <c r="AH25" s="802"/>
      <c r="AI25" s="1061">
        <f t="shared" si="1"/>
        <v>2</v>
      </c>
      <c r="AJ25" s="811"/>
      <c r="AK25" s="578"/>
      <c r="AM25" s="578"/>
    </row>
    <row r="26" spans="1:39" s="560" customFormat="1">
      <c r="A26" s="1055" t="s">
        <v>1986</v>
      </c>
      <c r="B26" s="1056" t="s">
        <v>1203</v>
      </c>
      <c r="C26" s="614"/>
      <c r="D26" s="800"/>
      <c r="E26" s="800"/>
      <c r="F26" s="801"/>
      <c r="G26" s="800"/>
      <c r="H26" s="800"/>
      <c r="I26" s="802"/>
      <c r="J26" s="802"/>
      <c r="K26" s="802"/>
      <c r="L26" s="802"/>
      <c r="M26" s="801"/>
      <c r="N26" s="802"/>
      <c r="O26" s="741"/>
      <c r="P26" s="802"/>
      <c r="Q26" s="741"/>
      <c r="R26" s="949"/>
      <c r="S26" s="802"/>
      <c r="T26" s="801"/>
      <c r="U26" s="802"/>
      <c r="V26" s="802"/>
      <c r="W26" s="802"/>
      <c r="X26" s="802"/>
      <c r="Y26" s="802"/>
      <c r="Z26" s="802"/>
      <c r="AA26" s="801"/>
      <c r="AB26" s="802"/>
      <c r="AC26" s="802"/>
      <c r="AD26" s="802"/>
      <c r="AE26" s="802"/>
      <c r="AF26" s="802"/>
      <c r="AG26" s="802"/>
      <c r="AH26" s="786"/>
      <c r="AI26" s="576">
        <f t="shared" si="1"/>
        <v>0</v>
      </c>
      <c r="AJ26" s="811"/>
      <c r="AK26" s="578"/>
      <c r="AM26" s="578"/>
    </row>
    <row r="27" spans="1:39" s="560" customFormat="1">
      <c r="A27" s="940" t="s">
        <v>1988</v>
      </c>
      <c r="B27" s="804" t="s">
        <v>1834</v>
      </c>
      <c r="C27" s="614"/>
      <c r="D27" s="800"/>
      <c r="E27" s="800"/>
      <c r="F27" s="801"/>
      <c r="G27" s="800"/>
      <c r="H27" s="800"/>
      <c r="I27" s="802"/>
      <c r="J27" s="802"/>
      <c r="K27" s="802"/>
      <c r="L27" s="802"/>
      <c r="M27" s="801"/>
      <c r="N27" s="802"/>
      <c r="O27" s="741"/>
      <c r="P27" s="802"/>
      <c r="Q27" s="741"/>
      <c r="R27" s="949"/>
      <c r="S27" s="802"/>
      <c r="T27" s="801"/>
      <c r="U27" s="802"/>
      <c r="V27" s="802"/>
      <c r="W27" s="802"/>
      <c r="X27" s="802"/>
      <c r="Y27" s="802"/>
      <c r="Z27" s="802"/>
      <c r="AA27" s="801"/>
      <c r="AB27" s="802"/>
      <c r="AC27" s="802"/>
      <c r="AD27" s="802"/>
      <c r="AE27" s="802"/>
      <c r="AF27" s="802"/>
      <c r="AG27" s="802"/>
      <c r="AH27" s="786"/>
      <c r="AI27" s="576">
        <f t="shared" si="1"/>
        <v>0</v>
      </c>
      <c r="AJ27" s="811"/>
      <c r="AK27" s="578"/>
      <c r="AM27" s="578"/>
    </row>
    <row r="28" spans="1:39" s="560" customFormat="1">
      <c r="A28" s="940" t="s">
        <v>1989</v>
      </c>
      <c r="B28" s="604" t="s">
        <v>1189</v>
      </c>
      <c r="C28" s="614" t="s">
        <v>36</v>
      </c>
      <c r="D28" s="1033">
        <f>2.75*1.4</f>
        <v>3.8499999999999996</v>
      </c>
      <c r="E28" s="1025"/>
      <c r="F28" s="801"/>
      <c r="G28" s="800"/>
      <c r="H28" s="800"/>
      <c r="I28" s="802"/>
      <c r="J28" s="802"/>
      <c r="K28" s="802"/>
      <c r="L28" s="802"/>
      <c r="M28" s="801"/>
      <c r="N28" s="802"/>
      <c r="O28" s="741"/>
      <c r="P28" s="802"/>
      <c r="Q28" s="741"/>
      <c r="R28" s="949"/>
      <c r="S28" s="1026"/>
      <c r="T28" s="801"/>
      <c r="U28" s="802"/>
      <c r="V28" s="802"/>
      <c r="W28" s="802"/>
      <c r="X28" s="802"/>
      <c r="Y28" s="802"/>
      <c r="Z28" s="802"/>
      <c r="AA28" s="801"/>
      <c r="AB28" s="802"/>
      <c r="AC28" s="802"/>
      <c r="AD28" s="1062">
        <f>9.8*1*0.15</f>
        <v>1.47</v>
      </c>
      <c r="AE28" s="802"/>
      <c r="AF28" s="802"/>
      <c r="AG28" s="802"/>
      <c r="AH28" s="786"/>
      <c r="AI28" s="1060">
        <f t="shared" si="1"/>
        <v>5.3199999999999994</v>
      </c>
      <c r="AJ28" s="811"/>
      <c r="AK28" s="578"/>
      <c r="AM28" s="578"/>
    </row>
    <row r="29" spans="1:39" s="560" customFormat="1">
      <c r="A29" s="940" t="s">
        <v>2018</v>
      </c>
      <c r="B29" s="804" t="s">
        <v>1876</v>
      </c>
      <c r="C29" s="614"/>
      <c r="D29" s="800"/>
      <c r="E29" s="1025"/>
      <c r="F29" s="801"/>
      <c r="G29" s="800"/>
      <c r="H29" s="800"/>
      <c r="I29" s="802"/>
      <c r="J29" s="802"/>
      <c r="K29" s="802"/>
      <c r="L29" s="802"/>
      <c r="M29" s="801"/>
      <c r="N29" s="802"/>
      <c r="O29" s="741"/>
      <c r="P29" s="802"/>
      <c r="Q29" s="741"/>
      <c r="R29" s="949"/>
      <c r="S29" s="1026"/>
      <c r="T29" s="801"/>
      <c r="U29" s="802"/>
      <c r="V29" s="802"/>
      <c r="W29" s="802"/>
      <c r="X29" s="802"/>
      <c r="Y29" s="802"/>
      <c r="Z29" s="802"/>
      <c r="AA29" s="801"/>
      <c r="AB29" s="802"/>
      <c r="AC29" s="802"/>
      <c r="AD29" s="802"/>
      <c r="AE29" s="802"/>
      <c r="AF29" s="802"/>
      <c r="AG29" s="802"/>
      <c r="AH29" s="786"/>
      <c r="AI29" s="576">
        <f t="shared" si="1"/>
        <v>0</v>
      </c>
      <c r="AJ29" s="811"/>
      <c r="AK29" s="578"/>
      <c r="AM29" s="578"/>
    </row>
    <row r="30" spans="1:39" s="560" customFormat="1">
      <c r="A30" s="940" t="s">
        <v>2034</v>
      </c>
      <c r="B30" s="604" t="s">
        <v>2019</v>
      </c>
      <c r="C30" s="614" t="s">
        <v>39</v>
      </c>
      <c r="D30" s="800"/>
      <c r="E30" s="1025"/>
      <c r="F30" s="801"/>
      <c r="G30" s="800"/>
      <c r="H30" s="800"/>
      <c r="I30" s="802"/>
      <c r="J30" s="802"/>
      <c r="K30" s="802"/>
      <c r="L30" s="802"/>
      <c r="M30" s="801"/>
      <c r="N30" s="802"/>
      <c r="O30" s="741"/>
      <c r="P30" s="802"/>
      <c r="Q30" s="741"/>
      <c r="R30" s="949"/>
      <c r="S30" s="1026"/>
      <c r="T30" s="801"/>
      <c r="U30" s="802"/>
      <c r="V30" s="802"/>
      <c r="W30" s="802"/>
      <c r="X30" s="802"/>
      <c r="Y30" s="802"/>
      <c r="Z30" s="802"/>
      <c r="AA30" s="801"/>
      <c r="AB30" s="802"/>
      <c r="AC30" s="802"/>
      <c r="AD30" s="802"/>
      <c r="AE30" s="949"/>
      <c r="AF30" s="1034">
        <f>9.8*1*0.4</f>
        <v>3.9200000000000004</v>
      </c>
      <c r="AG30" s="949"/>
      <c r="AH30" s="786"/>
      <c r="AI30" s="1060">
        <f t="shared" si="1"/>
        <v>3.9200000000000004</v>
      </c>
      <c r="AJ30" s="811"/>
      <c r="AK30" s="578"/>
      <c r="AM30" s="578"/>
    </row>
    <row r="31" spans="1:39" s="560" customFormat="1">
      <c r="A31" s="940" t="s">
        <v>2035</v>
      </c>
      <c r="B31" s="604" t="s">
        <v>2020</v>
      </c>
      <c r="C31" s="614" t="s">
        <v>36</v>
      </c>
      <c r="D31" s="800"/>
      <c r="E31" s="1025"/>
      <c r="F31" s="801"/>
      <c r="G31" s="800"/>
      <c r="H31" s="800"/>
      <c r="I31" s="802"/>
      <c r="J31" s="802"/>
      <c r="K31" s="802"/>
      <c r="L31" s="802"/>
      <c r="M31" s="801"/>
      <c r="N31" s="802"/>
      <c r="O31" s="741"/>
      <c r="P31" s="802"/>
      <c r="Q31" s="741"/>
      <c r="R31" s="949"/>
      <c r="S31" s="1026"/>
      <c r="T31" s="801"/>
      <c r="U31" s="802"/>
      <c r="V31" s="802"/>
      <c r="W31" s="802"/>
      <c r="X31" s="802"/>
      <c r="Y31" s="802"/>
      <c r="Z31" s="802"/>
      <c r="AA31" s="801"/>
      <c r="AB31" s="802"/>
      <c r="AC31" s="802"/>
      <c r="AD31" s="802"/>
      <c r="AE31" s="741"/>
      <c r="AF31" s="1038">
        <f>9.4*0.4*2+1*0.4*2</f>
        <v>8.32</v>
      </c>
      <c r="AG31" s="1038">
        <f>9.4*1.5*2</f>
        <v>28.200000000000003</v>
      </c>
      <c r="AH31" s="786"/>
      <c r="AI31" s="1060">
        <f t="shared" si="1"/>
        <v>36.520000000000003</v>
      </c>
      <c r="AJ31" s="811"/>
      <c r="AK31" s="578"/>
      <c r="AM31" s="578"/>
    </row>
    <row r="32" spans="1:39" s="560" customFormat="1">
      <c r="A32" s="940" t="s">
        <v>2036</v>
      </c>
      <c r="B32" s="604" t="s">
        <v>2021</v>
      </c>
      <c r="C32" s="614" t="s">
        <v>1823</v>
      </c>
      <c r="D32" s="800"/>
      <c r="E32" s="1025"/>
      <c r="F32" s="801"/>
      <c r="G32" s="800"/>
      <c r="H32" s="800"/>
      <c r="I32" s="802"/>
      <c r="J32" s="802"/>
      <c r="K32" s="802"/>
      <c r="L32" s="802"/>
      <c r="M32" s="801"/>
      <c r="N32" s="802"/>
      <c r="O32" s="741"/>
      <c r="P32" s="802"/>
      <c r="Q32" s="741"/>
      <c r="R32" s="949"/>
      <c r="S32" s="1026"/>
      <c r="T32" s="801"/>
      <c r="U32" s="802"/>
      <c r="V32" s="802"/>
      <c r="W32" s="802"/>
      <c r="X32" s="802"/>
      <c r="Y32" s="802"/>
      <c r="Z32" s="802"/>
      <c r="AA32" s="801"/>
      <c r="AB32" s="802"/>
      <c r="AC32" s="802"/>
      <c r="AD32" s="802"/>
      <c r="AE32" s="1038">
        <f>96*1.3*1.552+10*9*0.99</f>
        <v>282.78960000000001</v>
      </c>
      <c r="AF32" s="1038">
        <f>36*9*0.99</f>
        <v>320.76</v>
      </c>
      <c r="AG32" s="949"/>
      <c r="AH32" s="786"/>
      <c r="AI32" s="1060">
        <f t="shared" si="1"/>
        <v>603.54960000000005</v>
      </c>
      <c r="AJ32" s="811"/>
      <c r="AK32" s="578"/>
      <c r="AM32" s="578"/>
    </row>
    <row r="33" spans="1:39" s="560" customFormat="1">
      <c r="A33" s="1055" t="s">
        <v>1992</v>
      </c>
      <c r="B33" s="1056" t="s">
        <v>1141</v>
      </c>
      <c r="C33" s="614"/>
      <c r="D33" s="800"/>
      <c r="E33" s="800"/>
      <c r="F33" s="801"/>
      <c r="G33" s="800"/>
      <c r="H33" s="800"/>
      <c r="I33" s="802"/>
      <c r="J33" s="802"/>
      <c r="K33" s="802"/>
      <c r="L33" s="802"/>
      <c r="M33" s="801"/>
      <c r="N33" s="802"/>
      <c r="O33" s="741"/>
      <c r="P33" s="802"/>
      <c r="Q33" s="741"/>
      <c r="R33" s="949"/>
      <c r="S33" s="802"/>
      <c r="T33" s="801"/>
      <c r="U33" s="802"/>
      <c r="V33" s="802"/>
      <c r="W33" s="802"/>
      <c r="X33" s="802"/>
      <c r="Y33" s="802"/>
      <c r="Z33" s="802"/>
      <c r="AA33" s="801"/>
      <c r="AB33" s="802"/>
      <c r="AC33" s="802"/>
      <c r="AD33" s="802"/>
      <c r="AE33" s="802"/>
      <c r="AF33" s="802"/>
      <c r="AG33" s="802"/>
      <c r="AH33" s="786"/>
      <c r="AI33" s="576">
        <f t="shared" si="1"/>
        <v>0</v>
      </c>
      <c r="AJ33" s="811"/>
      <c r="AK33" s="578"/>
      <c r="AM33" s="578"/>
    </row>
    <row r="34" spans="1:39" s="560" customFormat="1">
      <c r="A34" s="940" t="s">
        <v>2022</v>
      </c>
      <c r="B34" s="804" t="s">
        <v>1876</v>
      </c>
      <c r="C34" s="614"/>
      <c r="D34" s="800"/>
      <c r="E34" s="800"/>
      <c r="F34" s="801"/>
      <c r="G34" s="800"/>
      <c r="H34" s="800"/>
      <c r="I34" s="802"/>
      <c r="J34" s="802"/>
      <c r="K34" s="802"/>
      <c r="L34" s="802"/>
      <c r="M34" s="801"/>
      <c r="N34" s="802"/>
      <c r="O34" s="741"/>
      <c r="P34" s="802"/>
      <c r="Q34" s="741"/>
      <c r="R34" s="949"/>
      <c r="S34" s="802"/>
      <c r="T34" s="801"/>
      <c r="U34" s="802"/>
      <c r="V34" s="802"/>
      <c r="W34" s="802"/>
      <c r="X34" s="802"/>
      <c r="Y34" s="802"/>
      <c r="Z34" s="802"/>
      <c r="AA34" s="801"/>
      <c r="AB34" s="802"/>
      <c r="AC34" s="802"/>
      <c r="AD34" s="802"/>
      <c r="AE34" s="802"/>
      <c r="AF34" s="802"/>
      <c r="AG34" s="802"/>
      <c r="AH34" s="786"/>
      <c r="AI34" s="576">
        <f t="shared" si="1"/>
        <v>0</v>
      </c>
      <c r="AJ34" s="811"/>
      <c r="AK34" s="578"/>
      <c r="AM34" s="578"/>
    </row>
    <row r="35" spans="1:39" s="560" customFormat="1">
      <c r="A35" s="940" t="s">
        <v>2023</v>
      </c>
      <c r="B35" s="804" t="s">
        <v>1877</v>
      </c>
      <c r="C35" s="614"/>
      <c r="D35" s="800"/>
      <c r="E35" s="800"/>
      <c r="F35" s="801"/>
      <c r="G35" s="800"/>
      <c r="H35" s="800"/>
      <c r="I35" s="802"/>
      <c r="J35" s="802"/>
      <c r="K35" s="802"/>
      <c r="L35" s="802"/>
      <c r="M35" s="801"/>
      <c r="N35" s="802"/>
      <c r="O35" s="741"/>
      <c r="P35" s="802"/>
      <c r="Q35" s="741"/>
      <c r="R35" s="949"/>
      <c r="S35" s="802"/>
      <c r="T35" s="801"/>
      <c r="U35" s="802"/>
      <c r="V35" s="802"/>
      <c r="W35" s="802"/>
      <c r="X35" s="802"/>
      <c r="Y35" s="802"/>
      <c r="Z35" s="802"/>
      <c r="AA35" s="801"/>
      <c r="AB35" s="802"/>
      <c r="AC35" s="802"/>
      <c r="AD35" s="802"/>
      <c r="AE35" s="802"/>
      <c r="AF35" s="802"/>
      <c r="AG35" s="802"/>
      <c r="AH35" s="786"/>
      <c r="AI35" s="576">
        <f t="shared" si="1"/>
        <v>0</v>
      </c>
      <c r="AJ35" s="811"/>
      <c r="AK35" s="578"/>
      <c r="AM35" s="578"/>
    </row>
    <row r="36" spans="1:39" s="560" customFormat="1">
      <c r="A36" s="940" t="s">
        <v>2024</v>
      </c>
      <c r="B36" s="804" t="s">
        <v>1878</v>
      </c>
      <c r="C36" s="614" t="s">
        <v>39</v>
      </c>
      <c r="D36" s="800"/>
      <c r="E36" s="1063">
        <f>4.74*0.25*0.5*2+6.18*0.25*0.5*1</f>
        <v>1.9575</v>
      </c>
      <c r="F36" s="801"/>
      <c r="G36" s="800"/>
      <c r="H36" s="800"/>
      <c r="I36" s="802"/>
      <c r="J36" s="802"/>
      <c r="K36" s="802"/>
      <c r="L36" s="802"/>
      <c r="M36" s="801"/>
      <c r="N36" s="802"/>
      <c r="O36" s="741"/>
      <c r="P36" s="802"/>
      <c r="Q36" s="741"/>
      <c r="R36" s="949"/>
      <c r="S36" s="802"/>
      <c r="T36" s="801"/>
      <c r="U36" s="802"/>
      <c r="V36" s="802"/>
      <c r="W36" s="802"/>
      <c r="X36" s="802"/>
      <c r="Y36" s="802"/>
      <c r="Z36" s="802"/>
      <c r="AA36" s="801"/>
      <c r="AB36" s="802"/>
      <c r="AC36" s="802"/>
      <c r="AD36" s="802"/>
      <c r="AE36" s="802"/>
      <c r="AF36" s="802"/>
      <c r="AG36" s="802"/>
      <c r="AH36" s="786"/>
      <c r="AI36" s="1064">
        <f t="shared" si="1"/>
        <v>1.9575</v>
      </c>
      <c r="AJ36" s="811"/>
      <c r="AK36" s="578"/>
      <c r="AM36" s="578"/>
    </row>
    <row r="37" spans="1:39" s="560" customFormat="1">
      <c r="A37" s="940" t="s">
        <v>2025</v>
      </c>
      <c r="B37" s="804" t="s">
        <v>1879</v>
      </c>
      <c r="C37" s="614" t="s">
        <v>36</v>
      </c>
      <c r="D37" s="1063">
        <f>4.74*2*0.5*2+6.18*2*0.5*1</f>
        <v>15.66</v>
      </c>
      <c r="E37" s="800"/>
      <c r="F37" s="801"/>
      <c r="G37" s="800"/>
      <c r="H37" s="800"/>
      <c r="I37" s="802"/>
      <c r="J37" s="802"/>
      <c r="K37" s="802"/>
      <c r="L37" s="802"/>
      <c r="M37" s="801"/>
      <c r="N37" s="802"/>
      <c r="O37" s="741"/>
      <c r="P37" s="802"/>
      <c r="Q37" s="741"/>
      <c r="R37" s="949"/>
      <c r="S37" s="802"/>
      <c r="T37" s="801"/>
      <c r="U37" s="802"/>
      <c r="V37" s="802"/>
      <c r="W37" s="802"/>
      <c r="X37" s="802"/>
      <c r="Y37" s="802"/>
      <c r="Z37" s="802"/>
      <c r="AA37" s="801"/>
      <c r="AB37" s="802"/>
      <c r="AC37" s="802"/>
      <c r="AD37" s="802"/>
      <c r="AE37" s="802"/>
      <c r="AF37" s="802"/>
      <c r="AG37" s="802"/>
      <c r="AH37" s="786"/>
      <c r="AI37" s="1064">
        <f t="shared" si="1"/>
        <v>15.66</v>
      </c>
      <c r="AJ37" s="811"/>
      <c r="AK37" s="578"/>
      <c r="AM37" s="578"/>
    </row>
    <row r="38" spans="1:39" s="560" customFormat="1">
      <c r="A38" s="940" t="s">
        <v>2026</v>
      </c>
      <c r="B38" s="804" t="s">
        <v>1880</v>
      </c>
      <c r="C38" s="614" t="s">
        <v>1823</v>
      </c>
      <c r="D38" s="1063">
        <v>99</v>
      </c>
      <c r="E38" s="800"/>
      <c r="F38" s="801"/>
      <c r="G38" s="800"/>
      <c r="H38" s="800"/>
      <c r="I38" s="802"/>
      <c r="J38" s="802"/>
      <c r="K38" s="802"/>
      <c r="L38" s="802"/>
      <c r="M38" s="801"/>
      <c r="N38" s="802"/>
      <c r="O38" s="741"/>
      <c r="P38" s="802"/>
      <c r="Q38" s="741"/>
      <c r="R38" s="949"/>
      <c r="S38" s="802"/>
      <c r="T38" s="801"/>
      <c r="U38" s="802"/>
      <c r="V38" s="802"/>
      <c r="W38" s="802"/>
      <c r="X38" s="802"/>
      <c r="Y38" s="802"/>
      <c r="Z38" s="802"/>
      <c r="AA38" s="801"/>
      <c r="AB38" s="802"/>
      <c r="AC38" s="802"/>
      <c r="AD38" s="802"/>
      <c r="AE38" s="802"/>
      <c r="AF38" s="802"/>
      <c r="AG38" s="802"/>
      <c r="AH38" s="786"/>
      <c r="AI38" s="1064">
        <f t="shared" si="1"/>
        <v>99</v>
      </c>
      <c r="AJ38" s="811"/>
      <c r="AK38" s="578"/>
      <c r="AM38" s="578"/>
    </row>
    <row r="39" spans="1:39" s="560" customFormat="1">
      <c r="A39" s="940" t="s">
        <v>1993</v>
      </c>
      <c r="B39" s="804" t="s">
        <v>1881</v>
      </c>
      <c r="C39" s="614"/>
      <c r="D39" s="800"/>
      <c r="E39" s="800"/>
      <c r="F39" s="801"/>
      <c r="G39" s="800"/>
      <c r="H39" s="800"/>
      <c r="I39" s="802"/>
      <c r="J39" s="802"/>
      <c r="K39" s="802"/>
      <c r="L39" s="802"/>
      <c r="M39" s="801"/>
      <c r="N39" s="802"/>
      <c r="O39" s="741"/>
      <c r="P39" s="802"/>
      <c r="Q39" s="741"/>
      <c r="R39" s="949"/>
      <c r="S39" s="802"/>
      <c r="T39" s="801"/>
      <c r="U39" s="802"/>
      <c r="V39" s="802"/>
      <c r="W39" s="802"/>
      <c r="X39" s="802"/>
      <c r="Y39" s="802"/>
      <c r="Z39" s="802"/>
      <c r="AA39" s="801"/>
      <c r="AB39" s="802"/>
      <c r="AC39" s="802"/>
      <c r="AD39" s="802"/>
      <c r="AE39" s="802"/>
      <c r="AF39" s="802"/>
      <c r="AG39" s="802"/>
      <c r="AH39" s="786"/>
      <c r="AI39" s="576">
        <f t="shared" si="1"/>
        <v>0</v>
      </c>
      <c r="AJ39" s="811"/>
      <c r="AK39" s="578"/>
      <c r="AM39" s="578"/>
    </row>
    <row r="40" spans="1:39" s="560" customFormat="1">
      <c r="A40" s="940" t="s">
        <v>1994</v>
      </c>
      <c r="B40" s="804" t="s">
        <v>1882</v>
      </c>
      <c r="C40" s="614" t="s">
        <v>39</v>
      </c>
      <c r="D40" s="800"/>
      <c r="E40" s="1063">
        <f>4.74*0.25*0.6*2+6.18*0.25*0.6*1</f>
        <v>2.3489999999999998</v>
      </c>
      <c r="F40" s="801"/>
      <c r="G40" s="800"/>
      <c r="H40" s="800"/>
      <c r="I40" s="802"/>
      <c r="J40" s="802"/>
      <c r="K40" s="802"/>
      <c r="L40" s="802"/>
      <c r="M40" s="801"/>
      <c r="N40" s="802"/>
      <c r="O40" s="741"/>
      <c r="P40" s="802"/>
      <c r="Q40" s="741"/>
      <c r="R40" s="949"/>
      <c r="S40" s="802"/>
      <c r="T40" s="801"/>
      <c r="U40" s="802"/>
      <c r="V40" s="802"/>
      <c r="W40" s="802"/>
      <c r="X40" s="802"/>
      <c r="Y40" s="802"/>
      <c r="Z40" s="802"/>
      <c r="AA40" s="801"/>
      <c r="AB40" s="802"/>
      <c r="AC40" s="802"/>
      <c r="AD40" s="802"/>
      <c r="AE40" s="802"/>
      <c r="AF40" s="802"/>
      <c r="AG40" s="802"/>
      <c r="AH40" s="786"/>
      <c r="AI40" s="1064">
        <f t="shared" si="1"/>
        <v>2.3489999999999998</v>
      </c>
      <c r="AJ40" s="811"/>
      <c r="AK40" s="578"/>
      <c r="AM40" s="578"/>
    </row>
    <row r="41" spans="1:39" s="560" customFormat="1">
      <c r="A41" s="940" t="s">
        <v>1995</v>
      </c>
      <c r="B41" s="804" t="s">
        <v>1883</v>
      </c>
      <c r="C41" s="614" t="s">
        <v>36</v>
      </c>
      <c r="D41" s="1063">
        <f>4.74*2*0.6*2+6.18*2*0.6*1</f>
        <v>18.791999999999998</v>
      </c>
      <c r="E41" s="800"/>
      <c r="F41" s="801"/>
      <c r="G41" s="800"/>
      <c r="H41" s="800"/>
      <c r="I41" s="802"/>
      <c r="J41" s="802"/>
      <c r="K41" s="802"/>
      <c r="L41" s="802"/>
      <c r="M41" s="801"/>
      <c r="N41" s="802"/>
      <c r="O41" s="741"/>
      <c r="P41" s="802"/>
      <c r="Q41" s="741"/>
      <c r="R41" s="949"/>
      <c r="S41" s="802"/>
      <c r="T41" s="801"/>
      <c r="U41" s="802"/>
      <c r="V41" s="802"/>
      <c r="W41" s="802"/>
      <c r="X41" s="802"/>
      <c r="Y41" s="802"/>
      <c r="Z41" s="802"/>
      <c r="AA41" s="801"/>
      <c r="AB41" s="802"/>
      <c r="AC41" s="802"/>
      <c r="AD41" s="802"/>
      <c r="AE41" s="802"/>
      <c r="AF41" s="802"/>
      <c r="AG41" s="802"/>
      <c r="AH41" s="786"/>
      <c r="AI41" s="1064">
        <f t="shared" si="1"/>
        <v>18.791999999999998</v>
      </c>
      <c r="AJ41" s="811"/>
      <c r="AK41" s="578"/>
      <c r="AM41" s="578"/>
    </row>
    <row r="42" spans="1:39" s="560" customFormat="1">
      <c r="A42" s="940" t="s">
        <v>1996</v>
      </c>
      <c r="B42" s="804" t="s">
        <v>1884</v>
      </c>
      <c r="C42" s="614" t="s">
        <v>1823</v>
      </c>
      <c r="D42" s="1063">
        <v>118.8</v>
      </c>
      <c r="E42" s="800"/>
      <c r="F42" s="801"/>
      <c r="G42" s="800"/>
      <c r="H42" s="800"/>
      <c r="I42" s="802"/>
      <c r="J42" s="802"/>
      <c r="K42" s="802"/>
      <c r="L42" s="802"/>
      <c r="M42" s="801"/>
      <c r="N42" s="802"/>
      <c r="O42" s="741"/>
      <c r="P42" s="802"/>
      <c r="Q42" s="741"/>
      <c r="R42" s="949"/>
      <c r="S42" s="802"/>
      <c r="T42" s="801"/>
      <c r="U42" s="802"/>
      <c r="V42" s="802"/>
      <c r="W42" s="802"/>
      <c r="X42" s="802"/>
      <c r="Y42" s="802"/>
      <c r="Z42" s="802"/>
      <c r="AA42" s="801"/>
      <c r="AB42" s="802"/>
      <c r="AC42" s="802"/>
      <c r="AD42" s="802"/>
      <c r="AE42" s="802"/>
      <c r="AF42" s="802"/>
      <c r="AG42" s="802"/>
      <c r="AH42" s="786"/>
      <c r="AI42" s="1064">
        <f t="shared" ref="AI42:AI57" si="4">SUM(D42:AH42)</f>
        <v>118.8</v>
      </c>
      <c r="AJ42" s="811"/>
      <c r="AK42" s="578"/>
      <c r="AM42" s="578"/>
    </row>
    <row r="43" spans="1:39" s="560" customFormat="1">
      <c r="A43" s="1055" t="s">
        <v>2027</v>
      </c>
      <c r="B43" s="607" t="s">
        <v>1204</v>
      </c>
      <c r="C43" s="614"/>
      <c r="D43" s="800"/>
      <c r="E43" s="800"/>
      <c r="F43" s="801"/>
      <c r="G43" s="800"/>
      <c r="H43" s="800"/>
      <c r="I43" s="802"/>
      <c r="J43" s="802"/>
      <c r="K43" s="802"/>
      <c r="L43" s="802"/>
      <c r="M43" s="801"/>
      <c r="N43" s="802"/>
      <c r="O43" s="741"/>
      <c r="P43" s="802"/>
      <c r="Q43" s="741"/>
      <c r="R43" s="949"/>
      <c r="S43" s="802"/>
      <c r="T43" s="801"/>
      <c r="U43" s="802"/>
      <c r="V43" s="802"/>
      <c r="W43" s="802"/>
      <c r="X43" s="802"/>
      <c r="Y43" s="802"/>
      <c r="Z43" s="802"/>
      <c r="AA43" s="801"/>
      <c r="AB43" s="802"/>
      <c r="AC43" s="802"/>
      <c r="AD43" s="802"/>
      <c r="AE43" s="802"/>
      <c r="AF43" s="802"/>
      <c r="AG43" s="802"/>
      <c r="AH43" s="786"/>
      <c r="AI43" s="576">
        <f>SUM(D43:AH43)</f>
        <v>0</v>
      </c>
      <c r="AJ43" s="811"/>
      <c r="AK43" s="578"/>
      <c r="AM43" s="578"/>
    </row>
    <row r="44" spans="1:39" s="560" customFormat="1">
      <c r="A44" s="940" t="s">
        <v>2028</v>
      </c>
      <c r="B44" s="604" t="s">
        <v>1205</v>
      </c>
      <c r="C44" s="614" t="s">
        <v>39</v>
      </c>
      <c r="D44" s="800"/>
      <c r="E44" s="1033">
        <f>6.15*1*0.25</f>
        <v>1.5375000000000001</v>
      </c>
      <c r="F44" s="801"/>
      <c r="G44" s="800"/>
      <c r="H44" s="800"/>
      <c r="I44" s="802"/>
      <c r="J44" s="802"/>
      <c r="K44" s="802"/>
      <c r="L44" s="802"/>
      <c r="M44" s="801"/>
      <c r="N44" s="802"/>
      <c r="O44" s="741"/>
      <c r="P44" s="802"/>
      <c r="Q44" s="741"/>
      <c r="R44" s="949"/>
      <c r="S44" s="802"/>
      <c r="T44" s="801"/>
      <c r="U44" s="802"/>
      <c r="V44" s="802"/>
      <c r="W44" s="802"/>
      <c r="X44" s="802"/>
      <c r="Y44" s="802"/>
      <c r="Z44" s="802"/>
      <c r="AA44" s="801"/>
      <c r="AB44" s="802"/>
      <c r="AC44" s="802"/>
      <c r="AH44" s="786"/>
      <c r="AI44" s="1060">
        <f>SUM(D44:AH44)</f>
        <v>1.5375000000000001</v>
      </c>
      <c r="AJ44" s="811"/>
      <c r="AK44" s="578"/>
      <c r="AM44" s="578"/>
    </row>
    <row r="45" spans="1:39" s="560" customFormat="1">
      <c r="A45" s="940" t="s">
        <v>2029</v>
      </c>
      <c r="B45" s="604" t="s">
        <v>1206</v>
      </c>
      <c r="C45" s="614" t="s">
        <v>36</v>
      </c>
      <c r="D45" s="1033">
        <f>6.15*1*2</f>
        <v>12.3</v>
      </c>
      <c r="E45" s="800"/>
      <c r="F45" s="801"/>
      <c r="G45" s="800"/>
      <c r="H45" s="800"/>
      <c r="I45" s="802"/>
      <c r="J45" s="802"/>
      <c r="K45" s="802"/>
      <c r="L45" s="802"/>
      <c r="M45" s="801"/>
      <c r="N45" s="802"/>
      <c r="O45" s="741"/>
      <c r="P45" s="802"/>
      <c r="Q45" s="741"/>
      <c r="R45" s="949"/>
      <c r="S45" s="802"/>
      <c r="T45" s="801"/>
      <c r="U45" s="802"/>
      <c r="V45" s="802"/>
      <c r="W45" s="802"/>
      <c r="X45" s="802"/>
      <c r="Y45" s="802"/>
      <c r="Z45" s="802"/>
      <c r="AA45" s="801"/>
      <c r="AB45" s="802"/>
      <c r="AC45" s="802"/>
      <c r="AD45" s="802"/>
      <c r="AH45" s="786"/>
      <c r="AI45" s="1060">
        <f>SUM(D45:AH45)</f>
        <v>12.3</v>
      </c>
      <c r="AJ45" s="811"/>
      <c r="AK45" s="578"/>
      <c r="AM45" s="578"/>
    </row>
    <row r="46" spans="1:39" s="560" customFormat="1">
      <c r="A46" s="940" t="s">
        <v>2030</v>
      </c>
      <c r="B46" s="604" t="s">
        <v>1207</v>
      </c>
      <c r="C46" s="614" t="s">
        <v>1823</v>
      </c>
      <c r="D46" s="1033">
        <v>131.16</v>
      </c>
      <c r="E46" s="800"/>
      <c r="F46" s="801"/>
      <c r="G46" s="800"/>
      <c r="H46" s="800"/>
      <c r="I46" s="802"/>
      <c r="J46" s="802"/>
      <c r="K46" s="802"/>
      <c r="L46" s="802"/>
      <c r="M46" s="801"/>
      <c r="N46" s="802"/>
      <c r="O46" s="741"/>
      <c r="P46" s="802"/>
      <c r="Q46" s="741"/>
      <c r="R46" s="949"/>
      <c r="S46" s="802"/>
      <c r="T46" s="801"/>
      <c r="U46" s="802"/>
      <c r="V46" s="802"/>
      <c r="W46" s="802"/>
      <c r="X46" s="802"/>
      <c r="Y46" s="802"/>
      <c r="Z46" s="802"/>
      <c r="AA46" s="801"/>
      <c r="AB46" s="802"/>
      <c r="AC46" s="802"/>
      <c r="AD46" s="802"/>
      <c r="AH46" s="786"/>
      <c r="AI46" s="1060">
        <f>SUM(D46:AH46)</f>
        <v>131.16</v>
      </c>
      <c r="AJ46" s="811"/>
      <c r="AK46" s="578"/>
      <c r="AM46" s="578"/>
    </row>
    <row r="47" spans="1:39" s="560" customFormat="1">
      <c r="A47" s="1055" t="s">
        <v>1997</v>
      </c>
      <c r="B47" s="1056" t="s">
        <v>1196</v>
      </c>
      <c r="C47" s="614"/>
      <c r="D47" s="800"/>
      <c r="E47" s="800"/>
      <c r="F47" s="801"/>
      <c r="G47" s="800"/>
      <c r="H47" s="800"/>
      <c r="I47" s="802"/>
      <c r="J47" s="802"/>
      <c r="K47" s="802"/>
      <c r="L47" s="802"/>
      <c r="M47" s="801"/>
      <c r="N47" s="802"/>
      <c r="O47" s="741"/>
      <c r="P47" s="802"/>
      <c r="Q47" s="741"/>
      <c r="R47" s="949"/>
      <c r="S47" s="802"/>
      <c r="T47" s="801"/>
      <c r="U47" s="802"/>
      <c r="V47" s="802"/>
      <c r="W47" s="802"/>
      <c r="X47" s="802"/>
      <c r="Y47" s="802"/>
      <c r="Z47" s="802"/>
      <c r="AA47" s="801"/>
      <c r="AB47" s="802"/>
      <c r="AC47" s="802"/>
      <c r="AD47" s="802"/>
      <c r="AE47" s="802"/>
      <c r="AF47" s="802"/>
      <c r="AG47" s="802"/>
      <c r="AH47" s="786"/>
      <c r="AI47" s="576">
        <f t="shared" si="4"/>
        <v>0</v>
      </c>
      <c r="AJ47" s="811"/>
      <c r="AK47" s="578"/>
      <c r="AM47" s="578"/>
    </row>
    <row r="48" spans="1:39" s="560" customFormat="1">
      <c r="A48" s="940" t="s">
        <v>2005</v>
      </c>
      <c r="B48" s="804" t="s">
        <v>1876</v>
      </c>
      <c r="C48" s="614"/>
      <c r="D48" s="800"/>
      <c r="E48" s="800"/>
      <c r="F48" s="801"/>
      <c r="G48" s="800"/>
      <c r="H48" s="800"/>
      <c r="I48" s="802"/>
      <c r="J48" s="802"/>
      <c r="K48" s="802"/>
      <c r="L48" s="802"/>
      <c r="M48" s="801"/>
      <c r="N48" s="802"/>
      <c r="O48" s="741"/>
      <c r="P48" s="802"/>
      <c r="Q48" s="741"/>
      <c r="R48" s="949"/>
      <c r="S48" s="802"/>
      <c r="T48" s="801"/>
      <c r="U48" s="802"/>
      <c r="V48" s="802"/>
      <c r="W48" s="802"/>
      <c r="X48" s="802"/>
      <c r="Y48" s="802"/>
      <c r="Z48" s="802"/>
      <c r="AA48" s="801"/>
      <c r="AB48" s="802"/>
      <c r="AC48" s="802"/>
      <c r="AD48" s="802"/>
      <c r="AE48" s="802"/>
      <c r="AF48" s="802"/>
      <c r="AG48" s="802"/>
      <c r="AH48" s="786"/>
      <c r="AI48" s="576">
        <f t="shared" si="4"/>
        <v>0</v>
      </c>
      <c r="AJ48" s="811"/>
      <c r="AK48" s="578"/>
      <c r="AM48" s="578"/>
    </row>
    <row r="49" spans="1:39" s="560" customFormat="1">
      <c r="A49" s="940" t="s">
        <v>2006</v>
      </c>
      <c r="B49" s="804" t="s">
        <v>1877</v>
      </c>
      <c r="C49" s="614"/>
      <c r="D49" s="800"/>
      <c r="E49" s="800"/>
      <c r="F49" s="801"/>
      <c r="G49" s="800"/>
      <c r="H49" s="800"/>
      <c r="I49" s="802"/>
      <c r="J49" s="802"/>
      <c r="K49" s="802"/>
      <c r="L49" s="802"/>
      <c r="M49" s="801"/>
      <c r="N49" s="802"/>
      <c r="O49" s="741"/>
      <c r="P49" s="802"/>
      <c r="Q49" s="741"/>
      <c r="R49" s="949"/>
      <c r="S49" s="802"/>
      <c r="T49" s="801"/>
      <c r="U49" s="802"/>
      <c r="V49" s="802"/>
      <c r="W49" s="802"/>
      <c r="X49" s="802"/>
      <c r="Y49" s="802"/>
      <c r="Z49" s="802"/>
      <c r="AA49" s="801"/>
      <c r="AB49" s="802"/>
      <c r="AC49" s="802"/>
      <c r="AD49" s="802"/>
      <c r="AE49" s="802"/>
      <c r="AF49" s="802"/>
      <c r="AG49" s="802"/>
      <c r="AH49" s="786"/>
      <c r="AI49" s="576">
        <f t="shared" si="4"/>
        <v>0</v>
      </c>
      <c r="AJ49" s="811"/>
      <c r="AK49" s="578"/>
      <c r="AM49" s="578"/>
    </row>
    <row r="50" spans="1:39" s="560" customFormat="1">
      <c r="A50" s="940" t="s">
        <v>2007</v>
      </c>
      <c r="B50" s="804" t="s">
        <v>1878</v>
      </c>
      <c r="C50" s="614" t="s">
        <v>39</v>
      </c>
      <c r="D50" s="800"/>
      <c r="E50" s="800"/>
      <c r="F50" s="801"/>
      <c r="G50" s="1033">
        <f>16.66*0.25*0.6</f>
        <v>2.4990000000000001</v>
      </c>
      <c r="H50" s="800"/>
      <c r="I50" s="802"/>
      <c r="J50" s="802"/>
      <c r="K50" s="802"/>
      <c r="L50" s="802"/>
      <c r="M50" s="801"/>
      <c r="N50" s="802"/>
      <c r="O50" s="741"/>
      <c r="P50" s="802"/>
      <c r="Q50" s="741"/>
      <c r="R50" s="949"/>
      <c r="S50" s="802"/>
      <c r="T50" s="801"/>
      <c r="U50" s="802"/>
      <c r="V50" s="802"/>
      <c r="W50" s="802"/>
      <c r="X50" s="802"/>
      <c r="Y50" s="802"/>
      <c r="Z50" s="802"/>
      <c r="AA50" s="801"/>
      <c r="AB50" s="802"/>
      <c r="AC50" s="802"/>
      <c r="AD50" s="802"/>
      <c r="AE50" s="802"/>
      <c r="AF50" s="802"/>
      <c r="AG50" s="802"/>
      <c r="AH50" s="786"/>
      <c r="AI50" s="1060">
        <f t="shared" si="4"/>
        <v>2.4990000000000001</v>
      </c>
      <c r="AJ50" s="811"/>
      <c r="AK50" s="578"/>
      <c r="AM50" s="578"/>
    </row>
    <row r="51" spans="1:39" s="560" customFormat="1">
      <c r="A51" s="940" t="s">
        <v>2008</v>
      </c>
      <c r="B51" s="804" t="s">
        <v>1879</v>
      </c>
      <c r="C51" s="614" t="s">
        <v>36</v>
      </c>
      <c r="D51" s="800"/>
      <c r="E51" s="800"/>
      <c r="F51" s="801"/>
      <c r="G51" s="1033">
        <f>16.66*0.6*2</f>
        <v>19.992000000000001</v>
      </c>
      <c r="H51" s="800"/>
      <c r="I51" s="802"/>
      <c r="J51" s="802"/>
      <c r="K51" s="802"/>
      <c r="L51" s="802"/>
      <c r="M51" s="801"/>
      <c r="N51" s="802"/>
      <c r="O51" s="741"/>
      <c r="P51" s="802"/>
      <c r="Q51" s="741"/>
      <c r="R51" s="949"/>
      <c r="S51" s="802"/>
      <c r="T51" s="801"/>
      <c r="U51" s="802"/>
      <c r="V51" s="802"/>
      <c r="W51" s="802"/>
      <c r="X51" s="802"/>
      <c r="Y51" s="802"/>
      <c r="Z51" s="802"/>
      <c r="AA51" s="801"/>
      <c r="AB51" s="802"/>
      <c r="AC51" s="802"/>
      <c r="AD51" s="802"/>
      <c r="AE51" s="802"/>
      <c r="AF51" s="802"/>
      <c r="AG51" s="802"/>
      <c r="AH51" s="786"/>
      <c r="AI51" s="1060">
        <f t="shared" si="4"/>
        <v>19.992000000000001</v>
      </c>
      <c r="AJ51" s="811"/>
      <c r="AK51" s="578"/>
      <c r="AM51" s="578"/>
    </row>
    <row r="52" spans="1:39" s="560" customFormat="1">
      <c r="A52" s="940" t="s">
        <v>2009</v>
      </c>
      <c r="B52" s="804" t="s">
        <v>1880</v>
      </c>
      <c r="C52" s="614" t="s">
        <v>1823</v>
      </c>
      <c r="D52" s="800"/>
      <c r="E52" s="800"/>
      <c r="F52" s="801"/>
      <c r="G52" s="1033">
        <v>65.31</v>
      </c>
      <c r="H52" s="800"/>
      <c r="I52" s="802"/>
      <c r="J52" s="802"/>
      <c r="K52" s="802"/>
      <c r="L52" s="802"/>
      <c r="M52" s="801"/>
      <c r="N52" s="802"/>
      <c r="O52" s="741"/>
      <c r="P52" s="802"/>
      <c r="Q52" s="741"/>
      <c r="R52" s="949"/>
      <c r="S52" s="802"/>
      <c r="T52" s="801"/>
      <c r="U52" s="802"/>
      <c r="V52" s="802"/>
      <c r="W52" s="802"/>
      <c r="X52" s="802"/>
      <c r="Y52" s="802"/>
      <c r="Z52" s="802"/>
      <c r="AA52" s="801"/>
      <c r="AB52" s="802"/>
      <c r="AC52" s="802"/>
      <c r="AD52" s="802"/>
      <c r="AE52" s="802"/>
      <c r="AF52" s="802"/>
      <c r="AG52" s="802"/>
      <c r="AH52" s="786"/>
      <c r="AI52" s="1060">
        <f t="shared" si="4"/>
        <v>65.31</v>
      </c>
      <c r="AJ52" s="811"/>
      <c r="AK52" s="578"/>
      <c r="AM52" s="578"/>
    </row>
    <row r="53" spans="1:39" s="560" customFormat="1">
      <c r="A53" s="940" t="s">
        <v>2010</v>
      </c>
      <c r="B53" s="804" t="s">
        <v>1881</v>
      </c>
      <c r="C53" s="614"/>
      <c r="D53" s="800"/>
      <c r="E53" s="800"/>
      <c r="F53" s="801"/>
      <c r="G53" s="800"/>
      <c r="H53" s="800"/>
      <c r="I53" s="802"/>
      <c r="J53" s="802"/>
      <c r="K53" s="802"/>
      <c r="L53" s="802"/>
      <c r="M53" s="801"/>
      <c r="N53" s="802"/>
      <c r="O53" s="741"/>
      <c r="P53" s="802"/>
      <c r="Q53" s="741"/>
      <c r="R53" s="949"/>
      <c r="S53" s="802"/>
      <c r="T53" s="801"/>
      <c r="U53" s="802"/>
      <c r="V53" s="802"/>
      <c r="W53" s="802"/>
      <c r="X53" s="802"/>
      <c r="Y53" s="802"/>
      <c r="Z53" s="802"/>
      <c r="AA53" s="801"/>
      <c r="AB53" s="802"/>
      <c r="AC53" s="802"/>
      <c r="AD53" s="802"/>
      <c r="AE53" s="802"/>
      <c r="AF53" s="802"/>
      <c r="AG53" s="802"/>
      <c r="AH53" s="786"/>
      <c r="AI53" s="576">
        <f t="shared" si="4"/>
        <v>0</v>
      </c>
      <c r="AJ53" s="811"/>
      <c r="AK53" s="578"/>
      <c r="AM53" s="578"/>
    </row>
    <row r="54" spans="1:39" s="560" customFormat="1">
      <c r="A54" s="940" t="s">
        <v>2011</v>
      </c>
      <c r="B54" s="804" t="s">
        <v>1882</v>
      </c>
      <c r="C54" s="614" t="s">
        <v>39</v>
      </c>
      <c r="D54" s="800"/>
      <c r="E54" s="800"/>
      <c r="F54" s="801"/>
      <c r="G54" s="1033">
        <f>16.66*0.25*0.5</f>
        <v>2.0825</v>
      </c>
      <c r="H54" s="800"/>
      <c r="I54" s="802"/>
      <c r="J54" s="802"/>
      <c r="K54" s="802"/>
      <c r="L54" s="802"/>
      <c r="M54" s="801"/>
      <c r="N54" s="802"/>
      <c r="O54" s="741"/>
      <c r="P54" s="802"/>
      <c r="Q54" s="741"/>
      <c r="R54" s="949"/>
      <c r="S54" s="802"/>
      <c r="T54" s="801"/>
      <c r="U54" s="802"/>
      <c r="V54" s="802"/>
      <c r="W54" s="802"/>
      <c r="X54" s="802"/>
      <c r="Y54" s="802"/>
      <c r="Z54" s="802"/>
      <c r="AA54" s="801"/>
      <c r="AB54" s="802"/>
      <c r="AC54" s="802"/>
      <c r="AD54" s="802"/>
      <c r="AE54" s="802"/>
      <c r="AF54" s="802"/>
      <c r="AG54" s="802"/>
      <c r="AH54" s="786"/>
      <c r="AI54" s="1060">
        <f t="shared" si="4"/>
        <v>2.0825</v>
      </c>
      <c r="AJ54" s="811"/>
      <c r="AK54" s="578"/>
      <c r="AM54" s="578"/>
    </row>
    <row r="55" spans="1:39" s="560" customFormat="1">
      <c r="A55" s="940" t="s">
        <v>2012</v>
      </c>
      <c r="B55" s="804" t="s">
        <v>1883</v>
      </c>
      <c r="C55" s="614" t="s">
        <v>36</v>
      </c>
      <c r="D55" s="800"/>
      <c r="E55" s="800"/>
      <c r="F55" s="801"/>
      <c r="G55" s="1033">
        <f>16.66*0.5*2</f>
        <v>16.66</v>
      </c>
      <c r="H55" s="800"/>
      <c r="I55" s="802"/>
      <c r="J55" s="802"/>
      <c r="K55" s="802"/>
      <c r="L55" s="802"/>
      <c r="M55" s="801"/>
      <c r="N55" s="802"/>
      <c r="O55" s="741"/>
      <c r="P55" s="802"/>
      <c r="Q55" s="741"/>
      <c r="R55" s="949"/>
      <c r="S55" s="802"/>
      <c r="T55" s="801"/>
      <c r="U55" s="802"/>
      <c r="V55" s="802"/>
      <c r="W55" s="802"/>
      <c r="X55" s="802"/>
      <c r="Y55" s="802"/>
      <c r="Z55" s="802"/>
      <c r="AA55" s="801"/>
      <c r="AB55" s="802"/>
      <c r="AC55" s="802"/>
      <c r="AD55" s="802"/>
      <c r="AE55" s="802"/>
      <c r="AF55" s="802"/>
      <c r="AG55" s="802"/>
      <c r="AH55" s="786"/>
      <c r="AI55" s="1060">
        <f t="shared" si="4"/>
        <v>16.66</v>
      </c>
      <c r="AJ55" s="811"/>
      <c r="AK55" s="578"/>
      <c r="AM55" s="578"/>
    </row>
    <row r="56" spans="1:39" s="560" customFormat="1" ht="13.8" thickBot="1">
      <c r="A56" s="940" t="s">
        <v>2013</v>
      </c>
      <c r="B56" s="804" t="s">
        <v>1884</v>
      </c>
      <c r="C56" s="614" t="s">
        <v>1823</v>
      </c>
      <c r="D56" s="800"/>
      <c r="E56" s="800"/>
      <c r="F56" s="801"/>
      <c r="G56" s="1033">
        <v>54.43</v>
      </c>
      <c r="H56" s="800"/>
      <c r="I56" s="802"/>
      <c r="J56" s="802"/>
      <c r="K56" s="802"/>
      <c r="L56" s="802"/>
      <c r="M56" s="801"/>
      <c r="N56" s="802"/>
      <c r="O56" s="741"/>
      <c r="P56" s="802"/>
      <c r="Q56" s="741"/>
      <c r="R56" s="949"/>
      <c r="S56" s="802"/>
      <c r="T56" s="801"/>
      <c r="U56" s="802"/>
      <c r="V56" s="802"/>
      <c r="W56" s="802"/>
      <c r="X56" s="802"/>
      <c r="Y56" s="802"/>
      <c r="Z56" s="802"/>
      <c r="AA56" s="801"/>
      <c r="AB56" s="802"/>
      <c r="AC56" s="802"/>
      <c r="AD56" s="802"/>
      <c r="AE56" s="802"/>
      <c r="AF56" s="802"/>
      <c r="AG56" s="802"/>
      <c r="AH56" s="786"/>
      <c r="AI56" s="1060">
        <f t="shared" si="4"/>
        <v>54.43</v>
      </c>
      <c r="AJ56" s="811"/>
      <c r="AK56" s="578"/>
      <c r="AM56" s="578"/>
    </row>
    <row r="57" spans="1:39" ht="13.8" thickBot="1">
      <c r="A57" s="751"/>
      <c r="B57" s="805" t="s">
        <v>1</v>
      </c>
      <c r="C57" s="614"/>
      <c r="D57" s="745"/>
      <c r="E57" s="745"/>
      <c r="F57" s="859"/>
      <c r="G57" s="745"/>
      <c r="H57" s="745"/>
      <c r="I57" s="745"/>
      <c r="J57" s="745"/>
      <c r="K57" s="745"/>
      <c r="L57" s="745"/>
      <c r="M57" s="859"/>
      <c r="N57" s="745"/>
      <c r="O57" s="745"/>
      <c r="P57" s="745"/>
      <c r="Q57" s="745"/>
      <c r="R57" s="745"/>
      <c r="S57" s="745"/>
      <c r="T57" s="859"/>
      <c r="U57" s="745"/>
      <c r="V57" s="745"/>
      <c r="W57" s="745"/>
      <c r="X57" s="745"/>
      <c r="Y57" s="745"/>
      <c r="Z57" s="745"/>
      <c r="AA57" s="859"/>
      <c r="AB57" s="745"/>
      <c r="AC57" s="745"/>
      <c r="AD57" s="754"/>
      <c r="AE57" s="754"/>
      <c r="AF57" s="754"/>
      <c r="AG57" s="1027"/>
      <c r="AH57" s="593"/>
      <c r="AI57" s="576">
        <f t="shared" si="4"/>
        <v>0</v>
      </c>
      <c r="AJ57" s="595"/>
      <c r="AL57" s="557">
        <f>AK57/10</f>
        <v>0</v>
      </c>
    </row>
    <row r="58" spans="1:39">
      <c r="A58" s="618" t="s">
        <v>287</v>
      </c>
    </row>
    <row r="60" spans="1:39">
      <c r="B60" s="624" t="s">
        <v>1787</v>
      </c>
      <c r="C60" s="596"/>
    </row>
    <row r="61" spans="1:39">
      <c r="B61" s="624" t="s">
        <v>288</v>
      </c>
      <c r="C61" s="596"/>
      <c r="O61" s="600"/>
      <c r="AL61" s="560">
        <v>1204.5</v>
      </c>
    </row>
    <row r="62" spans="1:39">
      <c r="B62" s="624"/>
      <c r="C62" s="596"/>
    </row>
    <row r="63" spans="1:39">
      <c r="B63" s="624"/>
      <c r="C63" s="596"/>
    </row>
    <row r="64" spans="1:39">
      <c r="B64" s="624"/>
      <c r="C64" s="596"/>
    </row>
    <row r="78" spans="1:37" s="559" customFormat="1">
      <c r="A78" s="618"/>
      <c r="B78" s="618"/>
      <c r="D78" s="557"/>
      <c r="E78" s="557"/>
      <c r="F78" s="557"/>
      <c r="G78" s="557"/>
      <c r="H78" s="557"/>
      <c r="I78" s="557"/>
      <c r="J78" s="557"/>
      <c r="K78" s="557"/>
      <c r="L78" s="557"/>
      <c r="M78" s="557"/>
      <c r="N78" s="557"/>
      <c r="O78" s="557"/>
      <c r="P78" s="557"/>
      <c r="Q78" s="557"/>
      <c r="R78" s="557"/>
      <c r="S78" s="557"/>
      <c r="T78" s="557"/>
      <c r="U78" s="557"/>
      <c r="V78" s="557"/>
      <c r="W78" s="557"/>
      <c r="X78" s="557"/>
      <c r="Y78" s="557"/>
      <c r="Z78" s="557"/>
      <c r="AA78" s="557"/>
      <c r="AB78" s="557"/>
      <c r="AC78" s="557"/>
      <c r="AD78" s="558"/>
      <c r="AE78" s="558"/>
      <c r="AF78" s="558"/>
      <c r="AG78" s="558"/>
      <c r="AH78" s="558"/>
      <c r="AI78" s="557"/>
      <c r="AJ78" s="557"/>
      <c r="AK78" s="557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27" orientation="portrait" r:id="rId1"/>
  <colBreaks count="1" manualBreakCount="1">
    <brk id="35" max="1048575" man="1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R85"/>
  <sheetViews>
    <sheetView workbookViewId="0"/>
  </sheetViews>
  <sheetFormatPr baseColWidth="10" defaultRowHeight="10.199999999999999"/>
  <cols>
    <col min="1" max="1" width="10.44140625" style="18" customWidth="1"/>
    <col min="2" max="2" width="63.6640625" style="18" customWidth="1"/>
    <col min="3" max="3" width="6.33203125" style="97" bestFit="1" customWidth="1"/>
    <col min="4" max="4" width="8.88671875" style="26" customWidth="1"/>
    <col min="5" max="5" width="8.5546875" style="26" customWidth="1"/>
    <col min="6" max="6" width="11.33203125" style="26" bestFit="1" customWidth="1"/>
    <col min="7" max="7" width="7.88671875" style="18" bestFit="1" customWidth="1"/>
    <col min="8" max="8" width="11.5546875" style="18" bestFit="1"/>
    <col min="9" max="9" width="8" style="49" bestFit="1" customWidth="1"/>
    <col min="10" max="10" width="11.5546875" style="18" bestFit="1"/>
    <col min="11" max="11" width="8.109375" style="18" bestFit="1" customWidth="1"/>
    <col min="12" max="12" width="11.5546875" style="18" bestFit="1"/>
    <col min="13" max="13" width="8.44140625" style="18" customWidth="1"/>
    <col min="14" max="14" width="7.33203125" style="18" bestFit="1" customWidth="1"/>
    <col min="15" max="15" width="11.5546875" style="18" bestFit="1"/>
    <col min="16" max="16" width="8.109375" style="18" customWidth="1"/>
    <col min="17" max="17" width="13" style="18" bestFit="1" customWidth="1"/>
    <col min="18" max="256" width="11.5546875" style="18"/>
    <col min="257" max="257" width="4.6640625" style="18" customWidth="1"/>
    <col min="258" max="258" width="50" style="18" customWidth="1"/>
    <col min="259" max="259" width="6.33203125" style="18" bestFit="1" customWidth="1"/>
    <col min="260" max="260" width="8.88671875" style="18" customWidth="1"/>
    <col min="261" max="261" width="8.5546875" style="18" customWidth="1"/>
    <col min="262" max="262" width="11.33203125" style="18" bestFit="1" customWidth="1"/>
    <col min="263" max="263" width="7.88671875" style="18" bestFit="1" customWidth="1"/>
    <col min="264" max="264" width="11.5546875" style="18" bestFit="1"/>
    <col min="265" max="265" width="8" style="18" bestFit="1" customWidth="1"/>
    <col min="266" max="266" width="11.5546875" style="18" bestFit="1"/>
    <col min="267" max="267" width="8.109375" style="18" bestFit="1" customWidth="1"/>
    <col min="268" max="268" width="11.5546875" style="18" bestFit="1"/>
    <col min="269" max="269" width="8.44140625" style="18" customWidth="1"/>
    <col min="270" max="270" width="7.33203125" style="18" bestFit="1" customWidth="1"/>
    <col min="271" max="271" width="11.5546875" style="18" bestFit="1"/>
    <col min="272" max="272" width="8.109375" style="18" customWidth="1"/>
    <col min="273" max="273" width="13" style="18" bestFit="1" customWidth="1"/>
    <col min="274" max="512" width="11.5546875" style="18"/>
    <col min="513" max="513" width="4.6640625" style="18" customWidth="1"/>
    <col min="514" max="514" width="50" style="18" customWidth="1"/>
    <col min="515" max="515" width="6.33203125" style="18" bestFit="1" customWidth="1"/>
    <col min="516" max="516" width="8.88671875" style="18" customWidth="1"/>
    <col min="517" max="517" width="8.5546875" style="18" customWidth="1"/>
    <col min="518" max="518" width="11.33203125" style="18" bestFit="1" customWidth="1"/>
    <col min="519" max="519" width="7.88671875" style="18" bestFit="1" customWidth="1"/>
    <col min="520" max="520" width="11.5546875" style="18" bestFit="1"/>
    <col min="521" max="521" width="8" style="18" bestFit="1" customWidth="1"/>
    <col min="522" max="522" width="11.5546875" style="18" bestFit="1"/>
    <col min="523" max="523" width="8.109375" style="18" bestFit="1" customWidth="1"/>
    <col min="524" max="524" width="11.5546875" style="18" bestFit="1"/>
    <col min="525" max="525" width="8.44140625" style="18" customWidth="1"/>
    <col min="526" max="526" width="7.33203125" style="18" bestFit="1" customWidth="1"/>
    <col min="527" max="527" width="11.5546875" style="18" bestFit="1"/>
    <col min="528" max="528" width="8.109375" style="18" customWidth="1"/>
    <col min="529" max="529" width="13" style="18" bestFit="1" customWidth="1"/>
    <col min="530" max="768" width="11.5546875" style="18"/>
    <col min="769" max="769" width="4.6640625" style="18" customWidth="1"/>
    <col min="770" max="770" width="50" style="18" customWidth="1"/>
    <col min="771" max="771" width="6.33203125" style="18" bestFit="1" customWidth="1"/>
    <col min="772" max="772" width="8.88671875" style="18" customWidth="1"/>
    <col min="773" max="773" width="8.5546875" style="18" customWidth="1"/>
    <col min="774" max="774" width="11.33203125" style="18" bestFit="1" customWidth="1"/>
    <col min="775" max="775" width="7.88671875" style="18" bestFit="1" customWidth="1"/>
    <col min="776" max="776" width="11.5546875" style="18" bestFit="1"/>
    <col min="777" max="777" width="8" style="18" bestFit="1" customWidth="1"/>
    <col min="778" max="778" width="11.5546875" style="18" bestFit="1"/>
    <col min="779" max="779" width="8.109375" style="18" bestFit="1" customWidth="1"/>
    <col min="780" max="780" width="11.5546875" style="18" bestFit="1"/>
    <col min="781" max="781" width="8.44140625" style="18" customWidth="1"/>
    <col min="782" max="782" width="7.33203125" style="18" bestFit="1" customWidth="1"/>
    <col min="783" max="783" width="11.5546875" style="18" bestFit="1"/>
    <col min="784" max="784" width="8.109375" style="18" customWidth="1"/>
    <col min="785" max="785" width="13" style="18" bestFit="1" customWidth="1"/>
    <col min="786" max="1024" width="11.5546875" style="18"/>
    <col min="1025" max="1025" width="4.6640625" style="18" customWidth="1"/>
    <col min="1026" max="1026" width="50" style="18" customWidth="1"/>
    <col min="1027" max="1027" width="6.33203125" style="18" bestFit="1" customWidth="1"/>
    <col min="1028" max="1028" width="8.88671875" style="18" customWidth="1"/>
    <col min="1029" max="1029" width="8.5546875" style="18" customWidth="1"/>
    <col min="1030" max="1030" width="11.33203125" style="18" bestFit="1" customWidth="1"/>
    <col min="1031" max="1031" width="7.88671875" style="18" bestFit="1" customWidth="1"/>
    <col min="1032" max="1032" width="11.5546875" style="18" bestFit="1"/>
    <col min="1033" max="1033" width="8" style="18" bestFit="1" customWidth="1"/>
    <col min="1034" max="1034" width="11.5546875" style="18" bestFit="1"/>
    <col min="1035" max="1035" width="8.109375" style="18" bestFit="1" customWidth="1"/>
    <col min="1036" max="1036" width="11.5546875" style="18" bestFit="1"/>
    <col min="1037" max="1037" width="8.44140625" style="18" customWidth="1"/>
    <col min="1038" max="1038" width="7.33203125" style="18" bestFit="1" customWidth="1"/>
    <col min="1039" max="1039" width="11.5546875" style="18" bestFit="1"/>
    <col min="1040" max="1040" width="8.109375" style="18" customWidth="1"/>
    <col min="1041" max="1041" width="13" style="18" bestFit="1" customWidth="1"/>
    <col min="1042" max="1280" width="11.5546875" style="18"/>
    <col min="1281" max="1281" width="4.6640625" style="18" customWidth="1"/>
    <col min="1282" max="1282" width="50" style="18" customWidth="1"/>
    <col min="1283" max="1283" width="6.33203125" style="18" bestFit="1" customWidth="1"/>
    <col min="1284" max="1284" width="8.88671875" style="18" customWidth="1"/>
    <col min="1285" max="1285" width="8.5546875" style="18" customWidth="1"/>
    <col min="1286" max="1286" width="11.33203125" style="18" bestFit="1" customWidth="1"/>
    <col min="1287" max="1287" width="7.88671875" style="18" bestFit="1" customWidth="1"/>
    <col min="1288" max="1288" width="11.5546875" style="18" bestFit="1"/>
    <col min="1289" max="1289" width="8" style="18" bestFit="1" customWidth="1"/>
    <col min="1290" max="1290" width="11.5546875" style="18" bestFit="1"/>
    <col min="1291" max="1291" width="8.109375" style="18" bestFit="1" customWidth="1"/>
    <col min="1292" max="1292" width="11.5546875" style="18" bestFit="1"/>
    <col min="1293" max="1293" width="8.44140625" style="18" customWidth="1"/>
    <col min="1294" max="1294" width="7.33203125" style="18" bestFit="1" customWidth="1"/>
    <col min="1295" max="1295" width="11.5546875" style="18" bestFit="1"/>
    <col min="1296" max="1296" width="8.109375" style="18" customWidth="1"/>
    <col min="1297" max="1297" width="13" style="18" bestFit="1" customWidth="1"/>
    <col min="1298" max="1536" width="11.5546875" style="18"/>
    <col min="1537" max="1537" width="4.6640625" style="18" customWidth="1"/>
    <col min="1538" max="1538" width="50" style="18" customWidth="1"/>
    <col min="1539" max="1539" width="6.33203125" style="18" bestFit="1" customWidth="1"/>
    <col min="1540" max="1540" width="8.88671875" style="18" customWidth="1"/>
    <col min="1541" max="1541" width="8.5546875" style="18" customWidth="1"/>
    <col min="1542" max="1542" width="11.33203125" style="18" bestFit="1" customWidth="1"/>
    <col min="1543" max="1543" width="7.88671875" style="18" bestFit="1" customWidth="1"/>
    <col min="1544" max="1544" width="11.5546875" style="18" bestFit="1"/>
    <col min="1545" max="1545" width="8" style="18" bestFit="1" customWidth="1"/>
    <col min="1546" max="1546" width="11.5546875" style="18" bestFit="1"/>
    <col min="1547" max="1547" width="8.109375" style="18" bestFit="1" customWidth="1"/>
    <col min="1548" max="1548" width="11.5546875" style="18" bestFit="1"/>
    <col min="1549" max="1549" width="8.44140625" style="18" customWidth="1"/>
    <col min="1550" max="1550" width="7.33203125" style="18" bestFit="1" customWidth="1"/>
    <col min="1551" max="1551" width="11.5546875" style="18" bestFit="1"/>
    <col min="1552" max="1552" width="8.109375" style="18" customWidth="1"/>
    <col min="1553" max="1553" width="13" style="18" bestFit="1" customWidth="1"/>
    <col min="1554" max="1792" width="11.5546875" style="18"/>
    <col min="1793" max="1793" width="4.6640625" style="18" customWidth="1"/>
    <col min="1794" max="1794" width="50" style="18" customWidth="1"/>
    <col min="1795" max="1795" width="6.33203125" style="18" bestFit="1" customWidth="1"/>
    <col min="1796" max="1796" width="8.88671875" style="18" customWidth="1"/>
    <col min="1797" max="1797" width="8.5546875" style="18" customWidth="1"/>
    <col min="1798" max="1798" width="11.33203125" style="18" bestFit="1" customWidth="1"/>
    <col min="1799" max="1799" width="7.88671875" style="18" bestFit="1" customWidth="1"/>
    <col min="1800" max="1800" width="11.5546875" style="18" bestFit="1"/>
    <col min="1801" max="1801" width="8" style="18" bestFit="1" customWidth="1"/>
    <col min="1802" max="1802" width="11.5546875" style="18" bestFit="1"/>
    <col min="1803" max="1803" width="8.109375" style="18" bestFit="1" customWidth="1"/>
    <col min="1804" max="1804" width="11.5546875" style="18" bestFit="1"/>
    <col min="1805" max="1805" width="8.44140625" style="18" customWidth="1"/>
    <col min="1806" max="1806" width="7.33203125" style="18" bestFit="1" customWidth="1"/>
    <col min="1807" max="1807" width="11.5546875" style="18" bestFit="1"/>
    <col min="1808" max="1808" width="8.109375" style="18" customWidth="1"/>
    <col min="1809" max="1809" width="13" style="18" bestFit="1" customWidth="1"/>
    <col min="1810" max="2048" width="11.5546875" style="18"/>
    <col min="2049" max="2049" width="4.6640625" style="18" customWidth="1"/>
    <col min="2050" max="2050" width="50" style="18" customWidth="1"/>
    <col min="2051" max="2051" width="6.33203125" style="18" bestFit="1" customWidth="1"/>
    <col min="2052" max="2052" width="8.88671875" style="18" customWidth="1"/>
    <col min="2053" max="2053" width="8.5546875" style="18" customWidth="1"/>
    <col min="2054" max="2054" width="11.33203125" style="18" bestFit="1" customWidth="1"/>
    <col min="2055" max="2055" width="7.88671875" style="18" bestFit="1" customWidth="1"/>
    <col min="2056" max="2056" width="11.5546875" style="18" bestFit="1"/>
    <col min="2057" max="2057" width="8" style="18" bestFit="1" customWidth="1"/>
    <col min="2058" max="2058" width="11.5546875" style="18" bestFit="1"/>
    <col min="2059" max="2059" width="8.109375" style="18" bestFit="1" customWidth="1"/>
    <col min="2060" max="2060" width="11.5546875" style="18" bestFit="1"/>
    <col min="2061" max="2061" width="8.44140625" style="18" customWidth="1"/>
    <col min="2062" max="2062" width="7.33203125" style="18" bestFit="1" customWidth="1"/>
    <col min="2063" max="2063" width="11.5546875" style="18" bestFit="1"/>
    <col min="2064" max="2064" width="8.109375" style="18" customWidth="1"/>
    <col min="2065" max="2065" width="13" style="18" bestFit="1" customWidth="1"/>
    <col min="2066" max="2304" width="11.5546875" style="18"/>
    <col min="2305" max="2305" width="4.6640625" style="18" customWidth="1"/>
    <col min="2306" max="2306" width="50" style="18" customWidth="1"/>
    <col min="2307" max="2307" width="6.33203125" style="18" bestFit="1" customWidth="1"/>
    <col min="2308" max="2308" width="8.88671875" style="18" customWidth="1"/>
    <col min="2309" max="2309" width="8.5546875" style="18" customWidth="1"/>
    <col min="2310" max="2310" width="11.33203125" style="18" bestFit="1" customWidth="1"/>
    <col min="2311" max="2311" width="7.88671875" style="18" bestFit="1" customWidth="1"/>
    <col min="2312" max="2312" width="11.5546875" style="18" bestFit="1"/>
    <col min="2313" max="2313" width="8" style="18" bestFit="1" customWidth="1"/>
    <col min="2314" max="2314" width="11.5546875" style="18" bestFit="1"/>
    <col min="2315" max="2315" width="8.109375" style="18" bestFit="1" customWidth="1"/>
    <col min="2316" max="2316" width="11.5546875" style="18" bestFit="1"/>
    <col min="2317" max="2317" width="8.44140625" style="18" customWidth="1"/>
    <col min="2318" max="2318" width="7.33203125" style="18" bestFit="1" customWidth="1"/>
    <col min="2319" max="2319" width="11.5546875" style="18" bestFit="1"/>
    <col min="2320" max="2320" width="8.109375" style="18" customWidth="1"/>
    <col min="2321" max="2321" width="13" style="18" bestFit="1" customWidth="1"/>
    <col min="2322" max="2560" width="11.5546875" style="18"/>
    <col min="2561" max="2561" width="4.6640625" style="18" customWidth="1"/>
    <col min="2562" max="2562" width="50" style="18" customWidth="1"/>
    <col min="2563" max="2563" width="6.33203125" style="18" bestFit="1" customWidth="1"/>
    <col min="2564" max="2564" width="8.88671875" style="18" customWidth="1"/>
    <col min="2565" max="2565" width="8.5546875" style="18" customWidth="1"/>
    <col min="2566" max="2566" width="11.33203125" style="18" bestFit="1" customWidth="1"/>
    <col min="2567" max="2567" width="7.88671875" style="18" bestFit="1" customWidth="1"/>
    <col min="2568" max="2568" width="11.5546875" style="18" bestFit="1"/>
    <col min="2569" max="2569" width="8" style="18" bestFit="1" customWidth="1"/>
    <col min="2570" max="2570" width="11.5546875" style="18" bestFit="1"/>
    <col min="2571" max="2571" width="8.109375" style="18" bestFit="1" customWidth="1"/>
    <col min="2572" max="2572" width="11.5546875" style="18" bestFit="1"/>
    <col min="2573" max="2573" width="8.44140625" style="18" customWidth="1"/>
    <col min="2574" max="2574" width="7.33203125" style="18" bestFit="1" customWidth="1"/>
    <col min="2575" max="2575" width="11.5546875" style="18" bestFit="1"/>
    <col min="2576" max="2576" width="8.109375" style="18" customWidth="1"/>
    <col min="2577" max="2577" width="13" style="18" bestFit="1" customWidth="1"/>
    <col min="2578" max="2816" width="11.5546875" style="18"/>
    <col min="2817" max="2817" width="4.6640625" style="18" customWidth="1"/>
    <col min="2818" max="2818" width="50" style="18" customWidth="1"/>
    <col min="2819" max="2819" width="6.33203125" style="18" bestFit="1" customWidth="1"/>
    <col min="2820" max="2820" width="8.88671875" style="18" customWidth="1"/>
    <col min="2821" max="2821" width="8.5546875" style="18" customWidth="1"/>
    <col min="2822" max="2822" width="11.33203125" style="18" bestFit="1" customWidth="1"/>
    <col min="2823" max="2823" width="7.88671875" style="18" bestFit="1" customWidth="1"/>
    <col min="2824" max="2824" width="11.5546875" style="18" bestFit="1"/>
    <col min="2825" max="2825" width="8" style="18" bestFit="1" customWidth="1"/>
    <col min="2826" max="2826" width="11.5546875" style="18" bestFit="1"/>
    <col min="2827" max="2827" width="8.109375" style="18" bestFit="1" customWidth="1"/>
    <col min="2828" max="2828" width="11.5546875" style="18" bestFit="1"/>
    <col min="2829" max="2829" width="8.44140625" style="18" customWidth="1"/>
    <col min="2830" max="2830" width="7.33203125" style="18" bestFit="1" customWidth="1"/>
    <col min="2831" max="2831" width="11.5546875" style="18" bestFit="1"/>
    <col min="2832" max="2832" width="8.109375" style="18" customWidth="1"/>
    <col min="2833" max="2833" width="13" style="18" bestFit="1" customWidth="1"/>
    <col min="2834" max="3072" width="11.5546875" style="18"/>
    <col min="3073" max="3073" width="4.6640625" style="18" customWidth="1"/>
    <col min="3074" max="3074" width="50" style="18" customWidth="1"/>
    <col min="3075" max="3075" width="6.33203125" style="18" bestFit="1" customWidth="1"/>
    <col min="3076" max="3076" width="8.88671875" style="18" customWidth="1"/>
    <col min="3077" max="3077" width="8.5546875" style="18" customWidth="1"/>
    <col min="3078" max="3078" width="11.33203125" style="18" bestFit="1" customWidth="1"/>
    <col min="3079" max="3079" width="7.88671875" style="18" bestFit="1" customWidth="1"/>
    <col min="3080" max="3080" width="11.5546875" style="18" bestFit="1"/>
    <col min="3081" max="3081" width="8" style="18" bestFit="1" customWidth="1"/>
    <col min="3082" max="3082" width="11.5546875" style="18" bestFit="1"/>
    <col min="3083" max="3083" width="8.109375" style="18" bestFit="1" customWidth="1"/>
    <col min="3084" max="3084" width="11.5546875" style="18" bestFit="1"/>
    <col min="3085" max="3085" width="8.44140625" style="18" customWidth="1"/>
    <col min="3086" max="3086" width="7.33203125" style="18" bestFit="1" customWidth="1"/>
    <col min="3087" max="3087" width="11.5546875" style="18" bestFit="1"/>
    <col min="3088" max="3088" width="8.109375" style="18" customWidth="1"/>
    <col min="3089" max="3089" width="13" style="18" bestFit="1" customWidth="1"/>
    <col min="3090" max="3328" width="11.5546875" style="18"/>
    <col min="3329" max="3329" width="4.6640625" style="18" customWidth="1"/>
    <col min="3330" max="3330" width="50" style="18" customWidth="1"/>
    <col min="3331" max="3331" width="6.33203125" style="18" bestFit="1" customWidth="1"/>
    <col min="3332" max="3332" width="8.88671875" style="18" customWidth="1"/>
    <col min="3333" max="3333" width="8.5546875" style="18" customWidth="1"/>
    <col min="3334" max="3334" width="11.33203125" style="18" bestFit="1" customWidth="1"/>
    <col min="3335" max="3335" width="7.88671875" style="18" bestFit="1" customWidth="1"/>
    <col min="3336" max="3336" width="11.5546875" style="18" bestFit="1"/>
    <col min="3337" max="3337" width="8" style="18" bestFit="1" customWidth="1"/>
    <col min="3338" max="3338" width="11.5546875" style="18" bestFit="1"/>
    <col min="3339" max="3339" width="8.109375" style="18" bestFit="1" customWidth="1"/>
    <col min="3340" max="3340" width="11.5546875" style="18" bestFit="1"/>
    <col min="3341" max="3341" width="8.44140625" style="18" customWidth="1"/>
    <col min="3342" max="3342" width="7.33203125" style="18" bestFit="1" customWidth="1"/>
    <col min="3343" max="3343" width="11.5546875" style="18" bestFit="1"/>
    <col min="3344" max="3344" width="8.109375" style="18" customWidth="1"/>
    <col min="3345" max="3345" width="13" style="18" bestFit="1" customWidth="1"/>
    <col min="3346" max="3584" width="11.5546875" style="18"/>
    <col min="3585" max="3585" width="4.6640625" style="18" customWidth="1"/>
    <col min="3586" max="3586" width="50" style="18" customWidth="1"/>
    <col min="3587" max="3587" width="6.33203125" style="18" bestFit="1" customWidth="1"/>
    <col min="3588" max="3588" width="8.88671875" style="18" customWidth="1"/>
    <col min="3589" max="3589" width="8.5546875" style="18" customWidth="1"/>
    <col min="3590" max="3590" width="11.33203125" style="18" bestFit="1" customWidth="1"/>
    <col min="3591" max="3591" width="7.88671875" style="18" bestFit="1" customWidth="1"/>
    <col min="3592" max="3592" width="11.5546875" style="18" bestFit="1"/>
    <col min="3593" max="3593" width="8" style="18" bestFit="1" customWidth="1"/>
    <col min="3594" max="3594" width="11.5546875" style="18" bestFit="1"/>
    <col min="3595" max="3595" width="8.109375" style="18" bestFit="1" customWidth="1"/>
    <col min="3596" max="3596" width="11.5546875" style="18" bestFit="1"/>
    <col min="3597" max="3597" width="8.44140625" style="18" customWidth="1"/>
    <col min="3598" max="3598" width="7.33203125" style="18" bestFit="1" customWidth="1"/>
    <col min="3599" max="3599" width="11.5546875" style="18" bestFit="1"/>
    <col min="3600" max="3600" width="8.109375" style="18" customWidth="1"/>
    <col min="3601" max="3601" width="13" style="18" bestFit="1" customWidth="1"/>
    <col min="3602" max="3840" width="11.5546875" style="18"/>
    <col min="3841" max="3841" width="4.6640625" style="18" customWidth="1"/>
    <col min="3842" max="3842" width="50" style="18" customWidth="1"/>
    <col min="3843" max="3843" width="6.33203125" style="18" bestFit="1" customWidth="1"/>
    <col min="3844" max="3844" width="8.88671875" style="18" customWidth="1"/>
    <col min="3845" max="3845" width="8.5546875" style="18" customWidth="1"/>
    <col min="3846" max="3846" width="11.33203125" style="18" bestFit="1" customWidth="1"/>
    <col min="3847" max="3847" width="7.88671875" style="18" bestFit="1" customWidth="1"/>
    <col min="3848" max="3848" width="11.5546875" style="18" bestFit="1"/>
    <col min="3849" max="3849" width="8" style="18" bestFit="1" customWidth="1"/>
    <col min="3850" max="3850" width="11.5546875" style="18" bestFit="1"/>
    <col min="3851" max="3851" width="8.109375" style="18" bestFit="1" customWidth="1"/>
    <col min="3852" max="3852" width="11.5546875" style="18" bestFit="1"/>
    <col min="3853" max="3853" width="8.44140625" style="18" customWidth="1"/>
    <col min="3854" max="3854" width="7.33203125" style="18" bestFit="1" customWidth="1"/>
    <col min="3855" max="3855" width="11.5546875" style="18" bestFit="1"/>
    <col min="3856" max="3856" width="8.109375" style="18" customWidth="1"/>
    <col min="3857" max="3857" width="13" style="18" bestFit="1" customWidth="1"/>
    <col min="3858" max="4096" width="11.5546875" style="18"/>
    <col min="4097" max="4097" width="4.6640625" style="18" customWidth="1"/>
    <col min="4098" max="4098" width="50" style="18" customWidth="1"/>
    <col min="4099" max="4099" width="6.33203125" style="18" bestFit="1" customWidth="1"/>
    <col min="4100" max="4100" width="8.88671875" style="18" customWidth="1"/>
    <col min="4101" max="4101" width="8.5546875" style="18" customWidth="1"/>
    <col min="4102" max="4102" width="11.33203125" style="18" bestFit="1" customWidth="1"/>
    <col min="4103" max="4103" width="7.88671875" style="18" bestFit="1" customWidth="1"/>
    <col min="4104" max="4104" width="11.5546875" style="18" bestFit="1"/>
    <col min="4105" max="4105" width="8" style="18" bestFit="1" customWidth="1"/>
    <col min="4106" max="4106" width="11.5546875" style="18" bestFit="1"/>
    <col min="4107" max="4107" width="8.109375" style="18" bestFit="1" customWidth="1"/>
    <col min="4108" max="4108" width="11.5546875" style="18" bestFit="1"/>
    <col min="4109" max="4109" width="8.44140625" style="18" customWidth="1"/>
    <col min="4110" max="4110" width="7.33203125" style="18" bestFit="1" customWidth="1"/>
    <col min="4111" max="4111" width="11.5546875" style="18" bestFit="1"/>
    <col min="4112" max="4112" width="8.109375" style="18" customWidth="1"/>
    <col min="4113" max="4113" width="13" style="18" bestFit="1" customWidth="1"/>
    <col min="4114" max="4352" width="11.5546875" style="18"/>
    <col min="4353" max="4353" width="4.6640625" style="18" customWidth="1"/>
    <col min="4354" max="4354" width="50" style="18" customWidth="1"/>
    <col min="4355" max="4355" width="6.33203125" style="18" bestFit="1" customWidth="1"/>
    <col min="4356" max="4356" width="8.88671875" style="18" customWidth="1"/>
    <col min="4357" max="4357" width="8.5546875" style="18" customWidth="1"/>
    <col min="4358" max="4358" width="11.33203125" style="18" bestFit="1" customWidth="1"/>
    <col min="4359" max="4359" width="7.88671875" style="18" bestFit="1" customWidth="1"/>
    <col min="4360" max="4360" width="11.5546875" style="18" bestFit="1"/>
    <col min="4361" max="4361" width="8" style="18" bestFit="1" customWidth="1"/>
    <col min="4362" max="4362" width="11.5546875" style="18" bestFit="1"/>
    <col min="4363" max="4363" width="8.109375" style="18" bestFit="1" customWidth="1"/>
    <col min="4364" max="4364" width="11.5546875" style="18" bestFit="1"/>
    <col min="4365" max="4365" width="8.44140625" style="18" customWidth="1"/>
    <col min="4366" max="4366" width="7.33203125" style="18" bestFit="1" customWidth="1"/>
    <col min="4367" max="4367" width="11.5546875" style="18" bestFit="1"/>
    <col min="4368" max="4368" width="8.109375" style="18" customWidth="1"/>
    <col min="4369" max="4369" width="13" style="18" bestFit="1" customWidth="1"/>
    <col min="4370" max="4608" width="11.5546875" style="18"/>
    <col min="4609" max="4609" width="4.6640625" style="18" customWidth="1"/>
    <col min="4610" max="4610" width="50" style="18" customWidth="1"/>
    <col min="4611" max="4611" width="6.33203125" style="18" bestFit="1" customWidth="1"/>
    <col min="4612" max="4612" width="8.88671875" style="18" customWidth="1"/>
    <col min="4613" max="4613" width="8.5546875" style="18" customWidth="1"/>
    <col min="4614" max="4614" width="11.33203125" style="18" bestFit="1" customWidth="1"/>
    <col min="4615" max="4615" width="7.88671875" style="18" bestFit="1" customWidth="1"/>
    <col min="4616" max="4616" width="11.5546875" style="18" bestFit="1"/>
    <col min="4617" max="4617" width="8" style="18" bestFit="1" customWidth="1"/>
    <col min="4618" max="4618" width="11.5546875" style="18" bestFit="1"/>
    <col min="4619" max="4619" width="8.109375" style="18" bestFit="1" customWidth="1"/>
    <col min="4620" max="4620" width="11.5546875" style="18" bestFit="1"/>
    <col min="4621" max="4621" width="8.44140625" style="18" customWidth="1"/>
    <col min="4622" max="4622" width="7.33203125" style="18" bestFit="1" customWidth="1"/>
    <col min="4623" max="4623" width="11.5546875" style="18" bestFit="1"/>
    <col min="4624" max="4624" width="8.109375" style="18" customWidth="1"/>
    <col min="4625" max="4625" width="13" style="18" bestFit="1" customWidth="1"/>
    <col min="4626" max="4864" width="11.5546875" style="18"/>
    <col min="4865" max="4865" width="4.6640625" style="18" customWidth="1"/>
    <col min="4866" max="4866" width="50" style="18" customWidth="1"/>
    <col min="4867" max="4867" width="6.33203125" style="18" bestFit="1" customWidth="1"/>
    <col min="4868" max="4868" width="8.88671875" style="18" customWidth="1"/>
    <col min="4869" max="4869" width="8.5546875" style="18" customWidth="1"/>
    <col min="4870" max="4870" width="11.33203125" style="18" bestFit="1" customWidth="1"/>
    <col min="4871" max="4871" width="7.88671875" style="18" bestFit="1" customWidth="1"/>
    <col min="4872" max="4872" width="11.5546875" style="18" bestFit="1"/>
    <col min="4873" max="4873" width="8" style="18" bestFit="1" customWidth="1"/>
    <col min="4874" max="4874" width="11.5546875" style="18" bestFit="1"/>
    <col min="4875" max="4875" width="8.109375" style="18" bestFit="1" customWidth="1"/>
    <col min="4876" max="4876" width="11.5546875" style="18" bestFit="1"/>
    <col min="4877" max="4877" width="8.44140625" style="18" customWidth="1"/>
    <col min="4878" max="4878" width="7.33203125" style="18" bestFit="1" customWidth="1"/>
    <col min="4879" max="4879" width="11.5546875" style="18" bestFit="1"/>
    <col min="4880" max="4880" width="8.109375" style="18" customWidth="1"/>
    <col min="4881" max="4881" width="13" style="18" bestFit="1" customWidth="1"/>
    <col min="4882" max="5120" width="11.5546875" style="18"/>
    <col min="5121" max="5121" width="4.6640625" style="18" customWidth="1"/>
    <col min="5122" max="5122" width="50" style="18" customWidth="1"/>
    <col min="5123" max="5123" width="6.33203125" style="18" bestFit="1" customWidth="1"/>
    <col min="5124" max="5124" width="8.88671875" style="18" customWidth="1"/>
    <col min="5125" max="5125" width="8.5546875" style="18" customWidth="1"/>
    <col min="5126" max="5126" width="11.33203125" style="18" bestFit="1" customWidth="1"/>
    <col min="5127" max="5127" width="7.88671875" style="18" bestFit="1" customWidth="1"/>
    <col min="5128" max="5128" width="11.5546875" style="18" bestFit="1"/>
    <col min="5129" max="5129" width="8" style="18" bestFit="1" customWidth="1"/>
    <col min="5130" max="5130" width="11.5546875" style="18" bestFit="1"/>
    <col min="5131" max="5131" width="8.109375" style="18" bestFit="1" customWidth="1"/>
    <col min="5132" max="5132" width="11.5546875" style="18" bestFit="1"/>
    <col min="5133" max="5133" width="8.44140625" style="18" customWidth="1"/>
    <col min="5134" max="5134" width="7.33203125" style="18" bestFit="1" customWidth="1"/>
    <col min="5135" max="5135" width="11.5546875" style="18" bestFit="1"/>
    <col min="5136" max="5136" width="8.109375" style="18" customWidth="1"/>
    <col min="5137" max="5137" width="13" style="18" bestFit="1" customWidth="1"/>
    <col min="5138" max="5376" width="11.5546875" style="18"/>
    <col min="5377" max="5377" width="4.6640625" style="18" customWidth="1"/>
    <col min="5378" max="5378" width="50" style="18" customWidth="1"/>
    <col min="5379" max="5379" width="6.33203125" style="18" bestFit="1" customWidth="1"/>
    <col min="5380" max="5380" width="8.88671875" style="18" customWidth="1"/>
    <col min="5381" max="5381" width="8.5546875" style="18" customWidth="1"/>
    <col min="5382" max="5382" width="11.33203125" style="18" bestFit="1" customWidth="1"/>
    <col min="5383" max="5383" width="7.88671875" style="18" bestFit="1" customWidth="1"/>
    <col min="5384" max="5384" width="11.5546875" style="18" bestFit="1"/>
    <col min="5385" max="5385" width="8" style="18" bestFit="1" customWidth="1"/>
    <col min="5386" max="5386" width="11.5546875" style="18" bestFit="1"/>
    <col min="5387" max="5387" width="8.109375" style="18" bestFit="1" customWidth="1"/>
    <col min="5388" max="5388" width="11.5546875" style="18" bestFit="1"/>
    <col min="5389" max="5389" width="8.44140625" style="18" customWidth="1"/>
    <col min="5390" max="5390" width="7.33203125" style="18" bestFit="1" customWidth="1"/>
    <col min="5391" max="5391" width="11.5546875" style="18" bestFit="1"/>
    <col min="5392" max="5392" width="8.109375" style="18" customWidth="1"/>
    <col min="5393" max="5393" width="13" style="18" bestFit="1" customWidth="1"/>
    <col min="5394" max="5632" width="11.5546875" style="18"/>
    <col min="5633" max="5633" width="4.6640625" style="18" customWidth="1"/>
    <col min="5634" max="5634" width="50" style="18" customWidth="1"/>
    <col min="5635" max="5635" width="6.33203125" style="18" bestFit="1" customWidth="1"/>
    <col min="5636" max="5636" width="8.88671875" style="18" customWidth="1"/>
    <col min="5637" max="5637" width="8.5546875" style="18" customWidth="1"/>
    <col min="5638" max="5638" width="11.33203125" style="18" bestFit="1" customWidth="1"/>
    <col min="5639" max="5639" width="7.88671875" style="18" bestFit="1" customWidth="1"/>
    <col min="5640" max="5640" width="11.5546875" style="18" bestFit="1"/>
    <col min="5641" max="5641" width="8" style="18" bestFit="1" customWidth="1"/>
    <col min="5642" max="5642" width="11.5546875" style="18" bestFit="1"/>
    <col min="5643" max="5643" width="8.109375" style="18" bestFit="1" customWidth="1"/>
    <col min="5644" max="5644" width="11.5546875" style="18" bestFit="1"/>
    <col min="5645" max="5645" width="8.44140625" style="18" customWidth="1"/>
    <col min="5646" max="5646" width="7.33203125" style="18" bestFit="1" customWidth="1"/>
    <col min="5647" max="5647" width="11.5546875" style="18" bestFit="1"/>
    <col min="5648" max="5648" width="8.109375" style="18" customWidth="1"/>
    <col min="5649" max="5649" width="13" style="18" bestFit="1" customWidth="1"/>
    <col min="5650" max="5888" width="11.5546875" style="18"/>
    <col min="5889" max="5889" width="4.6640625" style="18" customWidth="1"/>
    <col min="5890" max="5890" width="50" style="18" customWidth="1"/>
    <col min="5891" max="5891" width="6.33203125" style="18" bestFit="1" customWidth="1"/>
    <col min="5892" max="5892" width="8.88671875" style="18" customWidth="1"/>
    <col min="5893" max="5893" width="8.5546875" style="18" customWidth="1"/>
    <col min="5894" max="5894" width="11.33203125" style="18" bestFit="1" customWidth="1"/>
    <col min="5895" max="5895" width="7.88671875" style="18" bestFit="1" customWidth="1"/>
    <col min="5896" max="5896" width="11.5546875" style="18" bestFit="1"/>
    <col min="5897" max="5897" width="8" style="18" bestFit="1" customWidth="1"/>
    <col min="5898" max="5898" width="11.5546875" style="18" bestFit="1"/>
    <col min="5899" max="5899" width="8.109375" style="18" bestFit="1" customWidth="1"/>
    <col min="5900" max="5900" width="11.5546875" style="18" bestFit="1"/>
    <col min="5901" max="5901" width="8.44140625" style="18" customWidth="1"/>
    <col min="5902" max="5902" width="7.33203125" style="18" bestFit="1" customWidth="1"/>
    <col min="5903" max="5903" width="11.5546875" style="18" bestFit="1"/>
    <col min="5904" max="5904" width="8.109375" style="18" customWidth="1"/>
    <col min="5905" max="5905" width="13" style="18" bestFit="1" customWidth="1"/>
    <col min="5906" max="6144" width="11.5546875" style="18"/>
    <col min="6145" max="6145" width="4.6640625" style="18" customWidth="1"/>
    <col min="6146" max="6146" width="50" style="18" customWidth="1"/>
    <col min="6147" max="6147" width="6.33203125" style="18" bestFit="1" customWidth="1"/>
    <col min="6148" max="6148" width="8.88671875" style="18" customWidth="1"/>
    <col min="6149" max="6149" width="8.5546875" style="18" customWidth="1"/>
    <col min="6150" max="6150" width="11.33203125" style="18" bestFit="1" customWidth="1"/>
    <col min="6151" max="6151" width="7.88671875" style="18" bestFit="1" customWidth="1"/>
    <col min="6152" max="6152" width="11.5546875" style="18" bestFit="1"/>
    <col min="6153" max="6153" width="8" style="18" bestFit="1" customWidth="1"/>
    <col min="6154" max="6154" width="11.5546875" style="18" bestFit="1"/>
    <col min="6155" max="6155" width="8.109375" style="18" bestFit="1" customWidth="1"/>
    <col min="6156" max="6156" width="11.5546875" style="18" bestFit="1"/>
    <col min="6157" max="6157" width="8.44140625" style="18" customWidth="1"/>
    <col min="6158" max="6158" width="7.33203125" style="18" bestFit="1" customWidth="1"/>
    <col min="6159" max="6159" width="11.5546875" style="18" bestFit="1"/>
    <col min="6160" max="6160" width="8.109375" style="18" customWidth="1"/>
    <col min="6161" max="6161" width="13" style="18" bestFit="1" customWidth="1"/>
    <col min="6162" max="6400" width="11.5546875" style="18"/>
    <col min="6401" max="6401" width="4.6640625" style="18" customWidth="1"/>
    <col min="6402" max="6402" width="50" style="18" customWidth="1"/>
    <col min="6403" max="6403" width="6.33203125" style="18" bestFit="1" customWidth="1"/>
    <col min="6404" max="6404" width="8.88671875" style="18" customWidth="1"/>
    <col min="6405" max="6405" width="8.5546875" style="18" customWidth="1"/>
    <col min="6406" max="6406" width="11.33203125" style="18" bestFit="1" customWidth="1"/>
    <col min="6407" max="6407" width="7.88671875" style="18" bestFit="1" customWidth="1"/>
    <col min="6408" max="6408" width="11.5546875" style="18" bestFit="1"/>
    <col min="6409" max="6409" width="8" style="18" bestFit="1" customWidth="1"/>
    <col min="6410" max="6410" width="11.5546875" style="18" bestFit="1"/>
    <col min="6411" max="6411" width="8.109375" style="18" bestFit="1" customWidth="1"/>
    <col min="6412" max="6412" width="11.5546875" style="18" bestFit="1"/>
    <col min="6413" max="6413" width="8.44140625" style="18" customWidth="1"/>
    <col min="6414" max="6414" width="7.33203125" style="18" bestFit="1" customWidth="1"/>
    <col min="6415" max="6415" width="11.5546875" style="18" bestFit="1"/>
    <col min="6416" max="6416" width="8.109375" style="18" customWidth="1"/>
    <col min="6417" max="6417" width="13" style="18" bestFit="1" customWidth="1"/>
    <col min="6418" max="6656" width="11.5546875" style="18"/>
    <col min="6657" max="6657" width="4.6640625" style="18" customWidth="1"/>
    <col min="6658" max="6658" width="50" style="18" customWidth="1"/>
    <col min="6659" max="6659" width="6.33203125" style="18" bestFit="1" customWidth="1"/>
    <col min="6660" max="6660" width="8.88671875" style="18" customWidth="1"/>
    <col min="6661" max="6661" width="8.5546875" style="18" customWidth="1"/>
    <col min="6662" max="6662" width="11.33203125" style="18" bestFit="1" customWidth="1"/>
    <col min="6663" max="6663" width="7.88671875" style="18" bestFit="1" customWidth="1"/>
    <col min="6664" max="6664" width="11.5546875" style="18" bestFit="1"/>
    <col min="6665" max="6665" width="8" style="18" bestFit="1" customWidth="1"/>
    <col min="6666" max="6666" width="11.5546875" style="18" bestFit="1"/>
    <col min="6667" max="6667" width="8.109375" style="18" bestFit="1" customWidth="1"/>
    <col min="6668" max="6668" width="11.5546875" style="18" bestFit="1"/>
    <col min="6669" max="6669" width="8.44140625" style="18" customWidth="1"/>
    <col min="6670" max="6670" width="7.33203125" style="18" bestFit="1" customWidth="1"/>
    <col min="6671" max="6671" width="11.5546875" style="18" bestFit="1"/>
    <col min="6672" max="6672" width="8.109375" style="18" customWidth="1"/>
    <col min="6673" max="6673" width="13" style="18" bestFit="1" customWidth="1"/>
    <col min="6674" max="6912" width="11.5546875" style="18"/>
    <col min="6913" max="6913" width="4.6640625" style="18" customWidth="1"/>
    <col min="6914" max="6914" width="50" style="18" customWidth="1"/>
    <col min="6915" max="6915" width="6.33203125" style="18" bestFit="1" customWidth="1"/>
    <col min="6916" max="6916" width="8.88671875" style="18" customWidth="1"/>
    <col min="6917" max="6917" width="8.5546875" style="18" customWidth="1"/>
    <col min="6918" max="6918" width="11.33203125" style="18" bestFit="1" customWidth="1"/>
    <col min="6919" max="6919" width="7.88671875" style="18" bestFit="1" customWidth="1"/>
    <col min="6920" max="6920" width="11.5546875" style="18" bestFit="1"/>
    <col min="6921" max="6921" width="8" style="18" bestFit="1" customWidth="1"/>
    <col min="6922" max="6922" width="11.5546875" style="18" bestFit="1"/>
    <col min="6923" max="6923" width="8.109375" style="18" bestFit="1" customWidth="1"/>
    <col min="6924" max="6924" width="11.5546875" style="18" bestFit="1"/>
    <col min="6925" max="6925" width="8.44140625" style="18" customWidth="1"/>
    <col min="6926" max="6926" width="7.33203125" style="18" bestFit="1" customWidth="1"/>
    <col min="6927" max="6927" width="11.5546875" style="18" bestFit="1"/>
    <col min="6928" max="6928" width="8.109375" style="18" customWidth="1"/>
    <col min="6929" max="6929" width="13" style="18" bestFit="1" customWidth="1"/>
    <col min="6930" max="7168" width="11.5546875" style="18"/>
    <col min="7169" max="7169" width="4.6640625" style="18" customWidth="1"/>
    <col min="7170" max="7170" width="50" style="18" customWidth="1"/>
    <col min="7171" max="7171" width="6.33203125" style="18" bestFit="1" customWidth="1"/>
    <col min="7172" max="7172" width="8.88671875" style="18" customWidth="1"/>
    <col min="7173" max="7173" width="8.5546875" style="18" customWidth="1"/>
    <col min="7174" max="7174" width="11.33203125" style="18" bestFit="1" customWidth="1"/>
    <col min="7175" max="7175" width="7.88671875" style="18" bestFit="1" customWidth="1"/>
    <col min="7176" max="7176" width="11.5546875" style="18" bestFit="1"/>
    <col min="7177" max="7177" width="8" style="18" bestFit="1" customWidth="1"/>
    <col min="7178" max="7178" width="11.5546875" style="18" bestFit="1"/>
    <col min="7179" max="7179" width="8.109375" style="18" bestFit="1" customWidth="1"/>
    <col min="7180" max="7180" width="11.5546875" style="18" bestFit="1"/>
    <col min="7181" max="7181" width="8.44140625" style="18" customWidth="1"/>
    <col min="7182" max="7182" width="7.33203125" style="18" bestFit="1" customWidth="1"/>
    <col min="7183" max="7183" width="11.5546875" style="18" bestFit="1"/>
    <col min="7184" max="7184" width="8.109375" style="18" customWidth="1"/>
    <col min="7185" max="7185" width="13" style="18" bestFit="1" customWidth="1"/>
    <col min="7186" max="7424" width="11.5546875" style="18"/>
    <col min="7425" max="7425" width="4.6640625" style="18" customWidth="1"/>
    <col min="7426" max="7426" width="50" style="18" customWidth="1"/>
    <col min="7427" max="7427" width="6.33203125" style="18" bestFit="1" customWidth="1"/>
    <col min="7428" max="7428" width="8.88671875" style="18" customWidth="1"/>
    <col min="7429" max="7429" width="8.5546875" style="18" customWidth="1"/>
    <col min="7430" max="7430" width="11.33203125" style="18" bestFit="1" customWidth="1"/>
    <col min="7431" max="7431" width="7.88671875" style="18" bestFit="1" customWidth="1"/>
    <col min="7432" max="7432" width="11.5546875" style="18" bestFit="1"/>
    <col min="7433" max="7433" width="8" style="18" bestFit="1" customWidth="1"/>
    <col min="7434" max="7434" width="11.5546875" style="18" bestFit="1"/>
    <col min="7435" max="7435" width="8.109375" style="18" bestFit="1" customWidth="1"/>
    <col min="7436" max="7436" width="11.5546875" style="18" bestFit="1"/>
    <col min="7437" max="7437" width="8.44140625" style="18" customWidth="1"/>
    <col min="7438" max="7438" width="7.33203125" style="18" bestFit="1" customWidth="1"/>
    <col min="7439" max="7439" width="11.5546875" style="18" bestFit="1"/>
    <col min="7440" max="7440" width="8.109375" style="18" customWidth="1"/>
    <col min="7441" max="7441" width="13" style="18" bestFit="1" customWidth="1"/>
    <col min="7442" max="7680" width="11.5546875" style="18"/>
    <col min="7681" max="7681" width="4.6640625" style="18" customWidth="1"/>
    <col min="7682" max="7682" width="50" style="18" customWidth="1"/>
    <col min="7683" max="7683" width="6.33203125" style="18" bestFit="1" customWidth="1"/>
    <col min="7684" max="7684" width="8.88671875" style="18" customWidth="1"/>
    <col min="7685" max="7685" width="8.5546875" style="18" customWidth="1"/>
    <col min="7686" max="7686" width="11.33203125" style="18" bestFit="1" customWidth="1"/>
    <col min="7687" max="7687" width="7.88671875" style="18" bestFit="1" customWidth="1"/>
    <col min="7688" max="7688" width="11.5546875" style="18" bestFit="1"/>
    <col min="7689" max="7689" width="8" style="18" bestFit="1" customWidth="1"/>
    <col min="7690" max="7690" width="11.5546875" style="18" bestFit="1"/>
    <col min="7691" max="7691" width="8.109375" style="18" bestFit="1" customWidth="1"/>
    <col min="7692" max="7692" width="11.5546875" style="18" bestFit="1"/>
    <col min="7693" max="7693" width="8.44140625" style="18" customWidth="1"/>
    <col min="7694" max="7694" width="7.33203125" style="18" bestFit="1" customWidth="1"/>
    <col min="7695" max="7695" width="11.5546875" style="18" bestFit="1"/>
    <col min="7696" max="7696" width="8.109375" style="18" customWidth="1"/>
    <col min="7697" max="7697" width="13" style="18" bestFit="1" customWidth="1"/>
    <col min="7698" max="7936" width="11.5546875" style="18"/>
    <col min="7937" max="7937" width="4.6640625" style="18" customWidth="1"/>
    <col min="7938" max="7938" width="50" style="18" customWidth="1"/>
    <col min="7939" max="7939" width="6.33203125" style="18" bestFit="1" customWidth="1"/>
    <col min="7940" max="7940" width="8.88671875" style="18" customWidth="1"/>
    <col min="7941" max="7941" width="8.5546875" style="18" customWidth="1"/>
    <col min="7942" max="7942" width="11.33203125" style="18" bestFit="1" customWidth="1"/>
    <col min="7943" max="7943" width="7.88671875" style="18" bestFit="1" customWidth="1"/>
    <col min="7944" max="7944" width="11.5546875" style="18" bestFit="1"/>
    <col min="7945" max="7945" width="8" style="18" bestFit="1" customWidth="1"/>
    <col min="7946" max="7946" width="11.5546875" style="18" bestFit="1"/>
    <col min="7947" max="7947" width="8.109375" style="18" bestFit="1" customWidth="1"/>
    <col min="7948" max="7948" width="11.5546875" style="18" bestFit="1"/>
    <col min="7949" max="7949" width="8.44140625" style="18" customWidth="1"/>
    <col min="7950" max="7950" width="7.33203125" style="18" bestFit="1" customWidth="1"/>
    <col min="7951" max="7951" width="11.5546875" style="18" bestFit="1"/>
    <col min="7952" max="7952" width="8.109375" style="18" customWidth="1"/>
    <col min="7953" max="7953" width="13" style="18" bestFit="1" customWidth="1"/>
    <col min="7954" max="8192" width="11.5546875" style="18"/>
    <col min="8193" max="8193" width="4.6640625" style="18" customWidth="1"/>
    <col min="8194" max="8194" width="50" style="18" customWidth="1"/>
    <col min="8195" max="8195" width="6.33203125" style="18" bestFit="1" customWidth="1"/>
    <col min="8196" max="8196" width="8.88671875" style="18" customWidth="1"/>
    <col min="8197" max="8197" width="8.5546875" style="18" customWidth="1"/>
    <col min="8198" max="8198" width="11.33203125" style="18" bestFit="1" customWidth="1"/>
    <col min="8199" max="8199" width="7.88671875" style="18" bestFit="1" customWidth="1"/>
    <col min="8200" max="8200" width="11.5546875" style="18" bestFit="1"/>
    <col min="8201" max="8201" width="8" style="18" bestFit="1" customWidth="1"/>
    <col min="8202" max="8202" width="11.5546875" style="18" bestFit="1"/>
    <col min="8203" max="8203" width="8.109375" style="18" bestFit="1" customWidth="1"/>
    <col min="8204" max="8204" width="11.5546875" style="18" bestFit="1"/>
    <col min="8205" max="8205" width="8.44140625" style="18" customWidth="1"/>
    <col min="8206" max="8206" width="7.33203125" style="18" bestFit="1" customWidth="1"/>
    <col min="8207" max="8207" width="11.5546875" style="18" bestFit="1"/>
    <col min="8208" max="8208" width="8.109375" style="18" customWidth="1"/>
    <col min="8209" max="8209" width="13" style="18" bestFit="1" customWidth="1"/>
    <col min="8210" max="8448" width="11.5546875" style="18"/>
    <col min="8449" max="8449" width="4.6640625" style="18" customWidth="1"/>
    <col min="8450" max="8450" width="50" style="18" customWidth="1"/>
    <col min="8451" max="8451" width="6.33203125" style="18" bestFit="1" customWidth="1"/>
    <col min="8452" max="8452" width="8.88671875" style="18" customWidth="1"/>
    <col min="8453" max="8453" width="8.5546875" style="18" customWidth="1"/>
    <col min="8454" max="8454" width="11.33203125" style="18" bestFit="1" customWidth="1"/>
    <col min="8455" max="8455" width="7.88671875" style="18" bestFit="1" customWidth="1"/>
    <col min="8456" max="8456" width="11.5546875" style="18" bestFit="1"/>
    <col min="8457" max="8457" width="8" style="18" bestFit="1" customWidth="1"/>
    <col min="8458" max="8458" width="11.5546875" style="18" bestFit="1"/>
    <col min="8459" max="8459" width="8.109375" style="18" bestFit="1" customWidth="1"/>
    <col min="8460" max="8460" width="11.5546875" style="18" bestFit="1"/>
    <col min="8461" max="8461" width="8.44140625" style="18" customWidth="1"/>
    <col min="8462" max="8462" width="7.33203125" style="18" bestFit="1" customWidth="1"/>
    <col min="8463" max="8463" width="11.5546875" style="18" bestFit="1"/>
    <col min="8464" max="8464" width="8.109375" style="18" customWidth="1"/>
    <col min="8465" max="8465" width="13" style="18" bestFit="1" customWidth="1"/>
    <col min="8466" max="8704" width="11.5546875" style="18"/>
    <col min="8705" max="8705" width="4.6640625" style="18" customWidth="1"/>
    <col min="8706" max="8706" width="50" style="18" customWidth="1"/>
    <col min="8707" max="8707" width="6.33203125" style="18" bestFit="1" customWidth="1"/>
    <col min="8708" max="8708" width="8.88671875" style="18" customWidth="1"/>
    <col min="8709" max="8709" width="8.5546875" style="18" customWidth="1"/>
    <col min="8710" max="8710" width="11.33203125" style="18" bestFit="1" customWidth="1"/>
    <col min="8711" max="8711" width="7.88671875" style="18" bestFit="1" customWidth="1"/>
    <col min="8712" max="8712" width="11.5546875" style="18" bestFit="1"/>
    <col min="8713" max="8713" width="8" style="18" bestFit="1" customWidth="1"/>
    <col min="8714" max="8714" width="11.5546875" style="18" bestFit="1"/>
    <col min="8715" max="8715" width="8.109375" style="18" bestFit="1" customWidth="1"/>
    <col min="8716" max="8716" width="11.5546875" style="18" bestFit="1"/>
    <col min="8717" max="8717" width="8.44140625" style="18" customWidth="1"/>
    <col min="8718" max="8718" width="7.33203125" style="18" bestFit="1" customWidth="1"/>
    <col min="8719" max="8719" width="11.5546875" style="18" bestFit="1"/>
    <col min="8720" max="8720" width="8.109375" style="18" customWidth="1"/>
    <col min="8721" max="8721" width="13" style="18" bestFit="1" customWidth="1"/>
    <col min="8722" max="8960" width="11.5546875" style="18"/>
    <col min="8961" max="8961" width="4.6640625" style="18" customWidth="1"/>
    <col min="8962" max="8962" width="50" style="18" customWidth="1"/>
    <col min="8963" max="8963" width="6.33203125" style="18" bestFit="1" customWidth="1"/>
    <col min="8964" max="8964" width="8.88671875" style="18" customWidth="1"/>
    <col min="8965" max="8965" width="8.5546875" style="18" customWidth="1"/>
    <col min="8966" max="8966" width="11.33203125" style="18" bestFit="1" customWidth="1"/>
    <col min="8967" max="8967" width="7.88671875" style="18" bestFit="1" customWidth="1"/>
    <col min="8968" max="8968" width="11.5546875" style="18" bestFit="1"/>
    <col min="8969" max="8969" width="8" style="18" bestFit="1" customWidth="1"/>
    <col min="8970" max="8970" width="11.5546875" style="18" bestFit="1"/>
    <col min="8971" max="8971" width="8.109375" style="18" bestFit="1" customWidth="1"/>
    <col min="8972" max="8972" width="11.5546875" style="18" bestFit="1"/>
    <col min="8973" max="8973" width="8.44140625" style="18" customWidth="1"/>
    <col min="8974" max="8974" width="7.33203125" style="18" bestFit="1" customWidth="1"/>
    <col min="8975" max="8975" width="11.5546875" style="18" bestFit="1"/>
    <col min="8976" max="8976" width="8.109375" style="18" customWidth="1"/>
    <col min="8977" max="8977" width="13" style="18" bestFit="1" customWidth="1"/>
    <col min="8978" max="9216" width="11.5546875" style="18"/>
    <col min="9217" max="9217" width="4.6640625" style="18" customWidth="1"/>
    <col min="9218" max="9218" width="50" style="18" customWidth="1"/>
    <col min="9219" max="9219" width="6.33203125" style="18" bestFit="1" customWidth="1"/>
    <col min="9220" max="9220" width="8.88671875" style="18" customWidth="1"/>
    <col min="9221" max="9221" width="8.5546875" style="18" customWidth="1"/>
    <col min="9222" max="9222" width="11.33203125" style="18" bestFit="1" customWidth="1"/>
    <col min="9223" max="9223" width="7.88671875" style="18" bestFit="1" customWidth="1"/>
    <col min="9224" max="9224" width="11.5546875" style="18" bestFit="1"/>
    <col min="9225" max="9225" width="8" style="18" bestFit="1" customWidth="1"/>
    <col min="9226" max="9226" width="11.5546875" style="18" bestFit="1"/>
    <col min="9227" max="9227" width="8.109375" style="18" bestFit="1" customWidth="1"/>
    <col min="9228" max="9228" width="11.5546875" style="18" bestFit="1"/>
    <col min="9229" max="9229" width="8.44140625" style="18" customWidth="1"/>
    <col min="9230" max="9230" width="7.33203125" style="18" bestFit="1" customWidth="1"/>
    <col min="9231" max="9231" width="11.5546875" style="18" bestFit="1"/>
    <col min="9232" max="9232" width="8.109375" style="18" customWidth="1"/>
    <col min="9233" max="9233" width="13" style="18" bestFit="1" customWidth="1"/>
    <col min="9234" max="9472" width="11.5546875" style="18"/>
    <col min="9473" max="9473" width="4.6640625" style="18" customWidth="1"/>
    <col min="9474" max="9474" width="50" style="18" customWidth="1"/>
    <col min="9475" max="9475" width="6.33203125" style="18" bestFit="1" customWidth="1"/>
    <col min="9476" max="9476" width="8.88671875" style="18" customWidth="1"/>
    <col min="9477" max="9477" width="8.5546875" style="18" customWidth="1"/>
    <col min="9478" max="9478" width="11.33203125" style="18" bestFit="1" customWidth="1"/>
    <col min="9479" max="9479" width="7.88671875" style="18" bestFit="1" customWidth="1"/>
    <col min="9480" max="9480" width="11.5546875" style="18" bestFit="1"/>
    <col min="9481" max="9481" width="8" style="18" bestFit="1" customWidth="1"/>
    <col min="9482" max="9482" width="11.5546875" style="18" bestFit="1"/>
    <col min="9483" max="9483" width="8.109375" style="18" bestFit="1" customWidth="1"/>
    <col min="9484" max="9484" width="11.5546875" style="18" bestFit="1"/>
    <col min="9485" max="9485" width="8.44140625" style="18" customWidth="1"/>
    <col min="9486" max="9486" width="7.33203125" style="18" bestFit="1" customWidth="1"/>
    <col min="9487" max="9487" width="11.5546875" style="18" bestFit="1"/>
    <col min="9488" max="9488" width="8.109375" style="18" customWidth="1"/>
    <col min="9489" max="9489" width="13" style="18" bestFit="1" customWidth="1"/>
    <col min="9490" max="9728" width="11.5546875" style="18"/>
    <col min="9729" max="9729" width="4.6640625" style="18" customWidth="1"/>
    <col min="9730" max="9730" width="50" style="18" customWidth="1"/>
    <col min="9731" max="9731" width="6.33203125" style="18" bestFit="1" customWidth="1"/>
    <col min="9732" max="9732" width="8.88671875" style="18" customWidth="1"/>
    <col min="9733" max="9733" width="8.5546875" style="18" customWidth="1"/>
    <col min="9734" max="9734" width="11.33203125" style="18" bestFit="1" customWidth="1"/>
    <col min="9735" max="9735" width="7.88671875" style="18" bestFit="1" customWidth="1"/>
    <col min="9736" max="9736" width="11.5546875" style="18" bestFit="1"/>
    <col min="9737" max="9737" width="8" style="18" bestFit="1" customWidth="1"/>
    <col min="9738" max="9738" width="11.5546875" style="18" bestFit="1"/>
    <col min="9739" max="9739" width="8.109375" style="18" bestFit="1" customWidth="1"/>
    <col min="9740" max="9740" width="11.5546875" style="18" bestFit="1"/>
    <col min="9741" max="9741" width="8.44140625" style="18" customWidth="1"/>
    <col min="9742" max="9742" width="7.33203125" style="18" bestFit="1" customWidth="1"/>
    <col min="9743" max="9743" width="11.5546875" style="18" bestFit="1"/>
    <col min="9744" max="9744" width="8.109375" style="18" customWidth="1"/>
    <col min="9745" max="9745" width="13" style="18" bestFit="1" customWidth="1"/>
    <col min="9746" max="9984" width="11.5546875" style="18"/>
    <col min="9985" max="9985" width="4.6640625" style="18" customWidth="1"/>
    <col min="9986" max="9986" width="50" style="18" customWidth="1"/>
    <col min="9987" max="9987" width="6.33203125" style="18" bestFit="1" customWidth="1"/>
    <col min="9988" max="9988" width="8.88671875" style="18" customWidth="1"/>
    <col min="9989" max="9989" width="8.5546875" style="18" customWidth="1"/>
    <col min="9990" max="9990" width="11.33203125" style="18" bestFit="1" customWidth="1"/>
    <col min="9991" max="9991" width="7.88671875" style="18" bestFit="1" customWidth="1"/>
    <col min="9992" max="9992" width="11.5546875" style="18" bestFit="1"/>
    <col min="9993" max="9993" width="8" style="18" bestFit="1" customWidth="1"/>
    <col min="9994" max="9994" width="11.5546875" style="18" bestFit="1"/>
    <col min="9995" max="9995" width="8.109375" style="18" bestFit="1" customWidth="1"/>
    <col min="9996" max="9996" width="11.5546875" style="18" bestFit="1"/>
    <col min="9997" max="9997" width="8.44140625" style="18" customWidth="1"/>
    <col min="9998" max="9998" width="7.33203125" style="18" bestFit="1" customWidth="1"/>
    <col min="9999" max="9999" width="11.5546875" style="18" bestFit="1"/>
    <col min="10000" max="10000" width="8.109375" style="18" customWidth="1"/>
    <col min="10001" max="10001" width="13" style="18" bestFit="1" customWidth="1"/>
    <col min="10002" max="10240" width="11.5546875" style="18"/>
    <col min="10241" max="10241" width="4.6640625" style="18" customWidth="1"/>
    <col min="10242" max="10242" width="50" style="18" customWidth="1"/>
    <col min="10243" max="10243" width="6.33203125" style="18" bestFit="1" customWidth="1"/>
    <col min="10244" max="10244" width="8.88671875" style="18" customWidth="1"/>
    <col min="10245" max="10245" width="8.5546875" style="18" customWidth="1"/>
    <col min="10246" max="10246" width="11.33203125" style="18" bestFit="1" customWidth="1"/>
    <col min="10247" max="10247" width="7.88671875" style="18" bestFit="1" customWidth="1"/>
    <col min="10248" max="10248" width="11.5546875" style="18" bestFit="1"/>
    <col min="10249" max="10249" width="8" style="18" bestFit="1" customWidth="1"/>
    <col min="10250" max="10250" width="11.5546875" style="18" bestFit="1"/>
    <col min="10251" max="10251" width="8.109375" style="18" bestFit="1" customWidth="1"/>
    <col min="10252" max="10252" width="11.5546875" style="18" bestFit="1"/>
    <col min="10253" max="10253" width="8.44140625" style="18" customWidth="1"/>
    <col min="10254" max="10254" width="7.33203125" style="18" bestFit="1" customWidth="1"/>
    <col min="10255" max="10255" width="11.5546875" style="18" bestFit="1"/>
    <col min="10256" max="10256" width="8.109375" style="18" customWidth="1"/>
    <col min="10257" max="10257" width="13" style="18" bestFit="1" customWidth="1"/>
    <col min="10258" max="10496" width="11.5546875" style="18"/>
    <col min="10497" max="10497" width="4.6640625" style="18" customWidth="1"/>
    <col min="10498" max="10498" width="50" style="18" customWidth="1"/>
    <col min="10499" max="10499" width="6.33203125" style="18" bestFit="1" customWidth="1"/>
    <col min="10500" max="10500" width="8.88671875" style="18" customWidth="1"/>
    <col min="10501" max="10501" width="8.5546875" style="18" customWidth="1"/>
    <col min="10502" max="10502" width="11.33203125" style="18" bestFit="1" customWidth="1"/>
    <col min="10503" max="10503" width="7.88671875" style="18" bestFit="1" customWidth="1"/>
    <col min="10504" max="10504" width="11.5546875" style="18" bestFit="1"/>
    <col min="10505" max="10505" width="8" style="18" bestFit="1" customWidth="1"/>
    <col min="10506" max="10506" width="11.5546875" style="18" bestFit="1"/>
    <col min="10507" max="10507" width="8.109375" style="18" bestFit="1" customWidth="1"/>
    <col min="10508" max="10508" width="11.5546875" style="18" bestFit="1"/>
    <col min="10509" max="10509" width="8.44140625" style="18" customWidth="1"/>
    <col min="10510" max="10510" width="7.33203125" style="18" bestFit="1" customWidth="1"/>
    <col min="10511" max="10511" width="11.5546875" style="18" bestFit="1"/>
    <col min="10512" max="10512" width="8.109375" style="18" customWidth="1"/>
    <col min="10513" max="10513" width="13" style="18" bestFit="1" customWidth="1"/>
    <col min="10514" max="10752" width="11.5546875" style="18"/>
    <col min="10753" max="10753" width="4.6640625" style="18" customWidth="1"/>
    <col min="10754" max="10754" width="50" style="18" customWidth="1"/>
    <col min="10755" max="10755" width="6.33203125" style="18" bestFit="1" customWidth="1"/>
    <col min="10756" max="10756" width="8.88671875" style="18" customWidth="1"/>
    <col min="10757" max="10757" width="8.5546875" style="18" customWidth="1"/>
    <col min="10758" max="10758" width="11.33203125" style="18" bestFit="1" customWidth="1"/>
    <col min="10759" max="10759" width="7.88671875" style="18" bestFit="1" customWidth="1"/>
    <col min="10760" max="10760" width="11.5546875" style="18" bestFit="1"/>
    <col min="10761" max="10761" width="8" style="18" bestFit="1" customWidth="1"/>
    <col min="10762" max="10762" width="11.5546875" style="18" bestFit="1"/>
    <col min="10763" max="10763" width="8.109375" style="18" bestFit="1" customWidth="1"/>
    <col min="10764" max="10764" width="11.5546875" style="18" bestFit="1"/>
    <col min="10765" max="10765" width="8.44140625" style="18" customWidth="1"/>
    <col min="10766" max="10766" width="7.33203125" style="18" bestFit="1" customWidth="1"/>
    <col min="10767" max="10767" width="11.5546875" style="18" bestFit="1"/>
    <col min="10768" max="10768" width="8.109375" style="18" customWidth="1"/>
    <col min="10769" max="10769" width="13" style="18" bestFit="1" customWidth="1"/>
    <col min="10770" max="11008" width="11.5546875" style="18"/>
    <col min="11009" max="11009" width="4.6640625" style="18" customWidth="1"/>
    <col min="11010" max="11010" width="50" style="18" customWidth="1"/>
    <col min="11011" max="11011" width="6.33203125" style="18" bestFit="1" customWidth="1"/>
    <col min="11012" max="11012" width="8.88671875" style="18" customWidth="1"/>
    <col min="11013" max="11013" width="8.5546875" style="18" customWidth="1"/>
    <col min="11014" max="11014" width="11.33203125" style="18" bestFit="1" customWidth="1"/>
    <col min="11015" max="11015" width="7.88671875" style="18" bestFit="1" customWidth="1"/>
    <col min="11016" max="11016" width="11.5546875" style="18" bestFit="1"/>
    <col min="11017" max="11017" width="8" style="18" bestFit="1" customWidth="1"/>
    <col min="11018" max="11018" width="11.5546875" style="18" bestFit="1"/>
    <col min="11019" max="11019" width="8.109375" style="18" bestFit="1" customWidth="1"/>
    <col min="11020" max="11020" width="11.5546875" style="18" bestFit="1"/>
    <col min="11021" max="11021" width="8.44140625" style="18" customWidth="1"/>
    <col min="11022" max="11022" width="7.33203125" style="18" bestFit="1" customWidth="1"/>
    <col min="11023" max="11023" width="11.5546875" style="18" bestFit="1"/>
    <col min="11024" max="11024" width="8.109375" style="18" customWidth="1"/>
    <col min="11025" max="11025" width="13" style="18" bestFit="1" customWidth="1"/>
    <col min="11026" max="11264" width="11.5546875" style="18"/>
    <col min="11265" max="11265" width="4.6640625" style="18" customWidth="1"/>
    <col min="11266" max="11266" width="50" style="18" customWidth="1"/>
    <col min="11267" max="11267" width="6.33203125" style="18" bestFit="1" customWidth="1"/>
    <col min="11268" max="11268" width="8.88671875" style="18" customWidth="1"/>
    <col min="11269" max="11269" width="8.5546875" style="18" customWidth="1"/>
    <col min="11270" max="11270" width="11.33203125" style="18" bestFit="1" customWidth="1"/>
    <col min="11271" max="11271" width="7.88671875" style="18" bestFit="1" customWidth="1"/>
    <col min="11272" max="11272" width="11.5546875" style="18" bestFit="1"/>
    <col min="11273" max="11273" width="8" style="18" bestFit="1" customWidth="1"/>
    <col min="11274" max="11274" width="11.5546875" style="18" bestFit="1"/>
    <col min="11275" max="11275" width="8.109375" style="18" bestFit="1" customWidth="1"/>
    <col min="11276" max="11276" width="11.5546875" style="18" bestFit="1"/>
    <col min="11277" max="11277" width="8.44140625" style="18" customWidth="1"/>
    <col min="11278" max="11278" width="7.33203125" style="18" bestFit="1" customWidth="1"/>
    <col min="11279" max="11279" width="11.5546875" style="18" bestFit="1"/>
    <col min="11280" max="11280" width="8.109375" style="18" customWidth="1"/>
    <col min="11281" max="11281" width="13" style="18" bestFit="1" customWidth="1"/>
    <col min="11282" max="11520" width="11.5546875" style="18"/>
    <col min="11521" max="11521" width="4.6640625" style="18" customWidth="1"/>
    <col min="11522" max="11522" width="50" style="18" customWidth="1"/>
    <col min="11523" max="11523" width="6.33203125" style="18" bestFit="1" customWidth="1"/>
    <col min="11524" max="11524" width="8.88671875" style="18" customWidth="1"/>
    <col min="11525" max="11525" width="8.5546875" style="18" customWidth="1"/>
    <col min="11526" max="11526" width="11.33203125" style="18" bestFit="1" customWidth="1"/>
    <col min="11527" max="11527" width="7.88671875" style="18" bestFit="1" customWidth="1"/>
    <col min="11528" max="11528" width="11.5546875" style="18" bestFit="1"/>
    <col min="11529" max="11529" width="8" style="18" bestFit="1" customWidth="1"/>
    <col min="11530" max="11530" width="11.5546875" style="18" bestFit="1"/>
    <col min="11531" max="11531" width="8.109375" style="18" bestFit="1" customWidth="1"/>
    <col min="11532" max="11532" width="11.5546875" style="18" bestFit="1"/>
    <col min="11533" max="11533" width="8.44140625" style="18" customWidth="1"/>
    <col min="11534" max="11534" width="7.33203125" style="18" bestFit="1" customWidth="1"/>
    <col min="11535" max="11535" width="11.5546875" style="18" bestFit="1"/>
    <col min="11536" max="11536" width="8.109375" style="18" customWidth="1"/>
    <col min="11537" max="11537" width="13" style="18" bestFit="1" customWidth="1"/>
    <col min="11538" max="11776" width="11.5546875" style="18"/>
    <col min="11777" max="11777" width="4.6640625" style="18" customWidth="1"/>
    <col min="11778" max="11778" width="50" style="18" customWidth="1"/>
    <col min="11779" max="11779" width="6.33203125" style="18" bestFit="1" customWidth="1"/>
    <col min="11780" max="11780" width="8.88671875" style="18" customWidth="1"/>
    <col min="11781" max="11781" width="8.5546875" style="18" customWidth="1"/>
    <col min="11782" max="11782" width="11.33203125" style="18" bestFit="1" customWidth="1"/>
    <col min="11783" max="11783" width="7.88671875" style="18" bestFit="1" customWidth="1"/>
    <col min="11784" max="11784" width="11.5546875" style="18" bestFit="1"/>
    <col min="11785" max="11785" width="8" style="18" bestFit="1" customWidth="1"/>
    <col min="11786" max="11786" width="11.5546875" style="18" bestFit="1"/>
    <col min="11787" max="11787" width="8.109375" style="18" bestFit="1" customWidth="1"/>
    <col min="11788" max="11788" width="11.5546875" style="18" bestFit="1"/>
    <col min="11789" max="11789" width="8.44140625" style="18" customWidth="1"/>
    <col min="11790" max="11790" width="7.33203125" style="18" bestFit="1" customWidth="1"/>
    <col min="11791" max="11791" width="11.5546875" style="18" bestFit="1"/>
    <col min="11792" max="11792" width="8.109375" style="18" customWidth="1"/>
    <col min="11793" max="11793" width="13" style="18" bestFit="1" customWidth="1"/>
    <col min="11794" max="12032" width="11.5546875" style="18"/>
    <col min="12033" max="12033" width="4.6640625" style="18" customWidth="1"/>
    <col min="12034" max="12034" width="50" style="18" customWidth="1"/>
    <col min="12035" max="12035" width="6.33203125" style="18" bestFit="1" customWidth="1"/>
    <col min="12036" max="12036" width="8.88671875" style="18" customWidth="1"/>
    <col min="12037" max="12037" width="8.5546875" style="18" customWidth="1"/>
    <col min="12038" max="12038" width="11.33203125" style="18" bestFit="1" customWidth="1"/>
    <col min="12039" max="12039" width="7.88671875" style="18" bestFit="1" customWidth="1"/>
    <col min="12040" max="12040" width="11.5546875" style="18" bestFit="1"/>
    <col min="12041" max="12041" width="8" style="18" bestFit="1" customWidth="1"/>
    <col min="12042" max="12042" width="11.5546875" style="18" bestFit="1"/>
    <col min="12043" max="12043" width="8.109375" style="18" bestFit="1" customWidth="1"/>
    <col min="12044" max="12044" width="11.5546875" style="18" bestFit="1"/>
    <col min="12045" max="12045" width="8.44140625" style="18" customWidth="1"/>
    <col min="12046" max="12046" width="7.33203125" style="18" bestFit="1" customWidth="1"/>
    <col min="12047" max="12047" width="11.5546875" style="18" bestFit="1"/>
    <col min="12048" max="12048" width="8.109375" style="18" customWidth="1"/>
    <col min="12049" max="12049" width="13" style="18" bestFit="1" customWidth="1"/>
    <col min="12050" max="12288" width="11.5546875" style="18"/>
    <col min="12289" max="12289" width="4.6640625" style="18" customWidth="1"/>
    <col min="12290" max="12290" width="50" style="18" customWidth="1"/>
    <col min="12291" max="12291" width="6.33203125" style="18" bestFit="1" customWidth="1"/>
    <col min="12292" max="12292" width="8.88671875" style="18" customWidth="1"/>
    <col min="12293" max="12293" width="8.5546875" style="18" customWidth="1"/>
    <col min="12294" max="12294" width="11.33203125" style="18" bestFit="1" customWidth="1"/>
    <col min="12295" max="12295" width="7.88671875" style="18" bestFit="1" customWidth="1"/>
    <col min="12296" max="12296" width="11.5546875" style="18" bestFit="1"/>
    <col min="12297" max="12297" width="8" style="18" bestFit="1" customWidth="1"/>
    <col min="12298" max="12298" width="11.5546875" style="18" bestFit="1"/>
    <col min="12299" max="12299" width="8.109375" style="18" bestFit="1" customWidth="1"/>
    <col min="12300" max="12300" width="11.5546875" style="18" bestFit="1"/>
    <col min="12301" max="12301" width="8.44140625" style="18" customWidth="1"/>
    <col min="12302" max="12302" width="7.33203125" style="18" bestFit="1" customWidth="1"/>
    <col min="12303" max="12303" width="11.5546875" style="18" bestFit="1"/>
    <col min="12304" max="12304" width="8.109375" style="18" customWidth="1"/>
    <col min="12305" max="12305" width="13" style="18" bestFit="1" customWidth="1"/>
    <col min="12306" max="12544" width="11.5546875" style="18"/>
    <col min="12545" max="12545" width="4.6640625" style="18" customWidth="1"/>
    <col min="12546" max="12546" width="50" style="18" customWidth="1"/>
    <col min="12547" max="12547" width="6.33203125" style="18" bestFit="1" customWidth="1"/>
    <col min="12548" max="12548" width="8.88671875" style="18" customWidth="1"/>
    <col min="12549" max="12549" width="8.5546875" style="18" customWidth="1"/>
    <col min="12550" max="12550" width="11.33203125" style="18" bestFit="1" customWidth="1"/>
    <col min="12551" max="12551" width="7.88671875" style="18" bestFit="1" customWidth="1"/>
    <col min="12552" max="12552" width="11.5546875" style="18" bestFit="1"/>
    <col min="12553" max="12553" width="8" style="18" bestFit="1" customWidth="1"/>
    <col min="12554" max="12554" width="11.5546875" style="18" bestFit="1"/>
    <col min="12555" max="12555" width="8.109375" style="18" bestFit="1" customWidth="1"/>
    <col min="12556" max="12556" width="11.5546875" style="18" bestFit="1"/>
    <col min="12557" max="12557" width="8.44140625" style="18" customWidth="1"/>
    <col min="12558" max="12558" width="7.33203125" style="18" bestFit="1" customWidth="1"/>
    <col min="12559" max="12559" width="11.5546875" style="18" bestFit="1"/>
    <col min="12560" max="12560" width="8.109375" style="18" customWidth="1"/>
    <col min="12561" max="12561" width="13" style="18" bestFit="1" customWidth="1"/>
    <col min="12562" max="12800" width="11.5546875" style="18"/>
    <col min="12801" max="12801" width="4.6640625" style="18" customWidth="1"/>
    <col min="12802" max="12802" width="50" style="18" customWidth="1"/>
    <col min="12803" max="12803" width="6.33203125" style="18" bestFit="1" customWidth="1"/>
    <col min="12804" max="12804" width="8.88671875" style="18" customWidth="1"/>
    <col min="12805" max="12805" width="8.5546875" style="18" customWidth="1"/>
    <col min="12806" max="12806" width="11.33203125" style="18" bestFit="1" customWidth="1"/>
    <col min="12807" max="12807" width="7.88671875" style="18" bestFit="1" customWidth="1"/>
    <col min="12808" max="12808" width="11.5546875" style="18" bestFit="1"/>
    <col min="12809" max="12809" width="8" style="18" bestFit="1" customWidth="1"/>
    <col min="12810" max="12810" width="11.5546875" style="18" bestFit="1"/>
    <col min="12811" max="12811" width="8.109375" style="18" bestFit="1" customWidth="1"/>
    <col min="12812" max="12812" width="11.5546875" style="18" bestFit="1"/>
    <col min="12813" max="12813" width="8.44140625" style="18" customWidth="1"/>
    <col min="12814" max="12814" width="7.33203125" style="18" bestFit="1" customWidth="1"/>
    <col min="12815" max="12815" width="11.5546875" style="18" bestFit="1"/>
    <col min="12816" max="12816" width="8.109375" style="18" customWidth="1"/>
    <col min="12817" max="12817" width="13" style="18" bestFit="1" customWidth="1"/>
    <col min="12818" max="13056" width="11.5546875" style="18"/>
    <col min="13057" max="13057" width="4.6640625" style="18" customWidth="1"/>
    <col min="13058" max="13058" width="50" style="18" customWidth="1"/>
    <col min="13059" max="13059" width="6.33203125" style="18" bestFit="1" customWidth="1"/>
    <col min="13060" max="13060" width="8.88671875" style="18" customWidth="1"/>
    <col min="13061" max="13061" width="8.5546875" style="18" customWidth="1"/>
    <col min="13062" max="13062" width="11.33203125" style="18" bestFit="1" customWidth="1"/>
    <col min="13063" max="13063" width="7.88671875" style="18" bestFit="1" customWidth="1"/>
    <col min="13064" max="13064" width="11.5546875" style="18" bestFit="1"/>
    <col min="13065" max="13065" width="8" style="18" bestFit="1" customWidth="1"/>
    <col min="13066" max="13066" width="11.5546875" style="18" bestFit="1"/>
    <col min="13067" max="13067" width="8.109375" style="18" bestFit="1" customWidth="1"/>
    <col min="13068" max="13068" width="11.5546875" style="18" bestFit="1"/>
    <col min="13069" max="13069" width="8.44140625" style="18" customWidth="1"/>
    <col min="13070" max="13070" width="7.33203125" style="18" bestFit="1" customWidth="1"/>
    <col min="13071" max="13071" width="11.5546875" style="18" bestFit="1"/>
    <col min="13072" max="13072" width="8.109375" style="18" customWidth="1"/>
    <col min="13073" max="13073" width="13" style="18" bestFit="1" customWidth="1"/>
    <col min="13074" max="13312" width="11.5546875" style="18"/>
    <col min="13313" max="13313" width="4.6640625" style="18" customWidth="1"/>
    <col min="13314" max="13314" width="50" style="18" customWidth="1"/>
    <col min="13315" max="13315" width="6.33203125" style="18" bestFit="1" customWidth="1"/>
    <col min="13316" max="13316" width="8.88671875" style="18" customWidth="1"/>
    <col min="13317" max="13317" width="8.5546875" style="18" customWidth="1"/>
    <col min="13318" max="13318" width="11.33203125" style="18" bestFit="1" customWidth="1"/>
    <col min="13319" max="13319" width="7.88671875" style="18" bestFit="1" customWidth="1"/>
    <col min="13320" max="13320" width="11.5546875" style="18" bestFit="1"/>
    <col min="13321" max="13321" width="8" style="18" bestFit="1" customWidth="1"/>
    <col min="13322" max="13322" width="11.5546875" style="18" bestFit="1"/>
    <col min="13323" max="13323" width="8.109375" style="18" bestFit="1" customWidth="1"/>
    <col min="13324" max="13324" width="11.5546875" style="18" bestFit="1"/>
    <col min="13325" max="13325" width="8.44140625" style="18" customWidth="1"/>
    <col min="13326" max="13326" width="7.33203125" style="18" bestFit="1" customWidth="1"/>
    <col min="13327" max="13327" width="11.5546875" style="18" bestFit="1"/>
    <col min="13328" max="13328" width="8.109375" style="18" customWidth="1"/>
    <col min="13329" max="13329" width="13" style="18" bestFit="1" customWidth="1"/>
    <col min="13330" max="13568" width="11.5546875" style="18"/>
    <col min="13569" max="13569" width="4.6640625" style="18" customWidth="1"/>
    <col min="13570" max="13570" width="50" style="18" customWidth="1"/>
    <col min="13571" max="13571" width="6.33203125" style="18" bestFit="1" customWidth="1"/>
    <col min="13572" max="13572" width="8.88671875" style="18" customWidth="1"/>
    <col min="13573" max="13573" width="8.5546875" style="18" customWidth="1"/>
    <col min="13574" max="13574" width="11.33203125" style="18" bestFit="1" customWidth="1"/>
    <col min="13575" max="13575" width="7.88671875" style="18" bestFit="1" customWidth="1"/>
    <col min="13576" max="13576" width="11.5546875" style="18" bestFit="1"/>
    <col min="13577" max="13577" width="8" style="18" bestFit="1" customWidth="1"/>
    <col min="13578" max="13578" width="11.5546875" style="18" bestFit="1"/>
    <col min="13579" max="13579" width="8.109375" style="18" bestFit="1" customWidth="1"/>
    <col min="13580" max="13580" width="11.5546875" style="18" bestFit="1"/>
    <col min="13581" max="13581" width="8.44140625" style="18" customWidth="1"/>
    <col min="13582" max="13582" width="7.33203125" style="18" bestFit="1" customWidth="1"/>
    <col min="13583" max="13583" width="11.5546875" style="18" bestFit="1"/>
    <col min="13584" max="13584" width="8.109375" style="18" customWidth="1"/>
    <col min="13585" max="13585" width="13" style="18" bestFit="1" customWidth="1"/>
    <col min="13586" max="13824" width="11.5546875" style="18"/>
    <col min="13825" max="13825" width="4.6640625" style="18" customWidth="1"/>
    <col min="13826" max="13826" width="50" style="18" customWidth="1"/>
    <col min="13827" max="13827" width="6.33203125" style="18" bestFit="1" customWidth="1"/>
    <col min="13828" max="13828" width="8.88671875" style="18" customWidth="1"/>
    <col min="13829" max="13829" width="8.5546875" style="18" customWidth="1"/>
    <col min="13830" max="13830" width="11.33203125" style="18" bestFit="1" customWidth="1"/>
    <col min="13831" max="13831" width="7.88671875" style="18" bestFit="1" customWidth="1"/>
    <col min="13832" max="13832" width="11.5546875" style="18" bestFit="1"/>
    <col min="13833" max="13833" width="8" style="18" bestFit="1" customWidth="1"/>
    <col min="13834" max="13834" width="11.5546875" style="18" bestFit="1"/>
    <col min="13835" max="13835" width="8.109375" style="18" bestFit="1" customWidth="1"/>
    <col min="13836" max="13836" width="11.5546875" style="18" bestFit="1"/>
    <col min="13837" max="13837" width="8.44140625" style="18" customWidth="1"/>
    <col min="13838" max="13838" width="7.33203125" style="18" bestFit="1" customWidth="1"/>
    <col min="13839" max="13839" width="11.5546875" style="18" bestFit="1"/>
    <col min="13840" max="13840" width="8.109375" style="18" customWidth="1"/>
    <col min="13841" max="13841" width="13" style="18" bestFit="1" customWidth="1"/>
    <col min="13842" max="14080" width="11.5546875" style="18"/>
    <col min="14081" max="14081" width="4.6640625" style="18" customWidth="1"/>
    <col min="14082" max="14082" width="50" style="18" customWidth="1"/>
    <col min="14083" max="14083" width="6.33203125" style="18" bestFit="1" customWidth="1"/>
    <col min="14084" max="14084" width="8.88671875" style="18" customWidth="1"/>
    <col min="14085" max="14085" width="8.5546875" style="18" customWidth="1"/>
    <col min="14086" max="14086" width="11.33203125" style="18" bestFit="1" customWidth="1"/>
    <col min="14087" max="14087" width="7.88671875" style="18" bestFit="1" customWidth="1"/>
    <col min="14088" max="14088" width="11.5546875" style="18" bestFit="1"/>
    <col min="14089" max="14089" width="8" style="18" bestFit="1" customWidth="1"/>
    <col min="14090" max="14090" width="11.5546875" style="18" bestFit="1"/>
    <col min="14091" max="14091" width="8.109375" style="18" bestFit="1" customWidth="1"/>
    <col min="14092" max="14092" width="11.5546875" style="18" bestFit="1"/>
    <col min="14093" max="14093" width="8.44140625" style="18" customWidth="1"/>
    <col min="14094" max="14094" width="7.33203125" style="18" bestFit="1" customWidth="1"/>
    <col min="14095" max="14095" width="11.5546875" style="18" bestFit="1"/>
    <col min="14096" max="14096" width="8.109375" style="18" customWidth="1"/>
    <col min="14097" max="14097" width="13" style="18" bestFit="1" customWidth="1"/>
    <col min="14098" max="14336" width="11.5546875" style="18"/>
    <col min="14337" max="14337" width="4.6640625" style="18" customWidth="1"/>
    <col min="14338" max="14338" width="50" style="18" customWidth="1"/>
    <col min="14339" max="14339" width="6.33203125" style="18" bestFit="1" customWidth="1"/>
    <col min="14340" max="14340" width="8.88671875" style="18" customWidth="1"/>
    <col min="14341" max="14341" width="8.5546875" style="18" customWidth="1"/>
    <col min="14342" max="14342" width="11.33203125" style="18" bestFit="1" customWidth="1"/>
    <col min="14343" max="14343" width="7.88671875" style="18" bestFit="1" customWidth="1"/>
    <col min="14344" max="14344" width="11.5546875" style="18" bestFit="1"/>
    <col min="14345" max="14345" width="8" style="18" bestFit="1" customWidth="1"/>
    <col min="14346" max="14346" width="11.5546875" style="18" bestFit="1"/>
    <col min="14347" max="14347" width="8.109375" style="18" bestFit="1" customWidth="1"/>
    <col min="14348" max="14348" width="11.5546875" style="18" bestFit="1"/>
    <col min="14349" max="14349" width="8.44140625" style="18" customWidth="1"/>
    <col min="14350" max="14350" width="7.33203125" style="18" bestFit="1" customWidth="1"/>
    <col min="14351" max="14351" width="11.5546875" style="18" bestFit="1"/>
    <col min="14352" max="14352" width="8.109375" style="18" customWidth="1"/>
    <col min="14353" max="14353" width="13" style="18" bestFit="1" customWidth="1"/>
    <col min="14354" max="14592" width="11.5546875" style="18"/>
    <col min="14593" max="14593" width="4.6640625" style="18" customWidth="1"/>
    <col min="14594" max="14594" width="50" style="18" customWidth="1"/>
    <col min="14595" max="14595" width="6.33203125" style="18" bestFit="1" customWidth="1"/>
    <col min="14596" max="14596" width="8.88671875" style="18" customWidth="1"/>
    <col min="14597" max="14597" width="8.5546875" style="18" customWidth="1"/>
    <col min="14598" max="14598" width="11.33203125" style="18" bestFit="1" customWidth="1"/>
    <col min="14599" max="14599" width="7.88671875" style="18" bestFit="1" customWidth="1"/>
    <col min="14600" max="14600" width="11.5546875" style="18" bestFit="1"/>
    <col min="14601" max="14601" width="8" style="18" bestFit="1" customWidth="1"/>
    <col min="14602" max="14602" width="11.5546875" style="18" bestFit="1"/>
    <col min="14603" max="14603" width="8.109375" style="18" bestFit="1" customWidth="1"/>
    <col min="14604" max="14604" width="11.5546875" style="18" bestFit="1"/>
    <col min="14605" max="14605" width="8.44140625" style="18" customWidth="1"/>
    <col min="14606" max="14606" width="7.33203125" style="18" bestFit="1" customWidth="1"/>
    <col min="14607" max="14607" width="11.5546875" style="18" bestFit="1"/>
    <col min="14608" max="14608" width="8.109375" style="18" customWidth="1"/>
    <col min="14609" max="14609" width="13" style="18" bestFit="1" customWidth="1"/>
    <col min="14610" max="14848" width="11.5546875" style="18"/>
    <col min="14849" max="14849" width="4.6640625" style="18" customWidth="1"/>
    <col min="14850" max="14850" width="50" style="18" customWidth="1"/>
    <col min="14851" max="14851" width="6.33203125" style="18" bestFit="1" customWidth="1"/>
    <col min="14852" max="14852" width="8.88671875" style="18" customWidth="1"/>
    <col min="14853" max="14853" width="8.5546875" style="18" customWidth="1"/>
    <col min="14854" max="14854" width="11.33203125" style="18" bestFit="1" customWidth="1"/>
    <col min="14855" max="14855" width="7.88671875" style="18" bestFit="1" customWidth="1"/>
    <col min="14856" max="14856" width="11.5546875" style="18" bestFit="1"/>
    <col min="14857" max="14857" width="8" style="18" bestFit="1" customWidth="1"/>
    <col min="14858" max="14858" width="11.5546875" style="18" bestFit="1"/>
    <col min="14859" max="14859" width="8.109375" style="18" bestFit="1" customWidth="1"/>
    <col min="14860" max="14860" width="11.5546875" style="18" bestFit="1"/>
    <col min="14861" max="14861" width="8.44140625" style="18" customWidth="1"/>
    <col min="14862" max="14862" width="7.33203125" style="18" bestFit="1" customWidth="1"/>
    <col min="14863" max="14863" width="11.5546875" style="18" bestFit="1"/>
    <col min="14864" max="14864" width="8.109375" style="18" customWidth="1"/>
    <col min="14865" max="14865" width="13" style="18" bestFit="1" customWidth="1"/>
    <col min="14866" max="15104" width="11.5546875" style="18"/>
    <col min="15105" max="15105" width="4.6640625" style="18" customWidth="1"/>
    <col min="15106" max="15106" width="50" style="18" customWidth="1"/>
    <col min="15107" max="15107" width="6.33203125" style="18" bestFit="1" customWidth="1"/>
    <col min="15108" max="15108" width="8.88671875" style="18" customWidth="1"/>
    <col min="15109" max="15109" width="8.5546875" style="18" customWidth="1"/>
    <col min="15110" max="15110" width="11.33203125" style="18" bestFit="1" customWidth="1"/>
    <col min="15111" max="15111" width="7.88671875" style="18" bestFit="1" customWidth="1"/>
    <col min="15112" max="15112" width="11.5546875" style="18" bestFit="1"/>
    <col min="15113" max="15113" width="8" style="18" bestFit="1" customWidth="1"/>
    <col min="15114" max="15114" width="11.5546875" style="18" bestFit="1"/>
    <col min="15115" max="15115" width="8.109375" style="18" bestFit="1" customWidth="1"/>
    <col min="15116" max="15116" width="11.5546875" style="18" bestFit="1"/>
    <col min="15117" max="15117" width="8.44140625" style="18" customWidth="1"/>
    <col min="15118" max="15118" width="7.33203125" style="18" bestFit="1" customWidth="1"/>
    <col min="15119" max="15119" width="11.5546875" style="18" bestFit="1"/>
    <col min="15120" max="15120" width="8.109375" style="18" customWidth="1"/>
    <col min="15121" max="15121" width="13" style="18" bestFit="1" customWidth="1"/>
    <col min="15122" max="15360" width="11.5546875" style="18"/>
    <col min="15361" max="15361" width="4.6640625" style="18" customWidth="1"/>
    <col min="15362" max="15362" width="50" style="18" customWidth="1"/>
    <col min="15363" max="15363" width="6.33203125" style="18" bestFit="1" customWidth="1"/>
    <col min="15364" max="15364" width="8.88671875" style="18" customWidth="1"/>
    <col min="15365" max="15365" width="8.5546875" style="18" customWidth="1"/>
    <col min="15366" max="15366" width="11.33203125" style="18" bestFit="1" customWidth="1"/>
    <col min="15367" max="15367" width="7.88671875" style="18" bestFit="1" customWidth="1"/>
    <col min="15368" max="15368" width="11.5546875" style="18" bestFit="1"/>
    <col min="15369" max="15369" width="8" style="18" bestFit="1" customWidth="1"/>
    <col min="15370" max="15370" width="11.5546875" style="18" bestFit="1"/>
    <col min="15371" max="15371" width="8.109375" style="18" bestFit="1" customWidth="1"/>
    <col min="15372" max="15372" width="11.5546875" style="18" bestFit="1"/>
    <col min="15373" max="15373" width="8.44140625" style="18" customWidth="1"/>
    <col min="15374" max="15374" width="7.33203125" style="18" bestFit="1" customWidth="1"/>
    <col min="15375" max="15375" width="11.5546875" style="18" bestFit="1"/>
    <col min="15376" max="15376" width="8.109375" style="18" customWidth="1"/>
    <col min="15377" max="15377" width="13" style="18" bestFit="1" customWidth="1"/>
    <col min="15378" max="15616" width="11.5546875" style="18"/>
    <col min="15617" max="15617" width="4.6640625" style="18" customWidth="1"/>
    <col min="15618" max="15618" width="50" style="18" customWidth="1"/>
    <col min="15619" max="15619" width="6.33203125" style="18" bestFit="1" customWidth="1"/>
    <col min="15620" max="15620" width="8.88671875" style="18" customWidth="1"/>
    <col min="15621" max="15621" width="8.5546875" style="18" customWidth="1"/>
    <col min="15622" max="15622" width="11.33203125" style="18" bestFit="1" customWidth="1"/>
    <col min="15623" max="15623" width="7.88671875" style="18" bestFit="1" customWidth="1"/>
    <col min="15624" max="15624" width="11.5546875" style="18" bestFit="1"/>
    <col min="15625" max="15625" width="8" style="18" bestFit="1" customWidth="1"/>
    <col min="15626" max="15626" width="11.5546875" style="18" bestFit="1"/>
    <col min="15627" max="15627" width="8.109375" style="18" bestFit="1" customWidth="1"/>
    <col min="15628" max="15628" width="11.5546875" style="18" bestFit="1"/>
    <col min="15629" max="15629" width="8.44140625" style="18" customWidth="1"/>
    <col min="15630" max="15630" width="7.33203125" style="18" bestFit="1" customWidth="1"/>
    <col min="15631" max="15631" width="11.5546875" style="18" bestFit="1"/>
    <col min="15632" max="15632" width="8.109375" style="18" customWidth="1"/>
    <col min="15633" max="15633" width="13" style="18" bestFit="1" customWidth="1"/>
    <col min="15634" max="15872" width="11.5546875" style="18"/>
    <col min="15873" max="15873" width="4.6640625" style="18" customWidth="1"/>
    <col min="15874" max="15874" width="50" style="18" customWidth="1"/>
    <col min="15875" max="15875" width="6.33203125" style="18" bestFit="1" customWidth="1"/>
    <col min="15876" max="15876" width="8.88671875" style="18" customWidth="1"/>
    <col min="15877" max="15877" width="8.5546875" style="18" customWidth="1"/>
    <col min="15878" max="15878" width="11.33203125" style="18" bestFit="1" customWidth="1"/>
    <col min="15879" max="15879" width="7.88671875" style="18" bestFit="1" customWidth="1"/>
    <col min="15880" max="15880" width="11.5546875" style="18" bestFit="1"/>
    <col min="15881" max="15881" width="8" style="18" bestFit="1" customWidth="1"/>
    <col min="15882" max="15882" width="11.5546875" style="18" bestFit="1"/>
    <col min="15883" max="15883" width="8.109375" style="18" bestFit="1" customWidth="1"/>
    <col min="15884" max="15884" width="11.5546875" style="18" bestFit="1"/>
    <col min="15885" max="15885" width="8.44140625" style="18" customWidth="1"/>
    <col min="15886" max="15886" width="7.33203125" style="18" bestFit="1" customWidth="1"/>
    <col min="15887" max="15887" width="11.5546875" style="18" bestFit="1"/>
    <col min="15888" max="15888" width="8.109375" style="18" customWidth="1"/>
    <col min="15889" max="15889" width="13" style="18" bestFit="1" customWidth="1"/>
    <col min="15890" max="16128" width="11.5546875" style="18"/>
    <col min="16129" max="16129" width="4.6640625" style="18" customWidth="1"/>
    <col min="16130" max="16130" width="50" style="18" customWidth="1"/>
    <col min="16131" max="16131" width="6.33203125" style="18" bestFit="1" customWidth="1"/>
    <col min="16132" max="16132" width="8.88671875" style="18" customWidth="1"/>
    <col min="16133" max="16133" width="8.5546875" style="18" customWidth="1"/>
    <col min="16134" max="16134" width="11.33203125" style="18" bestFit="1" customWidth="1"/>
    <col min="16135" max="16135" width="7.88671875" style="18" bestFit="1" customWidth="1"/>
    <col min="16136" max="16136" width="11.5546875" style="18" bestFit="1"/>
    <col min="16137" max="16137" width="8" style="18" bestFit="1" customWidth="1"/>
    <col min="16138" max="16138" width="11.5546875" style="18" bestFit="1"/>
    <col min="16139" max="16139" width="8.109375" style="18" bestFit="1" customWidth="1"/>
    <col min="16140" max="16140" width="11.5546875" style="18" bestFit="1"/>
    <col min="16141" max="16141" width="8.44140625" style="18" customWidth="1"/>
    <col min="16142" max="16142" width="7.33203125" style="18" bestFit="1" customWidth="1"/>
    <col min="16143" max="16143" width="11.5546875" style="18" bestFit="1"/>
    <col min="16144" max="16144" width="8.109375" style="18" customWidth="1"/>
    <col min="16145" max="16145" width="13" style="18" bestFit="1" customWidth="1"/>
    <col min="16146" max="16384" width="11.5546875" style="18"/>
  </cols>
  <sheetData>
    <row r="1" spans="1:18" s="5" customFormat="1" ht="13.2">
      <c r="B1" s="173"/>
      <c r="C1" s="174"/>
      <c r="E1" s="173" t="s">
        <v>11</v>
      </c>
      <c r="I1" s="56"/>
    </row>
    <row r="2" spans="1:18" s="5" customFormat="1" ht="13.2">
      <c r="B2" s="173"/>
      <c r="C2" s="174"/>
      <c r="D2" s="1450" t="s">
        <v>1832</v>
      </c>
      <c r="E2" s="1450"/>
      <c r="F2" s="1450"/>
      <c r="G2" s="1450"/>
      <c r="H2" s="1450"/>
      <c r="I2" s="56"/>
    </row>
    <row r="3" spans="1:18" s="5" customFormat="1" ht="16.5" customHeight="1">
      <c r="A3" s="1450" t="str">
        <f>[11]VAL.PRINC!B3</f>
        <v>INFORME CORRESPONDIENTE AL MES DE JUNIO DEL 2017</v>
      </c>
      <c r="B3" s="1450"/>
      <c r="C3" s="1450"/>
      <c r="D3" s="1450"/>
      <c r="E3" s="1450"/>
      <c r="F3" s="1450"/>
      <c r="G3" s="1450"/>
      <c r="H3" s="1450"/>
      <c r="I3" s="1450"/>
      <c r="J3" s="1450"/>
      <c r="K3" s="1450"/>
      <c r="L3" s="1450"/>
      <c r="M3" s="1450"/>
      <c r="N3" s="1450"/>
      <c r="O3" s="1450"/>
      <c r="P3" s="1450"/>
    </row>
    <row r="4" spans="1:18" s="169" customFormat="1" ht="32.25" customHeight="1">
      <c r="A4" s="170"/>
      <c r="B4" s="171" t="s">
        <v>5</v>
      </c>
      <c r="C4" s="172" t="s">
        <v>3</v>
      </c>
      <c r="D4" s="1550" t="str">
        <f>[11]VAL.PRINC!D4</f>
        <v>“MEJORAMIENTO DEL SERVICIO EDUCATIVO DE NIVEL INICIAL EN LA IEI 1100 PICHIUCA PROVINCIA DE ABANCAY - REGIÓN APURÍMAC".</v>
      </c>
      <c r="E4" s="1550"/>
      <c r="F4" s="1550"/>
      <c r="G4" s="1550"/>
      <c r="H4" s="1550"/>
      <c r="I4" s="1550"/>
      <c r="J4" s="1550"/>
      <c r="K4" s="1550"/>
      <c r="L4" s="1550"/>
      <c r="M4" s="168" t="s">
        <v>12</v>
      </c>
      <c r="N4" s="168"/>
      <c r="O4" s="1455">
        <v>42920</v>
      </c>
      <c r="P4" s="1455"/>
    </row>
    <row r="5" spans="1:18" s="5" customFormat="1" ht="12.75" customHeight="1">
      <c r="A5" s="937"/>
      <c r="B5" s="11" t="s">
        <v>4</v>
      </c>
      <c r="C5" s="12" t="s">
        <v>3</v>
      </c>
      <c r="D5" s="13" t="str">
        <f>[11]VAL.PRINC!D5</f>
        <v>22 EDUCACION</v>
      </c>
      <c r="E5" s="937"/>
      <c r="F5" s="937"/>
      <c r="G5" s="937"/>
      <c r="H5" s="937"/>
      <c r="I5" s="6"/>
      <c r="J5" s="1"/>
      <c r="K5" s="1"/>
      <c r="L5" s="1"/>
      <c r="M5" s="2" t="s">
        <v>13</v>
      </c>
      <c r="O5" s="937"/>
      <c r="P5" s="303" t="str">
        <f>[11]VAL.PRINC!P5</f>
        <v>LAMBRAMA</v>
      </c>
    </row>
    <row r="6" spans="1:18" s="5" customFormat="1" ht="13.2">
      <c r="A6" s="1"/>
      <c r="B6" s="11" t="s">
        <v>14</v>
      </c>
      <c r="C6" s="12" t="s">
        <v>3</v>
      </c>
      <c r="D6" s="13" t="str">
        <f>[11]VAL.PRINC!D6</f>
        <v>RECURSOS ORDINARIOS</v>
      </c>
      <c r="E6" s="1"/>
      <c r="F6" s="1"/>
      <c r="G6" s="1"/>
      <c r="H6" s="1"/>
      <c r="I6" s="4"/>
      <c r="J6" s="1"/>
      <c r="K6" s="1"/>
      <c r="L6" s="1"/>
      <c r="M6" s="2" t="s">
        <v>15</v>
      </c>
      <c r="O6" s="1"/>
      <c r="P6" s="303" t="str">
        <f>[11]VAL.PRINC!P6</f>
        <v>ABANCAY</v>
      </c>
    </row>
    <row r="7" spans="1:18" s="5" customFormat="1" ht="13.2">
      <c r="A7" s="1"/>
      <c r="B7" s="11" t="s">
        <v>16</v>
      </c>
      <c r="C7" s="12" t="s">
        <v>3</v>
      </c>
      <c r="D7" s="13" t="s">
        <v>10</v>
      </c>
      <c r="E7" s="1"/>
      <c r="F7" s="1"/>
      <c r="G7" s="1"/>
      <c r="H7" s="1"/>
      <c r="I7" s="4"/>
      <c r="J7" s="1"/>
      <c r="K7" s="1"/>
      <c r="L7" s="1"/>
      <c r="M7" s="2" t="s">
        <v>17</v>
      </c>
      <c r="O7" s="14"/>
      <c r="P7" s="303" t="str">
        <f>[11]VAL.PRINC!P7</f>
        <v>APURIMAC</v>
      </c>
    </row>
    <row r="8" spans="1:18" s="5" customFormat="1" ht="13.2">
      <c r="A8" s="1"/>
      <c r="B8" s="11" t="s">
        <v>18</v>
      </c>
      <c r="C8" s="12" t="s">
        <v>3</v>
      </c>
      <c r="D8" s="15">
        <v>2017</v>
      </c>
      <c r="E8" s="1"/>
      <c r="F8" s="1"/>
      <c r="G8" s="1"/>
      <c r="H8" s="1"/>
      <c r="I8" s="4"/>
      <c r="J8" s="1"/>
      <c r="K8" s="1"/>
      <c r="L8" s="2"/>
      <c r="M8" s="1"/>
      <c r="N8" s="1"/>
      <c r="O8" s="1"/>
      <c r="P8" s="1"/>
    </row>
    <row r="9" spans="1:18" ht="10.8" thickBot="1"/>
    <row r="10" spans="1:18" s="5" customFormat="1" ht="11.25" customHeight="1" thickBot="1">
      <c r="A10" s="1458" t="s">
        <v>19</v>
      </c>
      <c r="B10" s="1438" t="s">
        <v>20</v>
      </c>
      <c r="C10" s="1459" t="s">
        <v>21</v>
      </c>
      <c r="D10" s="1458" t="s">
        <v>22</v>
      </c>
      <c r="E10" s="1459"/>
      <c r="F10" s="1460"/>
      <c r="G10" s="1444" t="s">
        <v>23</v>
      </c>
      <c r="H10" s="1445"/>
      <c r="I10" s="1445"/>
      <c r="J10" s="1445"/>
      <c r="K10" s="1445"/>
      <c r="L10" s="1445"/>
      <c r="M10" s="1446"/>
      <c r="N10" s="1459" t="s">
        <v>24</v>
      </c>
      <c r="O10" s="1459"/>
      <c r="P10" s="1460"/>
    </row>
    <row r="11" spans="1:18" s="5" customFormat="1" ht="11.25" customHeight="1" thickBot="1">
      <c r="A11" s="1551"/>
      <c r="B11" s="1456"/>
      <c r="C11" s="1552"/>
      <c r="D11" s="1461"/>
      <c r="E11" s="1462"/>
      <c r="F11" s="1463"/>
      <c r="G11" s="1444" t="s">
        <v>25</v>
      </c>
      <c r="H11" s="1446"/>
      <c r="I11" s="1444" t="s">
        <v>26</v>
      </c>
      <c r="J11" s="1446"/>
      <c r="K11" s="1444" t="s">
        <v>27</v>
      </c>
      <c r="L11" s="1445"/>
      <c r="M11" s="1446"/>
      <c r="N11" s="1552"/>
      <c r="O11" s="1552"/>
      <c r="P11" s="1553"/>
    </row>
    <row r="12" spans="1:18" s="5" customFormat="1" ht="11.25" customHeight="1">
      <c r="A12" s="1551"/>
      <c r="B12" s="1456"/>
      <c r="C12" s="1552"/>
      <c r="D12" s="1438" t="s">
        <v>28</v>
      </c>
      <c r="E12" s="1565" t="s">
        <v>29</v>
      </c>
      <c r="F12" s="1438" t="s">
        <v>30</v>
      </c>
      <c r="G12" s="1554" t="s">
        <v>2</v>
      </c>
      <c r="H12" s="1558" t="s">
        <v>31</v>
      </c>
      <c r="I12" s="1554" t="s">
        <v>2</v>
      </c>
      <c r="J12" s="1558" t="s">
        <v>31</v>
      </c>
      <c r="K12" s="1554" t="s">
        <v>2</v>
      </c>
      <c r="L12" s="1558" t="s">
        <v>31</v>
      </c>
      <c r="M12" s="1554" t="s">
        <v>0</v>
      </c>
      <c r="N12" s="1556" t="s">
        <v>2</v>
      </c>
      <c r="O12" s="1558" t="s">
        <v>31</v>
      </c>
      <c r="P12" s="1556" t="s">
        <v>0</v>
      </c>
    </row>
    <row r="13" spans="1:18" s="5" customFormat="1" ht="11.25" customHeight="1" thickBot="1">
      <c r="A13" s="1551"/>
      <c r="B13" s="1456"/>
      <c r="C13" s="1552"/>
      <c r="D13" s="1456"/>
      <c r="E13" s="1565"/>
      <c r="F13" s="1456"/>
      <c r="G13" s="1555"/>
      <c r="H13" s="1559"/>
      <c r="I13" s="1555"/>
      <c r="J13" s="1559"/>
      <c r="K13" s="1555"/>
      <c r="L13" s="1559"/>
      <c r="M13" s="1555"/>
      <c r="N13" s="1557"/>
      <c r="O13" s="1559"/>
      <c r="P13" s="1557"/>
      <c r="Q13" s="5" t="s">
        <v>1</v>
      </c>
    </row>
    <row r="14" spans="1:18" ht="13.2">
      <c r="A14" s="526" t="s">
        <v>500</v>
      </c>
      <c r="B14" s="531" t="s">
        <v>1790</v>
      </c>
      <c r="C14" s="532"/>
      <c r="D14" s="486"/>
      <c r="E14" s="486"/>
      <c r="F14" s="533"/>
      <c r="G14" s="523"/>
      <c r="H14" s="533"/>
      <c r="I14" s="527"/>
      <c r="J14" s="533"/>
      <c r="K14" s="523"/>
      <c r="L14" s="533"/>
      <c r="M14" s="534"/>
      <c r="N14" s="523"/>
      <c r="O14" s="487"/>
      <c r="P14" s="307"/>
    </row>
    <row r="15" spans="1:18" ht="13.2">
      <c r="A15" s="528" t="s">
        <v>501</v>
      </c>
      <c r="B15" s="936" t="s">
        <v>33</v>
      </c>
      <c r="C15" s="525"/>
      <c r="D15" s="312"/>
      <c r="E15" s="312"/>
      <c r="F15" s="485"/>
      <c r="G15" s="521"/>
      <c r="H15" s="485"/>
      <c r="I15" s="524"/>
      <c r="J15" s="485"/>
      <c r="K15" s="521"/>
      <c r="L15" s="485"/>
      <c r="M15" s="529" t="str">
        <f>+IF(C15=0,"",L15/F15)</f>
        <v/>
      </c>
      <c r="N15" s="521"/>
      <c r="O15" s="313"/>
      <c r="P15" s="308" t="str">
        <f>+IF(F15=0,"",O15/F15)</f>
        <v/>
      </c>
    </row>
    <row r="16" spans="1:18">
      <c r="A16" s="128" t="s">
        <v>1791</v>
      </c>
      <c r="B16" s="519" t="s">
        <v>1946</v>
      </c>
      <c r="C16" s="520" t="s">
        <v>39</v>
      </c>
      <c r="D16" s="135">
        <f>K16</f>
        <v>1908.5900000000001</v>
      </c>
      <c r="E16" s="135">
        <v>45.62</v>
      </c>
      <c r="F16" s="309">
        <f>+D16*E16</f>
        <v>87069.875800000009</v>
      </c>
      <c r="G16" s="521">
        <v>1158.5900000000001</v>
      </c>
      <c r="H16" s="309">
        <f>G16*E16</f>
        <v>52854.875800000002</v>
      </c>
      <c r="I16" s="522">
        <f>'[11]MET. DIA P.N.'!AI13</f>
        <v>750</v>
      </c>
      <c r="J16" s="309">
        <f>I16*E16</f>
        <v>34215</v>
      </c>
      <c r="K16" s="521">
        <f>G16+I16</f>
        <v>1908.5900000000001</v>
      </c>
      <c r="L16" s="309">
        <f>K16*E16</f>
        <v>87069.875800000009</v>
      </c>
      <c r="M16" s="529">
        <f>+IF(C16=0,"",L16/F16)</f>
        <v>1</v>
      </c>
      <c r="N16" s="521">
        <f t="shared" ref="N16:N67" si="0">D16-K16</f>
        <v>0</v>
      </c>
      <c r="O16" s="309">
        <f t="shared" ref="O16:O67" si="1">N16*E16</f>
        <v>0</v>
      </c>
      <c r="P16" s="308">
        <f t="shared" ref="P16:P67" si="2">+IF(F16=0,"",O16/F16)</f>
        <v>0</v>
      </c>
      <c r="Q16" s="97">
        <f>1378.08+759.49</f>
        <v>2137.5699999999997</v>
      </c>
      <c r="R16" s="26">
        <f>Q16-K16</f>
        <v>228.97999999999956</v>
      </c>
    </row>
    <row r="17" spans="1:18">
      <c r="A17" s="841" t="s">
        <v>1814</v>
      </c>
      <c r="B17" s="519" t="s">
        <v>1820</v>
      </c>
      <c r="C17" s="520" t="s">
        <v>39</v>
      </c>
      <c r="D17" s="135">
        <f>K17</f>
        <v>196</v>
      </c>
      <c r="E17" s="135">
        <v>47.51</v>
      </c>
      <c r="F17" s="309">
        <f t="shared" ref="F17:F67" si="3">+D17*E17</f>
        <v>9311.9599999999991</v>
      </c>
      <c r="G17" s="521">
        <v>98</v>
      </c>
      <c r="H17" s="309">
        <f t="shared" ref="H17:H67" si="4">G17*E17</f>
        <v>4655.9799999999996</v>
      </c>
      <c r="I17" s="522">
        <f>'[11]MET. DIA P.N.'!AI14</f>
        <v>98</v>
      </c>
      <c r="J17" s="309">
        <f>I17*E17</f>
        <v>4655.9799999999996</v>
      </c>
      <c r="K17" s="521">
        <f>G17+I17</f>
        <v>196</v>
      </c>
      <c r="L17" s="309">
        <f t="shared" ref="L17:L67" si="5">K17*E17</f>
        <v>9311.9599999999991</v>
      </c>
      <c r="M17" s="529">
        <f t="shared" ref="M17:M67" si="6">+IF(C17=0,"",L17/F17)</f>
        <v>1</v>
      </c>
      <c r="N17" s="521">
        <f t="shared" si="0"/>
        <v>0</v>
      </c>
      <c r="O17" s="309">
        <f t="shared" si="1"/>
        <v>0</v>
      </c>
      <c r="P17" s="308">
        <f t="shared" si="2"/>
        <v>0</v>
      </c>
      <c r="Q17" s="97">
        <v>270</v>
      </c>
    </row>
    <row r="18" spans="1:18">
      <c r="A18" s="841" t="s">
        <v>1816</v>
      </c>
      <c r="B18" s="519" t="s">
        <v>1821</v>
      </c>
      <c r="C18" s="520" t="s">
        <v>39</v>
      </c>
      <c r="D18" s="135">
        <f t="shared" ref="D18:D67" si="7">K18</f>
        <v>29</v>
      </c>
      <c r="E18" s="135">
        <v>47.51</v>
      </c>
      <c r="F18" s="309">
        <f t="shared" si="3"/>
        <v>1377.79</v>
      </c>
      <c r="G18" s="521">
        <v>0</v>
      </c>
      <c r="H18" s="309">
        <f t="shared" si="4"/>
        <v>0</v>
      </c>
      <c r="I18" s="522">
        <v>29</v>
      </c>
      <c r="J18" s="309">
        <f t="shared" ref="J18:J67" si="8">I18*E18</f>
        <v>1377.79</v>
      </c>
      <c r="K18" s="521">
        <f t="shared" ref="K18:K67" si="9">G18+I18</f>
        <v>29</v>
      </c>
      <c r="L18" s="309">
        <f t="shared" si="5"/>
        <v>1377.79</v>
      </c>
      <c r="M18" s="529">
        <f>+IF(C18=0,"",L18/F18)</f>
        <v>1</v>
      </c>
      <c r="N18" s="521">
        <f t="shared" si="0"/>
        <v>0</v>
      </c>
      <c r="O18" s="309">
        <f t="shared" si="1"/>
        <v>0</v>
      </c>
      <c r="P18" s="308">
        <f t="shared" si="2"/>
        <v>0</v>
      </c>
      <c r="Q18" s="97">
        <v>80</v>
      </c>
    </row>
    <row r="19" spans="1:18">
      <c r="A19" s="841" t="s">
        <v>1817</v>
      </c>
      <c r="B19" s="519" t="s">
        <v>1822</v>
      </c>
      <c r="C19" s="520" t="s">
        <v>39</v>
      </c>
      <c r="D19" s="135">
        <f t="shared" si="7"/>
        <v>80</v>
      </c>
      <c r="E19" s="135">
        <v>47.51</v>
      </c>
      <c r="F19" s="309">
        <f t="shared" si="3"/>
        <v>3800.7999999999997</v>
      </c>
      <c r="G19" s="521">
        <v>72</v>
      </c>
      <c r="H19" s="309">
        <f t="shared" si="4"/>
        <v>3420.72</v>
      </c>
      <c r="I19" s="522">
        <v>8</v>
      </c>
      <c r="J19" s="309">
        <f t="shared" si="8"/>
        <v>380.08</v>
      </c>
      <c r="K19" s="521">
        <f t="shared" si="9"/>
        <v>80</v>
      </c>
      <c r="L19" s="309">
        <f t="shared" si="5"/>
        <v>3800.7999999999997</v>
      </c>
      <c r="M19" s="529">
        <f t="shared" si="6"/>
        <v>1</v>
      </c>
      <c r="N19" s="521">
        <f t="shared" si="0"/>
        <v>0</v>
      </c>
      <c r="O19" s="309">
        <f t="shared" si="1"/>
        <v>0</v>
      </c>
      <c r="P19" s="308">
        <f t="shared" si="2"/>
        <v>0</v>
      </c>
      <c r="Q19" s="97">
        <v>80</v>
      </c>
    </row>
    <row r="20" spans="1:18">
      <c r="A20" s="841" t="s">
        <v>1818</v>
      </c>
      <c r="B20" s="519" t="s">
        <v>1824</v>
      </c>
      <c r="C20" s="520" t="s">
        <v>1823</v>
      </c>
      <c r="D20" s="135">
        <f t="shared" si="7"/>
        <v>51340.6155</v>
      </c>
      <c r="E20" s="135">
        <v>0.19</v>
      </c>
      <c r="F20" s="309">
        <f t="shared" si="3"/>
        <v>9754.7169450000001</v>
      </c>
      <c r="G20" s="521">
        <v>25670.305500000002</v>
      </c>
      <c r="H20" s="309">
        <f t="shared" si="4"/>
        <v>4877.3580450000009</v>
      </c>
      <c r="I20" s="522">
        <f>'[11]MET. DIA P.N.'!AI17</f>
        <v>25670.31</v>
      </c>
      <c r="J20" s="309">
        <f t="shared" si="8"/>
        <v>4877.3589000000002</v>
      </c>
      <c r="K20" s="521">
        <f t="shared" si="9"/>
        <v>51340.6155</v>
      </c>
      <c r="L20" s="309">
        <f t="shared" si="5"/>
        <v>9754.7169450000001</v>
      </c>
      <c r="M20" s="529">
        <f t="shared" si="6"/>
        <v>1</v>
      </c>
      <c r="N20" s="521">
        <f t="shared" si="0"/>
        <v>0</v>
      </c>
      <c r="O20" s="309">
        <f t="shared" si="1"/>
        <v>0</v>
      </c>
      <c r="P20" s="308">
        <f t="shared" si="2"/>
        <v>0</v>
      </c>
      <c r="R20" s="943">
        <v>25670.305500000002</v>
      </c>
    </row>
    <row r="21" spans="1:18">
      <c r="A21" s="841" t="s">
        <v>1819</v>
      </c>
      <c r="B21" s="519" t="s">
        <v>1815</v>
      </c>
      <c r="C21" s="520" t="s">
        <v>39</v>
      </c>
      <c r="D21" s="135">
        <f t="shared" si="7"/>
        <v>98</v>
      </c>
      <c r="E21" s="135">
        <v>44.63</v>
      </c>
      <c r="F21" s="309">
        <f t="shared" si="3"/>
        <v>4373.7400000000007</v>
      </c>
      <c r="G21" s="521">
        <v>49</v>
      </c>
      <c r="H21" s="309">
        <f t="shared" si="4"/>
        <v>2186.8700000000003</v>
      </c>
      <c r="I21" s="522">
        <f>'[11]MET. DIA P.N.'!AI18</f>
        <v>49</v>
      </c>
      <c r="J21" s="309">
        <f t="shared" si="8"/>
        <v>2186.8700000000003</v>
      </c>
      <c r="K21" s="521">
        <f t="shared" si="9"/>
        <v>98</v>
      </c>
      <c r="L21" s="309">
        <f t="shared" si="5"/>
        <v>4373.7400000000007</v>
      </c>
      <c r="M21" s="529">
        <f t="shared" si="6"/>
        <v>1</v>
      </c>
      <c r="N21" s="521">
        <f t="shared" si="0"/>
        <v>0</v>
      </c>
      <c r="O21" s="309">
        <f t="shared" si="1"/>
        <v>0</v>
      </c>
      <c r="P21" s="308">
        <f t="shared" si="2"/>
        <v>0</v>
      </c>
      <c r="Q21" s="97">
        <v>330</v>
      </c>
    </row>
    <row r="22" spans="1:18">
      <c r="A22" s="841" t="s">
        <v>1825</v>
      </c>
      <c r="B22" s="519" t="s">
        <v>1829</v>
      </c>
      <c r="C22" s="520" t="s">
        <v>1828</v>
      </c>
      <c r="D22" s="135">
        <f t="shared" si="7"/>
        <v>14784</v>
      </c>
      <c r="E22" s="135">
        <v>0.48</v>
      </c>
      <c r="F22" s="309">
        <f t="shared" si="3"/>
        <v>7096.32</v>
      </c>
      <c r="G22" s="521">
        <v>7392</v>
      </c>
      <c r="H22" s="309">
        <f t="shared" si="4"/>
        <v>3548.16</v>
      </c>
      <c r="I22" s="522">
        <f>'[11]MET. DIA P.N.'!AI19</f>
        <v>7392</v>
      </c>
      <c r="J22" s="309">
        <f t="shared" si="8"/>
        <v>3548.16</v>
      </c>
      <c r="K22" s="521">
        <f t="shared" si="9"/>
        <v>14784</v>
      </c>
      <c r="L22" s="309">
        <f t="shared" si="5"/>
        <v>7096.32</v>
      </c>
      <c r="M22" s="529">
        <f t="shared" si="6"/>
        <v>1</v>
      </c>
      <c r="N22" s="521">
        <f t="shared" si="0"/>
        <v>0</v>
      </c>
      <c r="O22" s="309">
        <f t="shared" si="1"/>
        <v>0</v>
      </c>
      <c r="P22" s="308">
        <f t="shared" si="2"/>
        <v>0</v>
      </c>
      <c r="Q22" s="97">
        <f>7392+5083.34</f>
        <v>12475.34</v>
      </c>
      <c r="R22" s="18">
        <v>5083.34</v>
      </c>
    </row>
    <row r="23" spans="1:18">
      <c r="A23" s="841" t="s">
        <v>1826</v>
      </c>
      <c r="B23" s="519" t="s">
        <v>1830</v>
      </c>
      <c r="C23" s="520" t="s">
        <v>1828</v>
      </c>
      <c r="D23" s="135">
        <f t="shared" si="7"/>
        <v>16236</v>
      </c>
      <c r="E23" s="135">
        <v>0.28999999999999998</v>
      </c>
      <c r="F23" s="309">
        <f t="shared" si="3"/>
        <v>4708.4399999999996</v>
      </c>
      <c r="G23" s="521">
        <v>8118</v>
      </c>
      <c r="H23" s="309">
        <f t="shared" si="4"/>
        <v>2354.2199999999998</v>
      </c>
      <c r="I23" s="522">
        <f>'[11]MET. DIA P.N.'!AI20</f>
        <v>8118</v>
      </c>
      <c r="J23" s="309">
        <f t="shared" si="8"/>
        <v>2354.2199999999998</v>
      </c>
      <c r="K23" s="521">
        <f t="shared" si="9"/>
        <v>16236</v>
      </c>
      <c r="L23" s="309">
        <f t="shared" si="5"/>
        <v>4708.4399999999996</v>
      </c>
      <c r="M23" s="529">
        <f t="shared" si="6"/>
        <v>1</v>
      </c>
      <c r="N23" s="521">
        <f t="shared" si="0"/>
        <v>0</v>
      </c>
      <c r="O23" s="309">
        <f t="shared" si="1"/>
        <v>0</v>
      </c>
      <c r="P23" s="308">
        <f t="shared" si="2"/>
        <v>0</v>
      </c>
      <c r="Q23" s="97">
        <f>8118+1546.06</f>
        <v>9664.06</v>
      </c>
      <c r="R23" s="18">
        <v>1546.06</v>
      </c>
    </row>
    <row r="24" spans="1:18">
      <c r="A24" s="841" t="s">
        <v>1827</v>
      </c>
      <c r="B24" s="519" t="s">
        <v>1831</v>
      </c>
      <c r="C24" s="520" t="s">
        <v>36</v>
      </c>
      <c r="D24" s="135">
        <f t="shared" si="7"/>
        <v>595.36</v>
      </c>
      <c r="E24" s="135">
        <v>5.71</v>
      </c>
      <c r="F24" s="309">
        <f t="shared" si="3"/>
        <v>3399.5056</v>
      </c>
      <c r="G24" s="521">
        <v>297.68</v>
      </c>
      <c r="H24" s="309">
        <f t="shared" si="4"/>
        <v>1699.7528</v>
      </c>
      <c r="I24" s="522">
        <f>'[11]MET. DIA P.N.'!AI21</f>
        <v>297.68</v>
      </c>
      <c r="J24" s="309">
        <f t="shared" si="8"/>
        <v>1699.7528</v>
      </c>
      <c r="K24" s="521">
        <f t="shared" si="9"/>
        <v>595.36</v>
      </c>
      <c r="L24" s="309">
        <f t="shared" si="5"/>
        <v>3399.5056</v>
      </c>
      <c r="M24" s="529">
        <f t="shared" si="6"/>
        <v>1</v>
      </c>
      <c r="N24" s="521">
        <f t="shared" si="0"/>
        <v>0</v>
      </c>
      <c r="O24" s="309">
        <f t="shared" si="1"/>
        <v>0</v>
      </c>
      <c r="P24" s="308">
        <f t="shared" si="2"/>
        <v>0</v>
      </c>
      <c r="Q24" s="97">
        <v>297.68</v>
      </c>
    </row>
    <row r="25" spans="1:18">
      <c r="A25" s="604" t="s">
        <v>1875</v>
      </c>
      <c r="B25" s="804" t="s">
        <v>1888</v>
      </c>
      <c r="C25" s="520" t="s">
        <v>72</v>
      </c>
      <c r="D25" s="135"/>
      <c r="E25" s="135"/>
      <c r="F25" s="309"/>
      <c r="G25" s="521">
        <v>0</v>
      </c>
      <c r="H25" s="309"/>
      <c r="I25" s="522"/>
      <c r="J25" s="309"/>
      <c r="K25" s="521"/>
      <c r="L25" s="309"/>
      <c r="M25" s="529"/>
      <c r="N25" s="521"/>
      <c r="O25" s="309"/>
      <c r="P25" s="308"/>
      <c r="Q25" s="97">
        <v>20270</v>
      </c>
    </row>
    <row r="26" spans="1:18">
      <c r="A26" s="604" t="s">
        <v>1886</v>
      </c>
      <c r="B26" s="804" t="s">
        <v>1887</v>
      </c>
      <c r="C26" s="520" t="s">
        <v>72</v>
      </c>
      <c r="D26" s="135"/>
      <c r="E26" s="135"/>
      <c r="F26" s="309"/>
      <c r="G26" s="521">
        <v>0</v>
      </c>
      <c r="H26" s="309"/>
      <c r="I26" s="522"/>
      <c r="J26" s="309"/>
      <c r="K26" s="521"/>
      <c r="L26" s="309"/>
      <c r="M26" s="529"/>
      <c r="N26" s="521"/>
      <c r="O26" s="309"/>
      <c r="P26" s="308"/>
      <c r="Q26" s="97">
        <v>2200</v>
      </c>
    </row>
    <row r="27" spans="1:18" hidden="1">
      <c r="A27" s="604" t="s">
        <v>1890</v>
      </c>
      <c r="B27" s="804" t="s">
        <v>1891</v>
      </c>
      <c r="C27" s="520" t="s">
        <v>72</v>
      </c>
      <c r="D27" s="135"/>
      <c r="E27" s="135"/>
      <c r="F27" s="309"/>
      <c r="G27" s="521"/>
      <c r="H27" s="309"/>
      <c r="I27" s="522"/>
      <c r="J27" s="309"/>
      <c r="K27" s="521"/>
      <c r="L27" s="309"/>
      <c r="M27" s="529"/>
      <c r="N27" s="521"/>
      <c r="O27" s="309"/>
      <c r="P27" s="308"/>
      <c r="Q27" s="97">
        <v>390</v>
      </c>
    </row>
    <row r="28" spans="1:18" hidden="1">
      <c r="A28" s="604" t="s">
        <v>1892</v>
      </c>
      <c r="B28" s="804" t="s">
        <v>1893</v>
      </c>
      <c r="C28" s="520" t="s">
        <v>72</v>
      </c>
      <c r="D28" s="135"/>
      <c r="E28" s="135"/>
      <c r="F28" s="309"/>
      <c r="G28" s="521"/>
      <c r="H28" s="309"/>
      <c r="I28" s="522"/>
      <c r="J28" s="309"/>
      <c r="K28" s="521"/>
      <c r="L28" s="309"/>
      <c r="M28" s="529"/>
      <c r="N28" s="521"/>
      <c r="O28" s="309"/>
      <c r="P28" s="308"/>
      <c r="Q28" s="97">
        <v>5000</v>
      </c>
    </row>
    <row r="29" spans="1:18" hidden="1">
      <c r="A29" s="604" t="s">
        <v>1894</v>
      </c>
      <c r="B29" s="804" t="s">
        <v>1899</v>
      </c>
      <c r="C29" s="520" t="s">
        <v>72</v>
      </c>
      <c r="D29" s="135"/>
      <c r="E29" s="135"/>
      <c r="F29" s="309"/>
      <c r="G29" s="521"/>
      <c r="H29" s="309"/>
      <c r="I29" s="522"/>
      <c r="J29" s="309"/>
      <c r="K29" s="521"/>
      <c r="L29" s="309"/>
      <c r="M29" s="529"/>
      <c r="N29" s="521"/>
      <c r="O29" s="309"/>
      <c r="P29" s="308"/>
      <c r="Q29" s="97">
        <v>660</v>
      </c>
    </row>
    <row r="30" spans="1:18" hidden="1">
      <c r="A30" s="604" t="s">
        <v>1896</v>
      </c>
      <c r="B30" s="804" t="s">
        <v>1895</v>
      </c>
      <c r="C30" s="520" t="s">
        <v>275</v>
      </c>
      <c r="D30" s="135"/>
      <c r="E30" s="135"/>
      <c r="F30" s="309"/>
      <c r="G30" s="521"/>
      <c r="H30" s="309"/>
      <c r="I30" s="522"/>
      <c r="J30" s="309"/>
      <c r="K30" s="521"/>
      <c r="L30" s="309"/>
      <c r="M30" s="529"/>
      <c r="N30" s="521"/>
      <c r="O30" s="309"/>
      <c r="P30" s="308"/>
      <c r="Q30" s="97">
        <v>506</v>
      </c>
    </row>
    <row r="31" spans="1:18" hidden="1">
      <c r="A31" s="604" t="s">
        <v>1898</v>
      </c>
      <c r="B31" s="804" t="s">
        <v>1897</v>
      </c>
      <c r="C31" s="520" t="s">
        <v>275</v>
      </c>
      <c r="D31" s="135"/>
      <c r="E31" s="135"/>
      <c r="F31" s="309"/>
      <c r="G31" s="521"/>
      <c r="H31" s="309"/>
      <c r="I31" s="522"/>
      <c r="J31" s="309"/>
      <c r="K31" s="521"/>
      <c r="L31" s="309"/>
      <c r="M31" s="529"/>
      <c r="N31" s="521"/>
      <c r="O31" s="309"/>
      <c r="P31" s="308"/>
      <c r="Q31" s="97">
        <v>34.78</v>
      </c>
    </row>
    <row r="32" spans="1:18" hidden="1">
      <c r="A32" s="604" t="s">
        <v>1900</v>
      </c>
      <c r="B32" s="804" t="s">
        <v>1901</v>
      </c>
      <c r="C32" s="520" t="s">
        <v>72</v>
      </c>
      <c r="D32" s="135"/>
      <c r="E32" s="135"/>
      <c r="F32" s="309"/>
      <c r="G32" s="521"/>
      <c r="H32" s="309"/>
      <c r="I32" s="522"/>
      <c r="J32" s="309"/>
      <c r="K32" s="521"/>
      <c r="L32" s="309"/>
      <c r="M32" s="529"/>
      <c r="N32" s="521"/>
      <c r="O32" s="309"/>
      <c r="P32" s="308"/>
      <c r="Q32" s="97">
        <v>50</v>
      </c>
    </row>
    <row r="33" spans="1:17" hidden="1">
      <c r="A33" s="604" t="s">
        <v>1902</v>
      </c>
      <c r="B33" s="804" t="s">
        <v>1903</v>
      </c>
      <c r="C33" s="520" t="s">
        <v>72</v>
      </c>
      <c r="D33" s="135"/>
      <c r="E33" s="135"/>
      <c r="F33" s="309"/>
      <c r="G33" s="521"/>
      <c r="H33" s="309"/>
      <c r="I33" s="522"/>
      <c r="J33" s="309"/>
      <c r="K33" s="521"/>
      <c r="L33" s="309"/>
      <c r="M33" s="529"/>
      <c r="N33" s="521"/>
      <c r="O33" s="309"/>
      <c r="P33" s="308"/>
      <c r="Q33" s="97">
        <v>50</v>
      </c>
    </row>
    <row r="34" spans="1:17" hidden="1">
      <c r="A34" s="604" t="s">
        <v>1904</v>
      </c>
      <c r="B34" s="804" t="s">
        <v>1907</v>
      </c>
      <c r="C34" s="520" t="s">
        <v>72</v>
      </c>
      <c r="D34" s="135"/>
      <c r="E34" s="135"/>
      <c r="F34" s="309"/>
      <c r="G34" s="521"/>
      <c r="H34" s="309"/>
      <c r="I34" s="522"/>
      <c r="J34" s="309"/>
      <c r="K34" s="521"/>
      <c r="L34" s="309"/>
      <c r="M34" s="529"/>
      <c r="N34" s="521"/>
      <c r="O34" s="309"/>
      <c r="P34" s="308"/>
      <c r="Q34" s="97">
        <v>78</v>
      </c>
    </row>
    <row r="35" spans="1:17" hidden="1">
      <c r="A35" s="604" t="s">
        <v>1905</v>
      </c>
      <c r="B35" s="804" t="s">
        <v>1916</v>
      </c>
      <c r="C35" s="520" t="s">
        <v>72</v>
      </c>
      <c r="D35" s="135"/>
      <c r="E35" s="135"/>
      <c r="F35" s="309"/>
      <c r="G35" s="521"/>
      <c r="H35" s="309"/>
      <c r="I35" s="522"/>
      <c r="J35" s="309"/>
      <c r="K35" s="521"/>
      <c r="L35" s="309"/>
      <c r="M35" s="529"/>
      <c r="N35" s="521"/>
      <c r="O35" s="309"/>
      <c r="P35" s="308"/>
      <c r="Q35" s="942">
        <v>71</v>
      </c>
    </row>
    <row r="36" spans="1:17" hidden="1">
      <c r="A36" s="604" t="s">
        <v>1908</v>
      </c>
      <c r="B36" s="804" t="s">
        <v>1906</v>
      </c>
      <c r="C36" s="520" t="s">
        <v>72</v>
      </c>
      <c r="D36" s="135"/>
      <c r="E36" s="135"/>
      <c r="F36" s="309"/>
      <c r="G36" s="521"/>
      <c r="H36" s="309"/>
      <c r="I36" s="522"/>
      <c r="J36" s="309"/>
      <c r="K36" s="521"/>
      <c r="L36" s="309"/>
      <c r="M36" s="529"/>
      <c r="N36" s="521"/>
      <c r="O36" s="309"/>
      <c r="P36" s="308"/>
      <c r="Q36" s="942">
        <v>385</v>
      </c>
    </row>
    <row r="37" spans="1:17" hidden="1">
      <c r="A37" s="604" t="s">
        <v>1909</v>
      </c>
      <c r="B37" s="804" t="s">
        <v>1913</v>
      </c>
      <c r="C37" s="520" t="s">
        <v>1945</v>
      </c>
      <c r="D37" s="135"/>
      <c r="E37" s="135"/>
      <c r="F37" s="309"/>
      <c r="G37" s="521"/>
      <c r="H37" s="309"/>
      <c r="I37" s="522"/>
      <c r="J37" s="309"/>
      <c r="K37" s="521"/>
      <c r="L37" s="309"/>
      <c r="M37" s="529"/>
      <c r="N37" s="521"/>
      <c r="O37" s="309"/>
      <c r="P37" s="308"/>
      <c r="Q37" s="942">
        <v>100</v>
      </c>
    </row>
    <row r="38" spans="1:17" hidden="1">
      <c r="A38" s="604" t="s">
        <v>1911</v>
      </c>
      <c r="B38" s="804" t="s">
        <v>1910</v>
      </c>
      <c r="C38" s="520" t="s">
        <v>275</v>
      </c>
      <c r="D38" s="135"/>
      <c r="E38" s="135"/>
      <c r="F38" s="309"/>
      <c r="G38" s="521"/>
      <c r="H38" s="309"/>
      <c r="I38" s="522"/>
      <c r="J38" s="309"/>
      <c r="K38" s="521"/>
      <c r="L38" s="309"/>
      <c r="M38" s="529"/>
      <c r="N38" s="521"/>
      <c r="O38" s="309"/>
      <c r="P38" s="308"/>
      <c r="Q38" s="942">
        <v>107</v>
      </c>
    </row>
    <row r="39" spans="1:17" hidden="1">
      <c r="A39" s="604" t="s">
        <v>1914</v>
      </c>
      <c r="B39" s="804" t="s">
        <v>1912</v>
      </c>
      <c r="C39" s="520" t="s">
        <v>275</v>
      </c>
      <c r="D39" s="135"/>
      <c r="E39" s="135"/>
      <c r="F39" s="309"/>
      <c r="G39" s="521"/>
      <c r="H39" s="309"/>
      <c r="I39" s="522"/>
      <c r="J39" s="309"/>
      <c r="K39" s="521"/>
      <c r="L39" s="309"/>
      <c r="M39" s="529"/>
      <c r="N39" s="521"/>
      <c r="O39" s="309"/>
      <c r="P39" s="308"/>
      <c r="Q39" s="942">
        <v>105</v>
      </c>
    </row>
    <row r="40" spans="1:17" hidden="1">
      <c r="A40" s="604" t="s">
        <v>1915</v>
      </c>
      <c r="B40" s="804" t="s">
        <v>1889</v>
      </c>
      <c r="C40" s="520" t="s">
        <v>1945</v>
      </c>
      <c r="D40" s="135"/>
      <c r="E40" s="135"/>
      <c r="F40" s="309"/>
      <c r="G40" s="521"/>
      <c r="H40" s="309"/>
      <c r="I40" s="522"/>
      <c r="J40" s="309"/>
      <c r="K40" s="521"/>
      <c r="L40" s="309"/>
      <c r="M40" s="529"/>
      <c r="N40" s="521"/>
      <c r="O40" s="309"/>
      <c r="P40" s="308"/>
      <c r="Q40" s="942">
        <v>3800</v>
      </c>
    </row>
    <row r="41" spans="1:17">
      <c r="A41" s="939" t="s">
        <v>1917</v>
      </c>
      <c r="B41" s="804" t="s">
        <v>1188</v>
      </c>
      <c r="C41" s="520"/>
      <c r="D41" s="135"/>
      <c r="E41" s="135"/>
      <c r="F41" s="309"/>
      <c r="G41" s="521"/>
      <c r="H41" s="309"/>
      <c r="I41" s="522"/>
      <c r="J41" s="309"/>
      <c r="K41" s="521"/>
      <c r="L41" s="309"/>
      <c r="M41" s="529"/>
      <c r="N41" s="521"/>
      <c r="O41" s="309"/>
      <c r="P41" s="308"/>
      <c r="Q41" s="942"/>
    </row>
    <row r="42" spans="1:17">
      <c r="A42" s="940" t="s">
        <v>1919</v>
      </c>
      <c r="B42" s="804" t="s">
        <v>1834</v>
      </c>
      <c r="C42" s="520"/>
      <c r="D42" s="135"/>
      <c r="E42" s="135"/>
      <c r="F42" s="309"/>
      <c r="G42" s="521"/>
      <c r="H42" s="309"/>
      <c r="I42" s="522"/>
      <c r="J42" s="309"/>
      <c r="K42" s="521"/>
      <c r="L42" s="309"/>
      <c r="M42" s="529"/>
      <c r="N42" s="521"/>
      <c r="O42" s="309"/>
      <c r="P42" s="308"/>
      <c r="Q42" s="942"/>
    </row>
    <row r="43" spans="1:17">
      <c r="A43" s="940" t="s">
        <v>1920</v>
      </c>
      <c r="B43" s="804" t="s">
        <v>1835</v>
      </c>
      <c r="C43" s="520" t="s">
        <v>39</v>
      </c>
      <c r="D43" s="135"/>
      <c r="E43" s="135"/>
      <c r="F43" s="309"/>
      <c r="G43" s="521">
        <v>3.17</v>
      </c>
      <c r="H43" s="309"/>
      <c r="I43" s="522"/>
      <c r="J43" s="309"/>
      <c r="K43" s="521"/>
      <c r="L43" s="309"/>
      <c r="M43" s="529"/>
      <c r="N43" s="521"/>
      <c r="O43" s="309"/>
      <c r="P43" s="308"/>
      <c r="Q43" s="946">
        <v>3.17</v>
      </c>
    </row>
    <row r="44" spans="1:17">
      <c r="A44" s="940" t="s">
        <v>1921</v>
      </c>
      <c r="B44" s="804" t="s">
        <v>1876</v>
      </c>
      <c r="C44" s="520"/>
      <c r="D44" s="135"/>
      <c r="E44" s="135"/>
      <c r="F44" s="309"/>
      <c r="G44" s="521"/>
      <c r="H44" s="309"/>
      <c r="I44" s="522"/>
      <c r="J44" s="309"/>
      <c r="K44" s="521"/>
      <c r="L44" s="309"/>
      <c r="M44" s="529"/>
      <c r="N44" s="521"/>
      <c r="O44" s="309"/>
      <c r="P44" s="308"/>
      <c r="Q44" s="942"/>
    </row>
    <row r="45" spans="1:17">
      <c r="A45" s="940" t="s">
        <v>1922</v>
      </c>
      <c r="B45" s="804" t="s">
        <v>1877</v>
      </c>
      <c r="C45" s="520"/>
      <c r="D45" s="135"/>
      <c r="E45" s="135"/>
      <c r="F45" s="309"/>
      <c r="G45" s="521"/>
      <c r="H45" s="309"/>
      <c r="I45" s="522"/>
      <c r="J45" s="309"/>
      <c r="K45" s="521"/>
      <c r="L45" s="309"/>
      <c r="M45" s="529"/>
      <c r="N45" s="521"/>
      <c r="O45" s="309"/>
      <c r="P45" s="308"/>
      <c r="Q45" s="942"/>
    </row>
    <row r="46" spans="1:17">
      <c r="A46" s="940" t="s">
        <v>1924</v>
      </c>
      <c r="B46" s="804" t="s">
        <v>1878</v>
      </c>
      <c r="C46" s="520" t="s">
        <v>39</v>
      </c>
      <c r="D46" s="135"/>
      <c r="E46" s="135"/>
      <c r="F46" s="309"/>
      <c r="G46" s="521">
        <v>0</v>
      </c>
      <c r="H46" s="309"/>
      <c r="I46" s="522"/>
      <c r="J46" s="309"/>
      <c r="K46" s="521"/>
      <c r="L46" s="309"/>
      <c r="M46" s="529"/>
      <c r="N46" s="521"/>
      <c r="O46" s="309"/>
      <c r="P46" s="308"/>
      <c r="Q46" s="941">
        <f>13.6713*0.25*0.6+16.5658*0.25*0.6+2.5853*0.25*0.6*4+2.5853*0.12*0.6</f>
        <v>6.2728866000000005</v>
      </c>
    </row>
    <row r="47" spans="1:17">
      <c r="A47" s="940" t="s">
        <v>1925</v>
      </c>
      <c r="B47" s="804" t="s">
        <v>1879</v>
      </c>
      <c r="C47" s="520" t="s">
        <v>36</v>
      </c>
      <c r="D47" s="135"/>
      <c r="E47" s="135"/>
      <c r="F47" s="309"/>
      <c r="G47" s="521">
        <v>0</v>
      </c>
      <c r="H47" s="309"/>
      <c r="I47" s="522"/>
      <c r="J47" s="309"/>
      <c r="K47" s="521"/>
      <c r="L47" s="309"/>
      <c r="M47" s="529"/>
      <c r="N47" s="521"/>
      <c r="O47" s="309"/>
      <c r="P47" s="308"/>
      <c r="Q47" s="941">
        <f>87.87*0.6</f>
        <v>52.722000000000001</v>
      </c>
    </row>
    <row r="48" spans="1:17">
      <c r="A48" s="940" t="s">
        <v>1926</v>
      </c>
      <c r="B48" s="804" t="s">
        <v>1880</v>
      </c>
      <c r="C48" s="520" t="s">
        <v>1823</v>
      </c>
      <c r="D48" s="135"/>
      <c r="E48" s="135"/>
      <c r="F48" s="309"/>
      <c r="G48" s="521">
        <v>0</v>
      </c>
      <c r="H48" s="309"/>
      <c r="I48" s="522"/>
      <c r="J48" s="309"/>
      <c r="K48" s="521"/>
      <c r="L48" s="309"/>
      <c r="M48" s="529"/>
      <c r="N48" s="521"/>
      <c r="O48" s="309"/>
      <c r="P48" s="308"/>
      <c r="Q48" s="941">
        <f>183.3/2</f>
        <v>91.65</v>
      </c>
    </row>
    <row r="49" spans="1:17">
      <c r="A49" s="940" t="s">
        <v>1923</v>
      </c>
      <c r="B49" s="804" t="s">
        <v>1881</v>
      </c>
      <c r="C49" s="520"/>
      <c r="D49" s="135"/>
      <c r="E49" s="135"/>
      <c r="F49" s="309"/>
      <c r="G49" s="521"/>
      <c r="H49" s="309"/>
      <c r="I49" s="522"/>
      <c r="J49" s="309"/>
      <c r="K49" s="521"/>
      <c r="L49" s="309"/>
      <c r="M49" s="529"/>
      <c r="N49" s="521"/>
      <c r="O49" s="309"/>
      <c r="P49" s="308"/>
      <c r="Q49" s="941"/>
    </row>
    <row r="50" spans="1:17">
      <c r="A50" s="940" t="s">
        <v>1927</v>
      </c>
      <c r="B50" s="804" t="s">
        <v>1882</v>
      </c>
      <c r="C50" s="520" t="s">
        <v>39</v>
      </c>
      <c r="D50" s="135"/>
      <c r="E50" s="135"/>
      <c r="F50" s="309"/>
      <c r="G50" s="521">
        <v>0</v>
      </c>
      <c r="H50" s="309"/>
      <c r="I50" s="522"/>
      <c r="J50" s="309"/>
      <c r="K50" s="521"/>
      <c r="L50" s="309"/>
      <c r="M50" s="529"/>
      <c r="N50" s="521"/>
      <c r="O50" s="309"/>
      <c r="P50" s="308"/>
      <c r="Q50" s="941">
        <f>13.6713*0.25*0.5+16.5658*0.25*0.5+2.5853*0.25*0.5*4+2.5853*0.12*0.5</f>
        <v>5.2274054999999997</v>
      </c>
    </row>
    <row r="51" spans="1:17">
      <c r="A51" s="940" t="s">
        <v>1928</v>
      </c>
      <c r="B51" s="804" t="s">
        <v>1883</v>
      </c>
      <c r="C51" s="520" t="s">
        <v>36</v>
      </c>
      <c r="D51" s="135"/>
      <c r="E51" s="135"/>
      <c r="F51" s="309"/>
      <c r="G51" s="521">
        <v>0</v>
      </c>
      <c r="H51" s="309"/>
      <c r="I51" s="522"/>
      <c r="J51" s="309"/>
      <c r="K51" s="521"/>
      <c r="L51" s="309"/>
      <c r="M51" s="529"/>
      <c r="N51" s="521"/>
      <c r="O51" s="309"/>
      <c r="P51" s="308"/>
      <c r="Q51" s="941">
        <f>87.87*0.5</f>
        <v>43.935000000000002</v>
      </c>
    </row>
    <row r="52" spans="1:17">
      <c r="A52" s="940" t="s">
        <v>1929</v>
      </c>
      <c r="B52" s="804" t="s">
        <v>1884</v>
      </c>
      <c r="C52" s="520" t="s">
        <v>1823</v>
      </c>
      <c r="D52" s="135"/>
      <c r="E52" s="135"/>
      <c r="F52" s="309"/>
      <c r="G52" s="521">
        <v>0</v>
      </c>
      <c r="H52" s="309"/>
      <c r="I52" s="522"/>
      <c r="J52" s="309"/>
      <c r="K52" s="521"/>
      <c r="L52" s="309"/>
      <c r="M52" s="529"/>
      <c r="N52" s="521"/>
      <c r="O52" s="309"/>
      <c r="P52" s="308"/>
      <c r="Q52" s="941">
        <v>91.65</v>
      </c>
    </row>
    <row r="53" spans="1:17">
      <c r="A53" s="939" t="s">
        <v>1918</v>
      </c>
      <c r="B53" s="804" t="s">
        <v>1195</v>
      </c>
      <c r="C53" s="520"/>
      <c r="D53" s="135"/>
      <c r="E53" s="135"/>
      <c r="F53" s="309"/>
      <c r="G53" s="521"/>
      <c r="H53" s="309"/>
      <c r="I53" s="522"/>
      <c r="J53" s="309"/>
      <c r="K53" s="521"/>
      <c r="L53" s="309"/>
      <c r="M53" s="529"/>
      <c r="N53" s="521"/>
      <c r="O53" s="309"/>
      <c r="P53" s="308"/>
      <c r="Q53" s="941"/>
    </row>
    <row r="54" spans="1:17">
      <c r="A54" s="940" t="s">
        <v>1930</v>
      </c>
      <c r="B54" s="804" t="s">
        <v>1834</v>
      </c>
      <c r="C54" s="520"/>
      <c r="D54" s="135"/>
      <c r="E54" s="135"/>
      <c r="F54" s="309"/>
      <c r="G54" s="521"/>
      <c r="H54" s="309"/>
      <c r="I54" s="522"/>
      <c r="J54" s="309"/>
      <c r="K54" s="521"/>
      <c r="L54" s="309"/>
      <c r="M54" s="529"/>
      <c r="N54" s="521"/>
      <c r="O54" s="309"/>
      <c r="P54" s="308"/>
      <c r="Q54" s="941"/>
    </row>
    <row r="55" spans="1:17">
      <c r="A55" s="940" t="s">
        <v>1932</v>
      </c>
      <c r="B55" s="804" t="s">
        <v>1835</v>
      </c>
      <c r="C55" s="520" t="s">
        <v>39</v>
      </c>
      <c r="D55" s="135"/>
      <c r="E55" s="135"/>
      <c r="F55" s="309"/>
      <c r="G55" s="521">
        <v>23.759999999999998</v>
      </c>
      <c r="H55" s="309"/>
      <c r="I55" s="522"/>
      <c r="J55" s="309"/>
      <c r="K55" s="521"/>
      <c r="L55" s="309"/>
      <c r="M55" s="529"/>
      <c r="N55" s="521"/>
      <c r="O55" s="309"/>
      <c r="P55" s="308"/>
      <c r="Q55" s="946">
        <v>23.76</v>
      </c>
    </row>
    <row r="56" spans="1:17">
      <c r="A56" s="940" t="s">
        <v>1931</v>
      </c>
      <c r="B56" s="804" t="s">
        <v>1876</v>
      </c>
      <c r="C56" s="520"/>
      <c r="D56" s="135"/>
      <c r="E56" s="135"/>
      <c r="F56" s="309"/>
      <c r="G56" s="521"/>
      <c r="H56" s="309"/>
      <c r="I56" s="522"/>
      <c r="J56" s="309"/>
      <c r="K56" s="521"/>
      <c r="L56" s="309"/>
      <c r="M56" s="529"/>
      <c r="N56" s="521"/>
      <c r="O56" s="309"/>
      <c r="P56" s="308"/>
      <c r="Q56" s="941"/>
    </row>
    <row r="57" spans="1:17">
      <c r="A57" s="940" t="s">
        <v>1933</v>
      </c>
      <c r="B57" s="804" t="s">
        <v>1877</v>
      </c>
      <c r="C57" s="520"/>
      <c r="D57" s="135"/>
      <c r="E57" s="135"/>
      <c r="F57" s="309"/>
      <c r="G57" s="521"/>
      <c r="H57" s="309"/>
      <c r="I57" s="522"/>
      <c r="J57" s="309"/>
      <c r="K57" s="521"/>
      <c r="L57" s="309"/>
      <c r="M57" s="529"/>
      <c r="N57" s="521"/>
      <c r="O57" s="309"/>
      <c r="P57" s="308"/>
      <c r="Q57" s="941"/>
    </row>
    <row r="58" spans="1:17">
      <c r="A58" s="940" t="s">
        <v>1935</v>
      </c>
      <c r="B58" s="804" t="s">
        <v>1878</v>
      </c>
      <c r="C58" s="520" t="s">
        <v>39</v>
      </c>
      <c r="D58" s="135"/>
      <c r="E58" s="135"/>
      <c r="F58" s="309"/>
      <c r="G58" s="521">
        <v>0</v>
      </c>
      <c r="H58" s="309"/>
      <c r="I58" s="522"/>
      <c r="J58" s="309"/>
      <c r="K58" s="521"/>
      <c r="L58" s="309"/>
      <c r="M58" s="529"/>
      <c r="N58" s="521"/>
      <c r="O58" s="309"/>
      <c r="P58" s="308"/>
      <c r="Q58" s="941">
        <f>11.53*0.25*2*0.6+6.94*0.25*2*0.6+6.94*0.12*0.6+1.585*0.12*0.6</f>
        <v>6.1547999999999989</v>
      </c>
    </row>
    <row r="59" spans="1:17">
      <c r="A59" s="940" t="s">
        <v>1936</v>
      </c>
      <c r="B59" s="804" t="s">
        <v>1879</v>
      </c>
      <c r="C59" s="520" t="s">
        <v>36</v>
      </c>
      <c r="D59" s="135"/>
      <c r="E59" s="135"/>
      <c r="F59" s="309"/>
      <c r="G59" s="521">
        <v>0</v>
      </c>
      <c r="H59" s="309"/>
      <c r="I59" s="522"/>
      <c r="J59" s="309"/>
      <c r="K59" s="521"/>
      <c r="L59" s="309"/>
      <c r="M59" s="529"/>
      <c r="N59" s="521"/>
      <c r="O59" s="309"/>
      <c r="P59" s="308"/>
      <c r="Q59" s="941">
        <f>89.5*0.6</f>
        <v>53.699999999999996</v>
      </c>
    </row>
    <row r="60" spans="1:17">
      <c r="A60" s="940" t="s">
        <v>1937</v>
      </c>
      <c r="B60" s="804" t="s">
        <v>1880</v>
      </c>
      <c r="C60" s="520" t="s">
        <v>1823</v>
      </c>
      <c r="D60" s="135"/>
      <c r="E60" s="135"/>
      <c r="F60" s="309"/>
      <c r="G60" s="521">
        <v>0</v>
      </c>
      <c r="H60" s="309"/>
      <c r="I60" s="522"/>
      <c r="J60" s="309"/>
      <c r="K60" s="521"/>
      <c r="L60" s="309"/>
      <c r="M60" s="529"/>
      <c r="N60" s="521"/>
      <c r="O60" s="309"/>
      <c r="P60" s="308"/>
      <c r="Q60" s="941">
        <f>177.9/2</f>
        <v>88.95</v>
      </c>
    </row>
    <row r="61" spans="1:17">
      <c r="A61" s="940" t="s">
        <v>1934</v>
      </c>
      <c r="B61" s="804" t="s">
        <v>1881</v>
      </c>
      <c r="C61" s="520"/>
      <c r="D61" s="135"/>
      <c r="E61" s="135"/>
      <c r="F61" s="309"/>
      <c r="G61" s="521"/>
      <c r="H61" s="309"/>
      <c r="I61" s="522"/>
      <c r="J61" s="309"/>
      <c r="K61" s="521"/>
      <c r="L61" s="309"/>
      <c r="M61" s="529"/>
      <c r="N61" s="521"/>
      <c r="O61" s="309"/>
      <c r="P61" s="308"/>
      <c r="Q61" s="941"/>
    </row>
    <row r="62" spans="1:17">
      <c r="A62" s="940" t="s">
        <v>1938</v>
      </c>
      <c r="B62" s="804" t="s">
        <v>1882</v>
      </c>
      <c r="C62" s="520" t="s">
        <v>39</v>
      </c>
      <c r="D62" s="135"/>
      <c r="E62" s="135"/>
      <c r="F62" s="309"/>
      <c r="G62" s="521">
        <v>0</v>
      </c>
      <c r="H62" s="309"/>
      <c r="I62" s="522"/>
      <c r="J62" s="309"/>
      <c r="K62" s="521"/>
      <c r="L62" s="309"/>
      <c r="M62" s="529"/>
      <c r="N62" s="521"/>
      <c r="O62" s="309"/>
      <c r="P62" s="308"/>
      <c r="Q62" s="941">
        <f>11.53*0.25*2*0.5+6.94*0.25*2*0.5+6.94*0.12*0.5+1.585*0.12*0.5</f>
        <v>5.1290000000000004</v>
      </c>
    </row>
    <row r="63" spans="1:17">
      <c r="A63" s="940" t="s">
        <v>1939</v>
      </c>
      <c r="B63" s="804" t="s">
        <v>1883</v>
      </c>
      <c r="C63" s="520" t="s">
        <v>36</v>
      </c>
      <c r="D63" s="135"/>
      <c r="E63" s="135"/>
      <c r="F63" s="309"/>
      <c r="G63" s="521">
        <v>0</v>
      </c>
      <c r="H63" s="309"/>
      <c r="I63" s="522"/>
      <c r="J63" s="309"/>
      <c r="K63" s="521"/>
      <c r="L63" s="309"/>
      <c r="M63" s="529"/>
      <c r="N63" s="521"/>
      <c r="O63" s="309"/>
      <c r="P63" s="308"/>
      <c r="Q63" s="941">
        <f>89.5*0.5</f>
        <v>44.75</v>
      </c>
    </row>
    <row r="64" spans="1:17">
      <c r="A64" s="940" t="s">
        <v>1940</v>
      </c>
      <c r="B64" s="804" t="s">
        <v>1884</v>
      </c>
      <c r="C64" s="520" t="s">
        <v>1823</v>
      </c>
      <c r="D64" s="135">
        <f t="shared" si="7"/>
        <v>0</v>
      </c>
      <c r="E64" s="135">
        <v>312.89</v>
      </c>
      <c r="F64" s="309">
        <f t="shared" si="3"/>
        <v>0</v>
      </c>
      <c r="G64" s="521">
        <v>0</v>
      </c>
      <c r="H64" s="309">
        <f t="shared" si="4"/>
        <v>0</v>
      </c>
      <c r="I64" s="522"/>
      <c r="J64" s="309">
        <f t="shared" si="8"/>
        <v>0</v>
      </c>
      <c r="K64" s="521">
        <f t="shared" si="9"/>
        <v>0</v>
      </c>
      <c r="L64" s="309">
        <f t="shared" si="5"/>
        <v>0</v>
      </c>
      <c r="M64" s="529" t="e">
        <f t="shared" si="6"/>
        <v>#DIV/0!</v>
      </c>
      <c r="N64" s="521">
        <f t="shared" si="0"/>
        <v>0</v>
      </c>
      <c r="O64" s="309">
        <f t="shared" si="1"/>
        <v>0</v>
      </c>
      <c r="P64" s="308" t="str">
        <f t="shared" si="2"/>
        <v/>
      </c>
      <c r="Q64" s="941">
        <v>88.95</v>
      </c>
    </row>
    <row r="65" spans="1:17" ht="13.8">
      <c r="A65" s="939" t="s">
        <v>1941</v>
      </c>
      <c r="B65" s="610" t="s">
        <v>1197</v>
      </c>
      <c r="C65" s="799"/>
      <c r="D65" s="135"/>
      <c r="E65" s="135"/>
      <c r="F65" s="309"/>
      <c r="G65" s="521"/>
      <c r="H65" s="309"/>
      <c r="I65" s="522"/>
      <c r="J65" s="309"/>
      <c r="K65" s="521"/>
      <c r="L65" s="309"/>
      <c r="M65" s="529"/>
      <c r="N65" s="521"/>
      <c r="O65" s="309"/>
      <c r="P65" s="308"/>
      <c r="Q65" s="941"/>
    </row>
    <row r="66" spans="1:17" ht="13.8">
      <c r="A66" s="940" t="s">
        <v>1942</v>
      </c>
      <c r="B66" s="804" t="s">
        <v>1834</v>
      </c>
      <c r="C66" s="799"/>
      <c r="D66" s="135"/>
      <c r="E66" s="135"/>
      <c r="F66" s="309"/>
      <c r="G66" s="521"/>
      <c r="H66" s="309"/>
      <c r="I66" s="522"/>
      <c r="J66" s="309"/>
      <c r="K66" s="521"/>
      <c r="L66" s="309"/>
      <c r="M66" s="529"/>
      <c r="N66" s="521"/>
      <c r="O66" s="309"/>
      <c r="P66" s="308"/>
      <c r="Q66" s="941"/>
    </row>
    <row r="67" spans="1:17" ht="13.8">
      <c r="A67" s="940" t="s">
        <v>1943</v>
      </c>
      <c r="B67" s="804" t="s">
        <v>1835</v>
      </c>
      <c r="C67" s="799" t="s">
        <v>39</v>
      </c>
      <c r="D67" s="135">
        <f t="shared" si="7"/>
        <v>44.195199999999993</v>
      </c>
      <c r="E67" s="135">
        <v>312.89</v>
      </c>
      <c r="F67" s="309">
        <f t="shared" si="3"/>
        <v>13828.236127999997</v>
      </c>
      <c r="G67" s="947">
        <v>44.195199999999993</v>
      </c>
      <c r="H67" s="309">
        <f t="shared" si="4"/>
        <v>13828.236127999997</v>
      </c>
      <c r="I67" s="522"/>
      <c r="J67" s="309">
        <f t="shared" si="8"/>
        <v>0</v>
      </c>
      <c r="K67" s="521">
        <f t="shared" si="9"/>
        <v>44.195199999999993</v>
      </c>
      <c r="L67" s="309">
        <f t="shared" si="5"/>
        <v>13828.236127999997</v>
      </c>
      <c r="M67" s="529">
        <f t="shared" si="6"/>
        <v>1</v>
      </c>
      <c r="N67" s="521">
        <f t="shared" si="0"/>
        <v>0</v>
      </c>
      <c r="O67" s="309">
        <f t="shared" si="1"/>
        <v>0</v>
      </c>
      <c r="P67" s="308">
        <f t="shared" si="2"/>
        <v>0</v>
      </c>
      <c r="Q67" s="941">
        <f>28.62*1.7*2+3.66*1.7*2.4</f>
        <v>112.24080000000001</v>
      </c>
    </row>
    <row r="68" spans="1:17" ht="13.8">
      <c r="A68" s="940" t="s">
        <v>1944</v>
      </c>
      <c r="B68" s="804" t="s">
        <v>1885</v>
      </c>
      <c r="C68" s="799"/>
      <c r="D68" s="135"/>
      <c r="E68" s="135"/>
      <c r="F68" s="309"/>
      <c r="G68" s="521"/>
      <c r="H68" s="309"/>
      <c r="I68" s="522"/>
      <c r="J68" s="309"/>
      <c r="K68" s="521"/>
      <c r="L68" s="309"/>
      <c r="M68" s="529"/>
      <c r="N68" s="521"/>
      <c r="O68" s="309"/>
      <c r="P68" s="308"/>
      <c r="Q68" s="941">
        <f>1.43*32.28+1.4*32.28</f>
        <v>91.352400000000003</v>
      </c>
    </row>
    <row r="69" spans="1:17" ht="12.75" customHeight="1">
      <c r="A69" s="643"/>
      <c r="B69" s="644" t="s">
        <v>58</v>
      </c>
      <c r="C69" s="632"/>
      <c r="D69" s="632"/>
      <c r="E69" s="691"/>
      <c r="F69" s="645">
        <f>SUM(F16:F16)</f>
        <v>87069.875800000009</v>
      </c>
      <c r="G69" s="1560"/>
      <c r="H69" s="645">
        <f>SUM(H16:H16)</f>
        <v>52854.875800000002</v>
      </c>
      <c r="I69" s="1561"/>
      <c r="J69" s="645">
        <f>SUM(J16:J68)</f>
        <v>55295.2117</v>
      </c>
      <c r="K69" s="694"/>
      <c r="L69" s="645">
        <f>SUM(L16:L16)</f>
        <v>87069.875800000009</v>
      </c>
      <c r="M69" s="28">
        <f>+L69/F69</f>
        <v>1</v>
      </c>
      <c r="N69" s="678"/>
      <c r="O69" s="645">
        <f>SUM(O16:O16)</f>
        <v>0</v>
      </c>
      <c r="P69" s="645">
        <f>O69/F69</f>
        <v>0</v>
      </c>
      <c r="Q69" s="941">
        <f>F69-L69</f>
        <v>0</v>
      </c>
    </row>
    <row r="70" spans="1:17" ht="12.75" hidden="1" customHeight="1">
      <c r="A70" s="643"/>
      <c r="B70" s="692" t="s">
        <v>255</v>
      </c>
      <c r="C70" s="693">
        <v>0.1037</v>
      </c>
      <c r="D70" s="632"/>
      <c r="E70" s="632"/>
      <c r="F70" s="645">
        <f t="shared" ref="F70:F75" si="10">F$69*C70</f>
        <v>9029.1461204600018</v>
      </c>
      <c r="G70" s="1560"/>
      <c r="H70" s="645">
        <f t="shared" ref="H70:H75" si="11">H$69*C70</f>
        <v>5481.0506204600006</v>
      </c>
      <c r="I70" s="1561"/>
      <c r="J70" s="645">
        <f t="shared" ref="J70:J75" si="12">J$69*C70</f>
        <v>5734.1134532899996</v>
      </c>
      <c r="K70" s="694"/>
      <c r="L70" s="645">
        <f t="shared" ref="L70:L75" si="13">L$69*C70</f>
        <v>9029.1461204600018</v>
      </c>
      <c r="M70" s="28"/>
      <c r="N70" s="678"/>
      <c r="O70" s="645">
        <f t="shared" ref="O70:O75" si="14">O$69*F70</f>
        <v>0</v>
      </c>
      <c r="P70" s="645"/>
      <c r="Q70" s="26"/>
    </row>
    <row r="71" spans="1:17" ht="12.75" hidden="1" customHeight="1">
      <c r="A71" s="643"/>
      <c r="B71" s="692" t="s">
        <v>251</v>
      </c>
      <c r="C71" s="693">
        <v>4.867316975427044E-2</v>
      </c>
      <c r="D71" s="632"/>
      <c r="E71" s="632"/>
      <c r="F71" s="645">
        <f t="shared" si="10"/>
        <v>4237.9668452966444</v>
      </c>
      <c r="G71" s="1560"/>
      <c r="H71" s="645">
        <f t="shared" si="11"/>
        <v>2572.6143421542806</v>
      </c>
      <c r="I71" s="1561"/>
      <c r="J71" s="645">
        <f t="shared" si="12"/>
        <v>2691.3932256724211</v>
      </c>
      <c r="K71" s="694"/>
      <c r="L71" s="645">
        <f t="shared" si="13"/>
        <v>4237.9668452966444</v>
      </c>
      <c r="M71" s="28">
        <f>+L71/F71</f>
        <v>1</v>
      </c>
      <c r="N71" s="678"/>
      <c r="O71" s="645">
        <f t="shared" si="14"/>
        <v>0</v>
      </c>
      <c r="P71" s="645"/>
      <c r="Q71" s="175" t="e">
        <f>#REF!+#REF!+#REF!+#REF!</f>
        <v>#REF!</v>
      </c>
    </row>
    <row r="72" spans="1:17" ht="12.75" hidden="1" customHeight="1">
      <c r="A72" s="643"/>
      <c r="B72" s="692" t="s">
        <v>252</v>
      </c>
      <c r="C72" s="693">
        <v>3.2295075957423222E-3</v>
      </c>
      <c r="D72" s="632"/>
      <c r="E72" s="632"/>
      <c r="F72" s="645">
        <f t="shared" si="10"/>
        <v>281.19282525644064</v>
      </c>
      <c r="G72" s="1560"/>
      <c r="H72" s="645">
        <f t="shared" si="11"/>
        <v>170.69522286811704</v>
      </c>
      <c r="I72" s="1561"/>
      <c r="J72" s="645">
        <f t="shared" si="12"/>
        <v>178.57630619332971</v>
      </c>
      <c r="K72" s="694"/>
      <c r="L72" s="645">
        <f t="shared" si="13"/>
        <v>281.19282525644064</v>
      </c>
      <c r="M72" s="28"/>
      <c r="N72" s="678"/>
      <c r="O72" s="645">
        <f t="shared" si="14"/>
        <v>0</v>
      </c>
      <c r="P72" s="645"/>
    </row>
    <row r="73" spans="1:17" ht="12.75" hidden="1" customHeight="1">
      <c r="A73" s="643"/>
      <c r="B73" s="692" t="s">
        <v>59</v>
      </c>
      <c r="C73" s="693">
        <v>2.9134033342151949E-2</v>
      </c>
      <c r="D73" s="632"/>
      <c r="E73" s="632"/>
      <c r="F73" s="645">
        <f t="shared" si="10"/>
        <v>2536.6966646542296</v>
      </c>
      <c r="G73" s="1560"/>
      <c r="H73" s="645">
        <f t="shared" si="11"/>
        <v>1539.8757138525002</v>
      </c>
      <c r="I73" s="1561"/>
      <c r="J73" s="645">
        <f t="shared" si="12"/>
        <v>1610.9725413291505</v>
      </c>
      <c r="K73" s="694"/>
      <c r="L73" s="645">
        <f t="shared" si="13"/>
        <v>2536.6966646542296</v>
      </c>
      <c r="M73" s="28"/>
      <c r="N73" s="678"/>
      <c r="O73" s="645">
        <f t="shared" si="14"/>
        <v>0</v>
      </c>
      <c r="P73" s="645"/>
    </row>
    <row r="74" spans="1:17" ht="12.75" hidden="1" customHeight="1">
      <c r="A74" s="643"/>
      <c r="B74" s="692" t="s">
        <v>253</v>
      </c>
      <c r="C74" s="693">
        <v>1.5387795225407752E-2</v>
      </c>
      <c r="D74" s="632"/>
      <c r="E74" s="632"/>
      <c r="F74" s="645">
        <f t="shared" si="10"/>
        <v>1339.8134191120862</v>
      </c>
      <c r="G74" s="1560"/>
      <c r="H74" s="645">
        <f t="shared" si="11"/>
        <v>813.3200054747598</v>
      </c>
      <c r="I74" s="1561"/>
      <c r="J74" s="645">
        <f t="shared" si="12"/>
        <v>850.87139458517083</v>
      </c>
      <c r="K74" s="694"/>
      <c r="L74" s="645">
        <f t="shared" si="13"/>
        <v>1339.8134191120862</v>
      </c>
      <c r="M74" s="28"/>
      <c r="N74" s="678"/>
      <c r="O74" s="645">
        <f t="shared" si="14"/>
        <v>0</v>
      </c>
      <c r="P74" s="645"/>
    </row>
    <row r="75" spans="1:17" ht="12.75" hidden="1" customHeight="1">
      <c r="A75" s="643"/>
      <c r="B75" s="692" t="s">
        <v>254</v>
      </c>
      <c r="C75" s="693">
        <v>5.9362432020489322E-3</v>
      </c>
      <c r="D75" s="632"/>
      <c r="E75" s="632"/>
      <c r="F75" s="645">
        <f t="shared" si="10"/>
        <v>516.86795832099483</v>
      </c>
      <c r="G75" s="1560"/>
      <c r="H75" s="645">
        <f t="shared" si="11"/>
        <v>313.75939716289065</v>
      </c>
      <c r="I75" s="1561"/>
      <c r="J75" s="645">
        <f t="shared" si="12"/>
        <v>328.2458245599816</v>
      </c>
      <c r="K75" s="694"/>
      <c r="L75" s="645">
        <f t="shared" si="13"/>
        <v>516.86795832099483</v>
      </c>
      <c r="M75" s="28"/>
      <c r="N75" s="678"/>
      <c r="O75" s="645">
        <f t="shared" si="14"/>
        <v>0</v>
      </c>
      <c r="P75" s="645"/>
    </row>
    <row r="76" spans="1:17" ht="12.75" customHeight="1">
      <c r="A76" s="643"/>
      <c r="B76" s="644" t="s">
        <v>60</v>
      </c>
      <c r="C76" s="632"/>
      <c r="D76" s="632"/>
      <c r="E76" s="632"/>
      <c r="F76" s="649">
        <f>SUM(F69)</f>
        <v>87069.875800000009</v>
      </c>
      <c r="G76" s="1560"/>
      <c r="H76" s="649">
        <f>SUM(H69:H75)</f>
        <v>63746.191101972552</v>
      </c>
      <c r="I76" s="1561"/>
      <c r="J76" s="649">
        <f>SUM(J69)</f>
        <v>55295.2117</v>
      </c>
      <c r="K76" s="694"/>
      <c r="L76" s="649">
        <f>SUM(L69)</f>
        <v>87069.875800000009</v>
      </c>
      <c r="M76" s="28">
        <f>+L76/F76</f>
        <v>1</v>
      </c>
      <c r="N76" s="678"/>
      <c r="O76" s="649">
        <f>SUM(O69)</f>
        <v>0</v>
      </c>
      <c r="P76" s="649"/>
    </row>
    <row r="77" spans="1:17">
      <c r="A77" s="634"/>
      <c r="B77" s="30"/>
      <c r="C77" s="95"/>
      <c r="D77" s="31"/>
      <c r="E77" s="29"/>
      <c r="F77" s="32"/>
      <c r="G77" s="33"/>
      <c r="H77" s="50"/>
      <c r="I77" s="33"/>
      <c r="J77" s="34"/>
      <c r="K77" s="35"/>
      <c r="L77" s="34"/>
      <c r="M77" s="30"/>
      <c r="N77" s="29"/>
      <c r="O77" s="34"/>
      <c r="P77" s="34"/>
    </row>
    <row r="78" spans="1:17" ht="10.8" thickBot="1">
      <c r="A78" s="17"/>
      <c r="B78" s="30"/>
      <c r="C78" s="95"/>
      <c r="D78" s="31"/>
      <c r="E78" s="29"/>
      <c r="F78" s="50"/>
      <c r="G78" s="33"/>
      <c r="H78" s="32"/>
      <c r="I78" s="33"/>
      <c r="J78" s="34"/>
      <c r="K78" s="35"/>
      <c r="L78" s="34"/>
      <c r="M78" s="30"/>
      <c r="N78" s="29"/>
      <c r="O78" s="34"/>
      <c r="P78" s="34"/>
    </row>
    <row r="79" spans="1:17" ht="13.8" thickBot="1">
      <c r="A79" s="24"/>
      <c r="B79" s="36"/>
      <c r="C79" s="1562" t="s">
        <v>61</v>
      </c>
      <c r="D79" s="1563"/>
      <c r="E79" s="1563"/>
      <c r="F79" s="1563"/>
      <c r="G79" s="1564"/>
      <c r="H79" s="37">
        <f>+H69/F69</f>
        <v>0.60703975185870196</v>
      </c>
      <c r="I79" s="58"/>
      <c r="J79" s="37">
        <f>+J69/F69</f>
        <v>0.635067079078112</v>
      </c>
      <c r="K79" s="38"/>
      <c r="L79" s="40"/>
      <c r="M79" s="37">
        <f>+L69/F69</f>
        <v>1</v>
      </c>
      <c r="N79" s="39"/>
      <c r="O79" s="40"/>
      <c r="P79" s="37">
        <f>+O69/F69</f>
        <v>0</v>
      </c>
    </row>
    <row r="80" spans="1:17" ht="13.2">
      <c r="A80" s="17"/>
      <c r="B80" s="30"/>
      <c r="C80" s="96"/>
      <c r="D80" s="42"/>
      <c r="E80" s="41"/>
      <c r="F80" s="43"/>
      <c r="G80" s="44"/>
      <c r="H80" s="45"/>
      <c r="I80" s="59"/>
      <c r="J80" s="45"/>
      <c r="K80" s="41"/>
      <c r="L80" s="45">
        <v>182991.13345200004</v>
      </c>
      <c r="M80" s="46"/>
      <c r="N80" s="47"/>
      <c r="O80" s="45"/>
      <c r="P80" s="48"/>
    </row>
    <row r="81" spans="1:16">
      <c r="A81" s="24"/>
      <c r="B81" s="24"/>
      <c r="C81" s="94"/>
      <c r="D81" s="25"/>
      <c r="E81" s="25"/>
      <c r="F81" s="25"/>
      <c r="G81" s="22"/>
      <c r="H81" s="21"/>
      <c r="I81" s="20"/>
      <c r="J81" s="21"/>
      <c r="K81" s="22"/>
      <c r="L81" s="21">
        <f>L69-L80</f>
        <v>-95921.257652000029</v>
      </c>
      <c r="M81" s="23"/>
      <c r="N81" s="22"/>
      <c r="O81" s="22"/>
      <c r="P81" s="23"/>
    </row>
    <row r="83" spans="1:16">
      <c r="H83" s="18">
        <v>146577.61263700004</v>
      </c>
    </row>
    <row r="84" spans="1:16">
      <c r="H84" s="26">
        <f>H69-H83</f>
        <v>-93722.736837000033</v>
      </c>
    </row>
    <row r="85" spans="1:16">
      <c r="H85" s="18" t="s">
        <v>289</v>
      </c>
    </row>
  </sheetData>
  <mergeCells count="29">
    <mergeCell ref="G69:G76"/>
    <mergeCell ref="I69:I76"/>
    <mergeCell ref="C79:G79"/>
    <mergeCell ref="K12:K13"/>
    <mergeCell ref="L12:L13"/>
    <mergeCell ref="D12:D13"/>
    <mergeCell ref="E12:E13"/>
    <mergeCell ref="F12:F13"/>
    <mergeCell ref="K11:M11"/>
    <mergeCell ref="G12:G13"/>
    <mergeCell ref="H12:H13"/>
    <mergeCell ref="I12:I13"/>
    <mergeCell ref="J12:J13"/>
    <mergeCell ref="D2:H2"/>
    <mergeCell ref="A3:P3"/>
    <mergeCell ref="D4:L4"/>
    <mergeCell ref="O4:P4"/>
    <mergeCell ref="A10:A13"/>
    <mergeCell ref="B10:B13"/>
    <mergeCell ref="C10:C13"/>
    <mergeCell ref="D10:F11"/>
    <mergeCell ref="G10:M10"/>
    <mergeCell ref="N10:P11"/>
    <mergeCell ref="M12:M13"/>
    <mergeCell ref="N12:N13"/>
    <mergeCell ref="O12:O13"/>
    <mergeCell ref="P12:P13"/>
    <mergeCell ref="G11:H11"/>
    <mergeCell ref="I11:J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S701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557" customWidth="1"/>
    <col min="5" max="5" width="9.109375" style="787" customWidth="1"/>
    <col min="6" max="11" width="7" style="557" customWidth="1"/>
    <col min="12" max="12" width="7" style="808" customWidth="1"/>
    <col min="13" max="18" width="7" style="558" customWidth="1"/>
    <col min="19" max="19" width="7" style="808" customWidth="1"/>
    <col min="20" max="22" width="7" style="558" customWidth="1"/>
    <col min="23" max="23" width="10.88671875" style="558" customWidth="1"/>
    <col min="24" max="24" width="9.44140625" style="558" customWidth="1"/>
    <col min="25" max="25" width="7" style="558" customWidth="1"/>
    <col min="26" max="26" width="10.44140625" style="808" customWidth="1"/>
    <col min="27" max="27" width="8.6640625" style="558" customWidth="1"/>
    <col min="28" max="28" width="7" style="558" customWidth="1"/>
    <col min="29" max="29" width="9.44140625" style="558" customWidth="1"/>
    <col min="30" max="30" width="7" style="558" customWidth="1"/>
    <col min="31" max="31" width="9.88671875" style="853" customWidth="1"/>
    <col min="32" max="32" width="7" style="558" customWidth="1"/>
    <col min="33" max="33" width="9.109375" style="956" customWidth="1"/>
    <col min="34" max="34" width="9.109375" style="558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</row>
    <row r="2" spans="1:39">
      <c r="A2" s="1539" t="s">
        <v>1788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</row>
    <row r="3" spans="1:39">
      <c r="A3" s="615"/>
      <c r="G3" s="557">
        <v>7</v>
      </c>
    </row>
    <row r="4" spans="1:39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</row>
    <row r="5" spans="1:39" ht="12.75" customHeight="1">
      <c r="A5" s="617"/>
      <c r="B5" s="1541" t="e">
        <f>#REF!</f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</row>
    <row r="6" spans="1:39" ht="13.5" customHeight="1">
      <c r="B6" s="619"/>
      <c r="C6" s="561"/>
    </row>
    <row r="7" spans="1:39" ht="13.5" customHeight="1">
      <c r="B7" s="619"/>
      <c r="C7" s="561"/>
    </row>
    <row r="8" spans="1:39" ht="13.5" customHeight="1" thickBot="1">
      <c r="B8" s="619"/>
      <c r="C8" s="561"/>
      <c r="D8" s="929" t="s">
        <v>1873</v>
      </c>
      <c r="E8" s="929" t="s">
        <v>1874</v>
      </c>
      <c r="F8" s="929" t="s">
        <v>1866</v>
      </c>
      <c r="G8" s="929" t="s">
        <v>1867</v>
      </c>
      <c r="H8" s="929" t="s">
        <v>1868</v>
      </c>
      <c r="I8" s="929" t="s">
        <v>1869</v>
      </c>
      <c r="J8" s="929" t="s">
        <v>1870</v>
      </c>
      <c r="K8" s="929" t="s">
        <v>1871</v>
      </c>
      <c r="L8" s="929" t="s">
        <v>1872</v>
      </c>
      <c r="M8" s="929" t="s">
        <v>1866</v>
      </c>
      <c r="N8" s="929" t="s">
        <v>1867</v>
      </c>
      <c r="O8" s="929" t="s">
        <v>1868</v>
      </c>
      <c r="P8" s="929" t="s">
        <v>1869</v>
      </c>
      <c r="Q8" s="929" t="s">
        <v>1870</v>
      </c>
      <c r="R8" s="929" t="s">
        <v>1871</v>
      </c>
      <c r="S8" s="929" t="s">
        <v>1872</v>
      </c>
      <c r="T8" s="929" t="s">
        <v>1866</v>
      </c>
      <c r="U8" s="929" t="s">
        <v>1867</v>
      </c>
      <c r="V8" s="929" t="s">
        <v>1868</v>
      </c>
      <c r="W8" s="929" t="s">
        <v>1869</v>
      </c>
      <c r="X8" s="929" t="s">
        <v>1870</v>
      </c>
      <c r="Y8" s="929" t="s">
        <v>1871</v>
      </c>
      <c r="Z8" s="929" t="s">
        <v>1872</v>
      </c>
      <c r="AA8" s="929" t="s">
        <v>1866</v>
      </c>
      <c r="AB8" s="929" t="s">
        <v>1867</v>
      </c>
      <c r="AC8" s="929" t="s">
        <v>1868</v>
      </c>
      <c r="AD8" s="929" t="s">
        <v>1869</v>
      </c>
      <c r="AE8" s="954" t="s">
        <v>1870</v>
      </c>
      <c r="AF8" s="929" t="s">
        <v>1871</v>
      </c>
      <c r="AG8" s="957" t="s">
        <v>1872</v>
      </c>
      <c r="AH8" s="929" t="s">
        <v>1866</v>
      </c>
      <c r="AI8" s="929"/>
    </row>
    <row r="9" spans="1:39" ht="13.8" thickBot="1">
      <c r="A9" s="1543" t="s">
        <v>284</v>
      </c>
      <c r="B9" s="1543" t="s">
        <v>19</v>
      </c>
      <c r="C9" s="562"/>
      <c r="D9" s="950">
        <v>1</v>
      </c>
      <c r="E9" s="788">
        <f>+D9+1</f>
        <v>2</v>
      </c>
      <c r="F9" s="950">
        <f t="shared" ref="F9:AH9" si="0">+E9+1</f>
        <v>3</v>
      </c>
      <c r="G9" s="950">
        <f t="shared" si="0"/>
        <v>4</v>
      </c>
      <c r="H9" s="950">
        <f t="shared" si="0"/>
        <v>5</v>
      </c>
      <c r="I9" s="950">
        <f t="shared" si="0"/>
        <v>6</v>
      </c>
      <c r="J9" s="950">
        <f t="shared" si="0"/>
        <v>7</v>
      </c>
      <c r="K9" s="950">
        <f t="shared" si="0"/>
        <v>8</v>
      </c>
      <c r="L9" s="788">
        <f t="shared" si="0"/>
        <v>9</v>
      </c>
      <c r="M9" s="950">
        <f t="shared" si="0"/>
        <v>10</v>
      </c>
      <c r="N9" s="950">
        <f t="shared" si="0"/>
        <v>11</v>
      </c>
      <c r="O9" s="950">
        <f t="shared" si="0"/>
        <v>12</v>
      </c>
      <c r="P9" s="950">
        <f t="shared" si="0"/>
        <v>13</v>
      </c>
      <c r="Q9" s="950">
        <f t="shared" si="0"/>
        <v>14</v>
      </c>
      <c r="R9" s="950">
        <f t="shared" si="0"/>
        <v>15</v>
      </c>
      <c r="S9" s="788">
        <f t="shared" si="0"/>
        <v>16</v>
      </c>
      <c r="T9" s="950">
        <f t="shared" si="0"/>
        <v>17</v>
      </c>
      <c r="U9" s="950">
        <f t="shared" si="0"/>
        <v>18</v>
      </c>
      <c r="V9" s="950">
        <f t="shared" si="0"/>
        <v>19</v>
      </c>
      <c r="W9" s="950">
        <f t="shared" si="0"/>
        <v>20</v>
      </c>
      <c r="X9" s="950">
        <f t="shared" si="0"/>
        <v>21</v>
      </c>
      <c r="Y9" s="950">
        <f t="shared" si="0"/>
        <v>22</v>
      </c>
      <c r="Z9" s="788">
        <f t="shared" si="0"/>
        <v>23</v>
      </c>
      <c r="AA9" s="950">
        <f t="shared" si="0"/>
        <v>24</v>
      </c>
      <c r="AB9" s="950">
        <f t="shared" si="0"/>
        <v>25</v>
      </c>
      <c r="AC9" s="950">
        <f t="shared" si="0"/>
        <v>26</v>
      </c>
      <c r="AD9" s="950">
        <f t="shared" si="0"/>
        <v>27</v>
      </c>
      <c r="AE9" s="822">
        <f t="shared" si="0"/>
        <v>28</v>
      </c>
      <c r="AF9" s="950">
        <f t="shared" si="0"/>
        <v>29</v>
      </c>
      <c r="AG9" s="958">
        <f t="shared" si="0"/>
        <v>30</v>
      </c>
      <c r="AH9" s="950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44"/>
      <c r="B10" s="1544"/>
      <c r="C10" s="951" t="s">
        <v>285</v>
      </c>
      <c r="D10" s="568" t="s">
        <v>291</v>
      </c>
      <c r="E10" s="789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789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789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789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823" t="s">
        <v>291</v>
      </c>
      <c r="AF10" s="568" t="s">
        <v>291</v>
      </c>
      <c r="AG10" s="959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785" customFormat="1">
      <c r="A11" s="870" t="s">
        <v>32</v>
      </c>
      <c r="B11" s="870" t="s">
        <v>1118</v>
      </c>
      <c r="C11" s="871"/>
      <c r="D11" s="872"/>
      <c r="E11" s="790"/>
      <c r="F11" s="872"/>
      <c r="G11" s="872"/>
      <c r="H11" s="872"/>
      <c r="I11" s="872"/>
      <c r="J11" s="792"/>
      <c r="K11" s="792"/>
      <c r="L11" s="809"/>
      <c r="M11" s="809"/>
      <c r="N11" s="809"/>
      <c r="O11" s="809"/>
      <c r="P11" s="809"/>
      <c r="Q11" s="809"/>
      <c r="R11" s="809"/>
      <c r="S11" s="809"/>
      <c r="T11" s="809"/>
      <c r="U11" s="809"/>
      <c r="V11" s="809"/>
      <c r="W11" s="809"/>
      <c r="X11" s="809"/>
      <c r="Y11" s="809"/>
      <c r="Z11" s="809"/>
      <c r="AA11" s="809"/>
      <c r="AB11" s="809"/>
      <c r="AC11" s="809"/>
      <c r="AD11" s="809"/>
      <c r="AE11" s="827"/>
      <c r="AF11" s="809"/>
      <c r="AG11" s="960"/>
      <c r="AH11" s="873"/>
      <c r="AI11" s="839">
        <f t="shared" ref="AI11:AI74" si="1">ROUND((SUM(D11:AG11)),2)</f>
        <v>0</v>
      </c>
      <c r="AJ11" s="777"/>
      <c r="AK11" s="778"/>
      <c r="AL11" s="784"/>
      <c r="AM11" s="874"/>
    </row>
    <row r="12" spans="1:39" s="782" customFormat="1">
      <c r="A12" s="868" t="s">
        <v>34</v>
      </c>
      <c r="B12" s="869" t="s">
        <v>1119</v>
      </c>
      <c r="C12" s="875"/>
      <c r="D12" s="795"/>
      <c r="E12" s="778"/>
      <c r="F12" s="778"/>
      <c r="G12" s="778"/>
      <c r="H12" s="778"/>
      <c r="I12" s="777"/>
      <c r="J12" s="777"/>
      <c r="K12" s="777"/>
      <c r="L12" s="809"/>
      <c r="M12" s="809"/>
      <c r="N12" s="809"/>
      <c r="O12" s="809"/>
      <c r="P12" s="809"/>
      <c r="Q12" s="809"/>
      <c r="R12" s="809"/>
      <c r="S12" s="809"/>
      <c r="T12" s="809"/>
      <c r="U12" s="809"/>
      <c r="V12" s="809"/>
      <c r="W12" s="809"/>
      <c r="X12" s="809"/>
      <c r="Y12" s="809"/>
      <c r="Z12" s="809"/>
      <c r="AA12" s="809"/>
      <c r="AB12" s="809"/>
      <c r="AC12" s="809"/>
      <c r="AD12" s="809"/>
      <c r="AE12" s="827"/>
      <c r="AF12" s="809"/>
      <c r="AG12" s="960"/>
      <c r="AH12" s="873"/>
      <c r="AI12" s="839">
        <f t="shared" si="1"/>
        <v>0</v>
      </c>
      <c r="AJ12" s="777"/>
      <c r="AK12" s="778"/>
      <c r="AL12" s="780"/>
      <c r="AM12" s="828"/>
    </row>
    <row r="13" spans="1:39" s="782" customFormat="1">
      <c r="A13" s="772" t="s">
        <v>523</v>
      </c>
      <c r="B13" s="866" t="s">
        <v>1120</v>
      </c>
      <c r="C13" s="876" t="s">
        <v>63</v>
      </c>
      <c r="D13" s="795"/>
      <c r="E13" s="778"/>
      <c r="F13" s="778"/>
      <c r="G13" s="778"/>
      <c r="H13" s="778"/>
      <c r="I13" s="778"/>
      <c r="J13" s="778"/>
      <c r="K13" s="778"/>
      <c r="L13" s="850"/>
      <c r="M13" s="850"/>
      <c r="N13" s="809"/>
      <c r="O13" s="850"/>
      <c r="P13" s="850"/>
      <c r="Q13" s="850"/>
      <c r="R13" s="850"/>
      <c r="S13" s="850"/>
      <c r="T13" s="850"/>
      <c r="U13" s="809"/>
      <c r="V13" s="809"/>
      <c r="W13" s="809"/>
      <c r="X13" s="809"/>
      <c r="Y13" s="809"/>
      <c r="Z13" s="809"/>
      <c r="AA13" s="809"/>
      <c r="AB13" s="809"/>
      <c r="AC13" s="809"/>
      <c r="AD13" s="809"/>
      <c r="AE13" s="827"/>
      <c r="AF13" s="809"/>
      <c r="AG13" s="960"/>
      <c r="AH13" s="873"/>
      <c r="AI13" s="839">
        <f t="shared" si="1"/>
        <v>0</v>
      </c>
      <c r="AJ13" s="777">
        <v>0</v>
      </c>
      <c r="AK13" s="778">
        <f>AI13+AJ13</f>
        <v>0</v>
      </c>
      <c r="AL13" s="780" t="s">
        <v>1441</v>
      </c>
      <c r="AM13" s="781">
        <f>AL13-AK13</f>
        <v>1</v>
      </c>
    </row>
    <row r="14" spans="1:39" s="782" customFormat="1">
      <c r="A14" s="772" t="s">
        <v>524</v>
      </c>
      <c r="B14" s="772" t="s">
        <v>1121</v>
      </c>
      <c r="C14" s="876" t="s">
        <v>63</v>
      </c>
      <c r="D14" s="795"/>
      <c r="E14" s="778"/>
      <c r="F14" s="778"/>
      <c r="G14" s="778"/>
      <c r="H14" s="828"/>
      <c r="I14" s="828"/>
      <c r="J14" s="777"/>
      <c r="K14" s="777"/>
      <c r="L14" s="809"/>
      <c r="M14" s="809"/>
      <c r="N14" s="809"/>
      <c r="O14" s="809"/>
      <c r="P14" s="809"/>
      <c r="Q14" s="809"/>
      <c r="R14" s="809"/>
      <c r="S14" s="809"/>
      <c r="T14" s="809"/>
      <c r="U14" s="809"/>
      <c r="V14" s="809"/>
      <c r="W14" s="809"/>
      <c r="X14" s="809"/>
      <c r="Y14" s="809"/>
      <c r="Z14" s="809"/>
      <c r="AA14" s="809"/>
      <c r="AB14" s="809"/>
      <c r="AC14" s="809"/>
      <c r="AD14" s="809"/>
      <c r="AE14" s="827"/>
      <c r="AF14" s="809"/>
      <c r="AG14" s="960"/>
      <c r="AH14" s="873"/>
      <c r="AI14" s="839">
        <f t="shared" si="1"/>
        <v>0</v>
      </c>
      <c r="AJ14" s="777">
        <v>0</v>
      </c>
      <c r="AK14" s="778">
        <f t="shared" ref="AK14:AK77" si="2">AI14+AJ14</f>
        <v>0</v>
      </c>
      <c r="AL14" s="780" t="s">
        <v>1441</v>
      </c>
      <c r="AM14" s="781">
        <f t="shared" ref="AM14:AM77" si="3">AL14-AK14</f>
        <v>1</v>
      </c>
    </row>
    <row r="15" spans="1:39" s="782" customFormat="1">
      <c r="A15" s="772" t="s">
        <v>525</v>
      </c>
      <c r="B15" s="772" t="s">
        <v>1809</v>
      </c>
      <c r="C15" s="877" t="s">
        <v>63</v>
      </c>
      <c r="D15" s="795"/>
      <c r="E15" s="778"/>
      <c r="F15" s="778"/>
      <c r="G15" s="778"/>
      <c r="H15" s="922"/>
      <c r="I15" s="777"/>
      <c r="J15" s="777"/>
      <c r="K15" s="777"/>
      <c r="L15" s="809"/>
      <c r="M15" s="809"/>
      <c r="N15" s="809"/>
      <c r="O15" s="809"/>
      <c r="P15" s="809"/>
      <c r="Q15" s="809"/>
      <c r="R15" s="809"/>
      <c r="S15" s="809"/>
      <c r="T15" s="809"/>
      <c r="U15" s="809"/>
      <c r="V15" s="809"/>
      <c r="W15" s="809"/>
      <c r="X15" s="809"/>
      <c r="Y15" s="809"/>
      <c r="Z15" s="809"/>
      <c r="AA15" s="809"/>
      <c r="AB15" s="809"/>
      <c r="AC15" s="809"/>
      <c r="AD15" s="809"/>
      <c r="AE15" s="827"/>
      <c r="AF15" s="809"/>
      <c r="AG15" s="960"/>
      <c r="AH15" s="873"/>
      <c r="AI15" s="839">
        <f t="shared" si="1"/>
        <v>0</v>
      </c>
      <c r="AJ15" s="777">
        <v>0</v>
      </c>
      <c r="AK15" s="778">
        <f t="shared" si="2"/>
        <v>0</v>
      </c>
      <c r="AL15" s="780" t="s">
        <v>1441</v>
      </c>
      <c r="AM15" s="781">
        <f t="shared" si="3"/>
        <v>1</v>
      </c>
    </row>
    <row r="16" spans="1:39" s="782" customFormat="1">
      <c r="A16" s="772" t="s">
        <v>526</v>
      </c>
      <c r="B16" s="867" t="s">
        <v>1123</v>
      </c>
      <c r="C16" s="876" t="s">
        <v>63</v>
      </c>
      <c r="D16" s="795"/>
      <c r="E16" s="778"/>
      <c r="F16" s="930"/>
      <c r="G16" s="778"/>
      <c r="H16" s="778"/>
      <c r="I16" s="777"/>
      <c r="J16" s="777"/>
      <c r="K16" s="777"/>
      <c r="L16" s="809"/>
      <c r="M16" s="809"/>
      <c r="N16" s="809"/>
      <c r="O16" s="809"/>
      <c r="P16" s="809"/>
      <c r="Q16" s="809"/>
      <c r="R16" s="809"/>
      <c r="S16" s="809"/>
      <c r="T16" s="809"/>
      <c r="U16" s="809"/>
      <c r="V16" s="809"/>
      <c r="W16" s="809"/>
      <c r="X16" s="809"/>
      <c r="Y16" s="809"/>
      <c r="Z16" s="809"/>
      <c r="AA16" s="809"/>
      <c r="AB16" s="809"/>
      <c r="AC16" s="809"/>
      <c r="AD16" s="809"/>
      <c r="AE16" s="827"/>
      <c r="AF16" s="809"/>
      <c r="AG16" s="960"/>
      <c r="AH16" s="873"/>
      <c r="AI16" s="839">
        <f t="shared" si="1"/>
        <v>0</v>
      </c>
      <c r="AJ16" s="777">
        <v>0</v>
      </c>
      <c r="AK16" s="778">
        <f t="shared" si="2"/>
        <v>0</v>
      </c>
      <c r="AL16" s="780" t="s">
        <v>1441</v>
      </c>
      <c r="AM16" s="781">
        <f t="shared" si="3"/>
        <v>1</v>
      </c>
    </row>
    <row r="17" spans="1:45" s="782" customFormat="1">
      <c r="A17" s="772" t="s">
        <v>527</v>
      </c>
      <c r="B17" s="772" t="s">
        <v>1124</v>
      </c>
      <c r="C17" s="876" t="s">
        <v>1436</v>
      </c>
      <c r="D17" s="795"/>
      <c r="E17" s="778"/>
      <c r="F17" s="778"/>
      <c r="G17" s="778"/>
      <c r="H17" s="778"/>
      <c r="I17" s="777"/>
      <c r="J17" s="777"/>
      <c r="K17" s="777"/>
      <c r="L17" s="793"/>
      <c r="M17" s="793"/>
      <c r="N17" s="793"/>
      <c r="O17" s="793"/>
      <c r="P17" s="793"/>
      <c r="Q17" s="793"/>
      <c r="R17" s="793"/>
      <c r="S17" s="793"/>
      <c r="T17" s="793"/>
      <c r="U17" s="793"/>
      <c r="V17" s="793"/>
      <c r="W17" s="793"/>
      <c r="X17" s="793"/>
      <c r="Y17" s="793"/>
      <c r="Z17" s="793"/>
      <c r="AA17" s="793"/>
      <c r="AB17" s="793"/>
      <c r="AC17" s="793"/>
      <c r="AD17" s="793"/>
      <c r="AE17" s="955"/>
      <c r="AF17" s="793"/>
      <c r="AG17" s="961"/>
      <c r="AH17" s="878"/>
      <c r="AI17" s="839">
        <f t="shared" si="1"/>
        <v>0</v>
      </c>
      <c r="AJ17" s="777">
        <v>1</v>
      </c>
      <c r="AK17" s="778">
        <f t="shared" si="2"/>
        <v>1</v>
      </c>
      <c r="AL17" s="793" t="s">
        <v>1441</v>
      </c>
      <c r="AM17" s="781">
        <f t="shared" si="3"/>
        <v>0</v>
      </c>
      <c r="AN17" s="879"/>
      <c r="AO17" s="793"/>
      <c r="AP17" s="793"/>
      <c r="AQ17" s="793"/>
      <c r="AR17" s="793"/>
      <c r="AS17" s="793"/>
    </row>
    <row r="18" spans="1:45" s="782" customFormat="1">
      <c r="A18" s="868" t="s">
        <v>38</v>
      </c>
      <c r="B18" s="869" t="s">
        <v>33</v>
      </c>
      <c r="C18" s="880"/>
      <c r="D18" s="795"/>
      <c r="E18" s="778"/>
      <c r="F18" s="778"/>
      <c r="G18" s="778"/>
      <c r="H18" s="778"/>
      <c r="I18" s="778"/>
      <c r="J18" s="778"/>
      <c r="K18" s="778"/>
      <c r="L18" s="793"/>
      <c r="M18" s="793"/>
      <c r="N18" s="793"/>
      <c r="O18" s="793"/>
      <c r="P18" s="793"/>
      <c r="Q18" s="793"/>
      <c r="R18" s="793"/>
      <c r="S18" s="793"/>
      <c r="T18" s="793"/>
      <c r="U18" s="793"/>
      <c r="V18" s="793"/>
      <c r="W18" s="793"/>
      <c r="X18" s="793"/>
      <c r="Y18" s="793"/>
      <c r="Z18" s="793"/>
      <c r="AA18" s="793"/>
      <c r="AB18" s="793"/>
      <c r="AC18" s="793"/>
      <c r="AD18" s="793"/>
      <c r="AE18" s="955"/>
      <c r="AF18" s="793"/>
      <c r="AG18" s="961"/>
      <c r="AH18" s="878"/>
      <c r="AI18" s="839">
        <f t="shared" si="1"/>
        <v>0</v>
      </c>
      <c r="AJ18" s="777">
        <v>0</v>
      </c>
      <c r="AK18" s="778">
        <f t="shared" si="2"/>
        <v>0</v>
      </c>
      <c r="AL18" s="793"/>
      <c r="AM18" s="781">
        <f t="shared" si="3"/>
        <v>0</v>
      </c>
      <c r="AN18" s="879"/>
      <c r="AO18" s="793"/>
      <c r="AP18" s="793"/>
      <c r="AQ18" s="793"/>
      <c r="AR18" s="793"/>
      <c r="AS18" s="793"/>
    </row>
    <row r="19" spans="1:45" s="785" customFormat="1">
      <c r="A19" s="772" t="s">
        <v>528</v>
      </c>
      <c r="B19" s="867" t="s">
        <v>1125</v>
      </c>
      <c r="C19" s="876" t="s">
        <v>36</v>
      </c>
      <c r="D19" s="881"/>
      <c r="E19" s="783"/>
      <c r="F19" s="783"/>
      <c r="G19" s="783"/>
      <c r="H19" s="783"/>
      <c r="I19" s="778"/>
      <c r="J19" s="783"/>
      <c r="K19" s="783"/>
      <c r="L19" s="793"/>
      <c r="M19" s="793"/>
      <c r="N19" s="793"/>
      <c r="O19" s="793"/>
      <c r="P19" s="793"/>
      <c r="Q19" s="793"/>
      <c r="R19" s="793"/>
      <c r="S19" s="793"/>
      <c r="T19" s="793"/>
      <c r="U19" s="793"/>
      <c r="V19" s="793"/>
      <c r="W19" s="793"/>
      <c r="X19" s="793"/>
      <c r="Y19" s="793"/>
      <c r="Z19" s="793"/>
      <c r="AA19" s="793"/>
      <c r="AB19" s="793"/>
      <c r="AC19" s="793"/>
      <c r="AD19" s="793"/>
      <c r="AE19" s="955"/>
      <c r="AF19" s="793"/>
      <c r="AG19" s="961"/>
      <c r="AH19" s="878"/>
      <c r="AI19" s="839">
        <f t="shared" si="1"/>
        <v>0</v>
      </c>
      <c r="AJ19" s="777">
        <v>656.8</v>
      </c>
      <c r="AK19" s="778">
        <f t="shared" si="2"/>
        <v>656.8</v>
      </c>
      <c r="AL19" s="793">
        <v>656.8</v>
      </c>
      <c r="AM19" s="781">
        <f t="shared" si="3"/>
        <v>0</v>
      </c>
      <c r="AN19" s="879"/>
      <c r="AO19" s="793"/>
      <c r="AP19" s="793"/>
      <c r="AQ19" s="793"/>
      <c r="AR19" s="793"/>
      <c r="AS19" s="793"/>
    </row>
    <row r="20" spans="1:45" s="782" customFormat="1">
      <c r="A20" s="772" t="s">
        <v>529</v>
      </c>
      <c r="B20" s="867" t="s">
        <v>1126</v>
      </c>
      <c r="C20" s="876" t="s">
        <v>39</v>
      </c>
      <c r="D20" s="795"/>
      <c r="E20" s="791"/>
      <c r="F20" s="791"/>
      <c r="G20" s="791"/>
      <c r="H20" s="791"/>
      <c r="I20" s="882"/>
      <c r="J20" s="791"/>
      <c r="K20" s="791"/>
      <c r="L20" s="793"/>
      <c r="M20" s="793"/>
      <c r="N20" s="793"/>
      <c r="O20" s="793"/>
      <c r="P20" s="793"/>
      <c r="Q20" s="793"/>
      <c r="R20" s="793"/>
      <c r="S20" s="793"/>
      <c r="T20" s="793"/>
      <c r="U20" s="793"/>
      <c r="V20" s="793"/>
      <c r="W20" s="793"/>
      <c r="X20" s="793"/>
      <c r="Y20" s="793"/>
      <c r="Z20" s="793"/>
      <c r="AA20" s="793"/>
      <c r="AB20" s="793"/>
      <c r="AC20" s="793"/>
      <c r="AD20" s="793"/>
      <c r="AE20" s="955"/>
      <c r="AF20" s="793"/>
      <c r="AG20" s="961"/>
      <c r="AH20" s="878"/>
      <c r="AI20" s="839">
        <f t="shared" si="1"/>
        <v>0</v>
      </c>
      <c r="AJ20" s="777">
        <v>81</v>
      </c>
      <c r="AK20" s="778">
        <f>AI20+AJ20</f>
        <v>81</v>
      </c>
      <c r="AL20" s="778" t="s">
        <v>1443</v>
      </c>
      <c r="AM20" s="781">
        <f>AL20-AK20</f>
        <v>526.6</v>
      </c>
      <c r="AN20" s="879"/>
      <c r="AO20" s="793"/>
      <c r="AP20" s="793"/>
      <c r="AQ20" s="793"/>
      <c r="AR20" s="793"/>
      <c r="AS20" s="793"/>
    </row>
    <row r="21" spans="1:45" s="782" customFormat="1">
      <c r="A21" s="772" t="s">
        <v>530</v>
      </c>
      <c r="B21" s="867" t="s">
        <v>1127</v>
      </c>
      <c r="C21" s="876" t="s">
        <v>39</v>
      </c>
      <c r="D21" s="795"/>
      <c r="E21" s="778"/>
      <c r="F21" s="778"/>
      <c r="G21" s="778"/>
      <c r="H21" s="778"/>
      <c r="I21" s="778"/>
      <c r="J21" s="778"/>
      <c r="K21" s="778"/>
      <c r="L21" s="809"/>
      <c r="M21" s="809"/>
      <c r="N21" s="809"/>
      <c r="O21" s="809"/>
      <c r="P21" s="809"/>
      <c r="Q21" s="809"/>
      <c r="R21" s="809"/>
      <c r="S21" s="809"/>
      <c r="T21" s="809"/>
      <c r="U21" s="809"/>
      <c r="V21" s="809"/>
      <c r="W21" s="809"/>
      <c r="X21" s="809"/>
      <c r="Y21" s="809"/>
      <c r="Z21" s="809"/>
      <c r="AA21" s="809"/>
      <c r="AB21" s="809"/>
      <c r="AC21" s="809"/>
      <c r="AD21" s="809"/>
      <c r="AE21" s="827"/>
      <c r="AF21" s="809"/>
      <c r="AG21" s="960"/>
      <c r="AH21" s="873"/>
      <c r="AI21" s="839">
        <f t="shared" si="1"/>
        <v>0</v>
      </c>
      <c r="AJ21" s="777">
        <v>0</v>
      </c>
      <c r="AK21" s="778">
        <f t="shared" si="2"/>
        <v>0</v>
      </c>
      <c r="AL21" s="780" t="s">
        <v>1444</v>
      </c>
      <c r="AM21" s="781">
        <f t="shared" si="3"/>
        <v>759.49</v>
      </c>
    </row>
    <row r="22" spans="1:45" s="782" customFormat="1">
      <c r="A22" s="868" t="s">
        <v>531</v>
      </c>
      <c r="B22" s="869" t="s">
        <v>1128</v>
      </c>
      <c r="C22" s="880"/>
      <c r="D22" s="795"/>
      <c r="E22" s="778"/>
      <c r="F22" s="778"/>
      <c r="G22" s="778"/>
      <c r="H22" s="778"/>
      <c r="I22" s="777"/>
      <c r="J22" s="777"/>
      <c r="K22" s="777"/>
      <c r="L22" s="809"/>
      <c r="M22" s="809"/>
      <c r="N22" s="809"/>
      <c r="O22" s="809"/>
      <c r="P22" s="809"/>
      <c r="Q22" s="809"/>
      <c r="R22" s="809"/>
      <c r="S22" s="809"/>
      <c r="T22" s="809"/>
      <c r="U22" s="809"/>
      <c r="V22" s="809"/>
      <c r="W22" s="809"/>
      <c r="X22" s="809"/>
      <c r="Y22" s="809"/>
      <c r="Z22" s="809"/>
      <c r="AA22" s="809"/>
      <c r="AB22" s="809"/>
      <c r="AC22" s="809"/>
      <c r="AD22" s="809"/>
      <c r="AE22" s="827"/>
      <c r="AF22" s="809"/>
      <c r="AG22" s="960"/>
      <c r="AH22" s="873"/>
      <c r="AI22" s="839">
        <f t="shared" si="1"/>
        <v>0</v>
      </c>
      <c r="AJ22" s="777">
        <v>0</v>
      </c>
      <c r="AK22" s="778">
        <f t="shared" si="2"/>
        <v>0</v>
      </c>
      <c r="AL22" s="780"/>
      <c r="AM22" s="781">
        <f t="shared" si="3"/>
        <v>0</v>
      </c>
    </row>
    <row r="23" spans="1:45" s="785" customFormat="1">
      <c r="A23" s="772" t="s">
        <v>532</v>
      </c>
      <c r="B23" s="772" t="s">
        <v>1128</v>
      </c>
      <c r="C23" s="876" t="s">
        <v>63</v>
      </c>
      <c r="D23" s="881"/>
      <c r="E23" s="783"/>
      <c r="F23" s="783"/>
      <c r="G23" s="783"/>
      <c r="H23" s="883"/>
      <c r="I23" s="779"/>
      <c r="J23" s="779"/>
      <c r="K23" s="779"/>
      <c r="L23" s="809"/>
      <c r="M23" s="809"/>
      <c r="N23" s="809"/>
      <c r="O23" s="809"/>
      <c r="P23" s="809"/>
      <c r="Q23" s="809"/>
      <c r="R23" s="809"/>
      <c r="S23" s="809"/>
      <c r="T23" s="809"/>
      <c r="U23" s="809"/>
      <c r="V23" s="809"/>
      <c r="W23" s="809"/>
      <c r="X23" s="809"/>
      <c r="Y23" s="809"/>
      <c r="Z23" s="809"/>
      <c r="AA23" s="809"/>
      <c r="AB23" s="809"/>
      <c r="AC23" s="809"/>
      <c r="AD23" s="809"/>
      <c r="AE23" s="827"/>
      <c r="AF23" s="809"/>
      <c r="AG23" s="960"/>
      <c r="AH23" s="873"/>
      <c r="AI23" s="839">
        <f t="shared" si="1"/>
        <v>0</v>
      </c>
      <c r="AJ23" s="777">
        <v>0</v>
      </c>
      <c r="AK23" s="778">
        <f t="shared" si="2"/>
        <v>0</v>
      </c>
      <c r="AL23" s="784" t="s">
        <v>1441</v>
      </c>
      <c r="AM23" s="781">
        <f t="shared" si="3"/>
        <v>1</v>
      </c>
    </row>
    <row r="24" spans="1:45" s="782" customFormat="1">
      <c r="A24" s="772" t="s">
        <v>533</v>
      </c>
      <c r="B24" s="867" t="s">
        <v>1130</v>
      </c>
      <c r="C24" s="876" t="s">
        <v>63</v>
      </c>
      <c r="D24" s="795"/>
      <c r="E24" s="778"/>
      <c r="F24" s="778"/>
      <c r="G24" s="778"/>
      <c r="H24" s="778"/>
      <c r="I24" s="777"/>
      <c r="J24" s="777"/>
      <c r="K24" s="777"/>
      <c r="L24" s="850"/>
      <c r="M24" s="809"/>
      <c r="N24" s="809"/>
      <c r="O24" s="809"/>
      <c r="P24" s="809"/>
      <c r="Q24" s="809"/>
      <c r="R24" s="809"/>
      <c r="S24" s="809"/>
      <c r="T24" s="809"/>
      <c r="U24" s="809"/>
      <c r="V24" s="809"/>
      <c r="W24" s="809"/>
      <c r="X24" s="809"/>
      <c r="Y24" s="809"/>
      <c r="Z24" s="809"/>
      <c r="AA24" s="809"/>
      <c r="AB24" s="809"/>
      <c r="AC24" s="809"/>
      <c r="AD24" s="809"/>
      <c r="AE24" s="827"/>
      <c r="AF24" s="809"/>
      <c r="AG24" s="960"/>
      <c r="AH24" s="873"/>
      <c r="AI24" s="839">
        <f t="shared" si="1"/>
        <v>0</v>
      </c>
      <c r="AJ24" s="777">
        <v>0</v>
      </c>
      <c r="AK24" s="778">
        <f t="shared" si="2"/>
        <v>0</v>
      </c>
      <c r="AL24" s="780" t="s">
        <v>1441</v>
      </c>
      <c r="AM24" s="781">
        <f t="shared" si="3"/>
        <v>1</v>
      </c>
    </row>
    <row r="25" spans="1:45" s="782" customFormat="1">
      <c r="A25" s="868" t="s">
        <v>534</v>
      </c>
      <c r="B25" s="869" t="s">
        <v>1131</v>
      </c>
      <c r="C25" s="880"/>
      <c r="D25" s="795"/>
      <c r="E25" s="778"/>
      <c r="F25" s="778"/>
      <c r="G25" s="778"/>
      <c r="H25" s="778"/>
      <c r="I25" s="777"/>
      <c r="J25" s="777"/>
      <c r="K25" s="777"/>
      <c r="L25" s="809"/>
      <c r="M25" s="809"/>
      <c r="N25" s="809"/>
      <c r="O25" s="809"/>
      <c r="P25" s="809"/>
      <c r="Q25" s="809"/>
      <c r="R25" s="809"/>
      <c r="S25" s="809"/>
      <c r="T25" s="809"/>
      <c r="U25" s="809"/>
      <c r="V25" s="809"/>
      <c r="W25" s="809"/>
      <c r="X25" s="809"/>
      <c r="Y25" s="809"/>
      <c r="Z25" s="809"/>
      <c r="AA25" s="809"/>
      <c r="AB25" s="809"/>
      <c r="AC25" s="809"/>
      <c r="AD25" s="809"/>
      <c r="AE25" s="827"/>
      <c r="AF25" s="809"/>
      <c r="AG25" s="960"/>
      <c r="AH25" s="873"/>
      <c r="AI25" s="839">
        <f t="shared" si="1"/>
        <v>0</v>
      </c>
      <c r="AJ25" s="777">
        <v>0</v>
      </c>
      <c r="AK25" s="778">
        <f t="shared" si="2"/>
        <v>0</v>
      </c>
      <c r="AL25" s="780"/>
      <c r="AM25" s="781">
        <f t="shared" si="3"/>
        <v>0</v>
      </c>
    </row>
    <row r="26" spans="1:45" s="782" customFormat="1">
      <c r="A26" s="772" t="s">
        <v>535</v>
      </c>
      <c r="B26" s="772" t="s">
        <v>1132</v>
      </c>
      <c r="C26" s="876" t="s">
        <v>36</v>
      </c>
      <c r="D26" s="795"/>
      <c r="E26" s="778"/>
      <c r="F26" s="778"/>
      <c r="G26" s="778"/>
      <c r="H26" s="778"/>
      <c r="I26" s="777"/>
      <c r="J26" s="777"/>
      <c r="K26" s="777"/>
      <c r="L26" s="809"/>
      <c r="M26" s="809"/>
      <c r="N26" s="809"/>
      <c r="O26" s="809"/>
      <c r="P26" s="809"/>
      <c r="Q26" s="809"/>
      <c r="R26" s="809"/>
      <c r="S26" s="809"/>
      <c r="T26" s="809"/>
      <c r="U26" s="809"/>
      <c r="V26" s="809"/>
      <c r="W26" s="809"/>
      <c r="X26" s="809"/>
      <c r="Y26" s="809"/>
      <c r="Z26" s="809"/>
      <c r="AA26" s="809"/>
      <c r="AB26" s="809"/>
      <c r="AC26" s="809"/>
      <c r="AD26" s="809"/>
      <c r="AE26" s="827"/>
      <c r="AF26" s="809"/>
      <c r="AG26" s="960"/>
      <c r="AH26" s="873"/>
      <c r="AI26" s="839">
        <f t="shared" si="1"/>
        <v>0</v>
      </c>
      <c r="AJ26" s="777">
        <v>656.8</v>
      </c>
      <c r="AK26" s="778">
        <f t="shared" si="2"/>
        <v>656.8</v>
      </c>
      <c r="AL26" s="780" t="s">
        <v>1442</v>
      </c>
      <c r="AM26" s="781">
        <f t="shared" si="3"/>
        <v>0</v>
      </c>
    </row>
    <row r="27" spans="1:45" s="782" customFormat="1">
      <c r="A27" s="772" t="s">
        <v>536</v>
      </c>
      <c r="B27" s="772" t="s">
        <v>1805</v>
      </c>
      <c r="C27" s="876" t="s">
        <v>36</v>
      </c>
      <c r="D27" s="795"/>
      <c r="E27" s="778"/>
      <c r="F27" s="778"/>
      <c r="G27" s="778"/>
      <c r="H27" s="778"/>
      <c r="I27" s="777"/>
      <c r="J27" s="777"/>
      <c r="K27" s="777"/>
      <c r="L27" s="809"/>
      <c r="M27" s="809"/>
      <c r="N27" s="809"/>
      <c r="O27" s="809"/>
      <c r="P27" s="809"/>
      <c r="Q27" s="809"/>
      <c r="R27" s="809"/>
      <c r="S27" s="809"/>
      <c r="T27" s="809"/>
      <c r="U27" s="809"/>
      <c r="V27" s="809"/>
      <c r="W27" s="809"/>
      <c r="X27" s="850"/>
      <c r="Y27" s="809"/>
      <c r="Z27" s="809"/>
      <c r="AA27" s="809"/>
      <c r="AB27" s="809"/>
      <c r="AC27" s="809"/>
      <c r="AD27" s="809"/>
      <c r="AE27" s="827"/>
      <c r="AF27" s="809"/>
      <c r="AG27" s="960"/>
      <c r="AH27" s="873"/>
      <c r="AI27" s="839">
        <f t="shared" si="1"/>
        <v>0</v>
      </c>
      <c r="AJ27" s="777">
        <v>154.35</v>
      </c>
      <c r="AK27" s="778">
        <f>AI27+AJ27</f>
        <v>154.35</v>
      </c>
      <c r="AL27" s="780" t="s">
        <v>1442</v>
      </c>
      <c r="AM27" s="781">
        <f>AL27-AK27</f>
        <v>502.44999999999993</v>
      </c>
    </row>
    <row r="28" spans="1:45" s="782" customFormat="1">
      <c r="A28" s="868" t="s">
        <v>537</v>
      </c>
      <c r="B28" s="869" t="s">
        <v>1133</v>
      </c>
      <c r="C28" s="880"/>
      <c r="D28" s="795"/>
      <c r="E28" s="778"/>
      <c r="F28" s="778"/>
      <c r="G28" s="778"/>
      <c r="H28" s="778"/>
      <c r="I28" s="828"/>
      <c r="J28" s="777"/>
      <c r="K28" s="777"/>
      <c r="L28" s="809"/>
      <c r="M28" s="828"/>
      <c r="N28" s="809"/>
      <c r="O28" s="809"/>
      <c r="P28" s="777"/>
      <c r="Q28" s="809"/>
      <c r="R28" s="809"/>
      <c r="S28" s="809"/>
      <c r="T28" s="809"/>
      <c r="U28" s="809"/>
      <c r="V28" s="809"/>
      <c r="W28" s="809"/>
      <c r="X28" s="809"/>
      <c r="Y28" s="809"/>
      <c r="Z28" s="809"/>
      <c r="AA28" s="809"/>
      <c r="AB28" s="809"/>
      <c r="AC28" s="809"/>
      <c r="AD28" s="809"/>
      <c r="AE28" s="827"/>
      <c r="AF28" s="809"/>
      <c r="AG28" s="960"/>
      <c r="AH28" s="873"/>
      <c r="AI28" s="839">
        <f t="shared" si="1"/>
        <v>0</v>
      </c>
      <c r="AJ28" s="777">
        <v>0</v>
      </c>
      <c r="AK28" s="778">
        <f t="shared" si="2"/>
        <v>0</v>
      </c>
      <c r="AL28" s="780"/>
      <c r="AM28" s="781">
        <f t="shared" si="3"/>
        <v>0</v>
      </c>
    </row>
    <row r="29" spans="1:45" s="782" customFormat="1">
      <c r="A29" s="772" t="s">
        <v>538</v>
      </c>
      <c r="B29" s="867" t="s">
        <v>1134</v>
      </c>
      <c r="C29" s="876" t="s">
        <v>63</v>
      </c>
      <c r="D29" s="884"/>
      <c r="E29" s="777"/>
      <c r="F29" s="777"/>
      <c r="G29" s="777"/>
      <c r="H29" s="778"/>
      <c r="I29" s="828"/>
      <c r="J29" s="777"/>
      <c r="K29" s="777"/>
      <c r="L29" s="809"/>
      <c r="M29" s="828"/>
      <c r="N29" s="809"/>
      <c r="O29" s="809"/>
      <c r="P29" s="825"/>
      <c r="Q29" s="809"/>
      <c r="R29" s="809"/>
      <c r="S29" s="809"/>
      <c r="T29" s="809"/>
      <c r="U29" s="809"/>
      <c r="V29" s="809"/>
      <c r="W29" s="809"/>
      <c r="X29" s="809"/>
      <c r="Y29" s="809"/>
      <c r="Z29" s="809"/>
      <c r="AA29" s="809"/>
      <c r="AB29" s="809"/>
      <c r="AC29" s="809"/>
      <c r="AD29" s="809"/>
      <c r="AE29" s="827"/>
      <c r="AF29" s="809"/>
      <c r="AG29" s="960"/>
      <c r="AH29" s="873"/>
      <c r="AI29" s="839">
        <f t="shared" si="1"/>
        <v>0</v>
      </c>
      <c r="AJ29" s="777">
        <v>0</v>
      </c>
      <c r="AK29" s="778">
        <f t="shared" si="2"/>
        <v>0</v>
      </c>
      <c r="AL29" s="780" t="s">
        <v>1441</v>
      </c>
      <c r="AM29" s="781">
        <f t="shared" si="3"/>
        <v>1</v>
      </c>
    </row>
    <row r="30" spans="1:45" s="782" customFormat="1">
      <c r="A30" s="772" t="s">
        <v>539</v>
      </c>
      <c r="B30" s="867" t="s">
        <v>1135</v>
      </c>
      <c r="C30" s="876" t="s">
        <v>35</v>
      </c>
      <c r="D30" s="884"/>
      <c r="E30" s="777"/>
      <c r="F30" s="777"/>
      <c r="G30" s="777"/>
      <c r="H30" s="778"/>
      <c r="I30" s="828"/>
      <c r="J30" s="777"/>
      <c r="K30" s="777"/>
      <c r="L30" s="809"/>
      <c r="M30" s="825"/>
      <c r="N30" s="809"/>
      <c r="O30" s="809"/>
      <c r="Q30" s="809"/>
      <c r="R30" s="809"/>
      <c r="S30" s="809"/>
      <c r="T30" s="809"/>
      <c r="U30" s="809"/>
      <c r="V30" s="809"/>
      <c r="W30" s="809"/>
      <c r="X30" s="809"/>
      <c r="Y30" s="809"/>
      <c r="Z30" s="809"/>
      <c r="AA30" s="809"/>
      <c r="AB30" s="809"/>
      <c r="AC30" s="809"/>
      <c r="AD30" s="809"/>
      <c r="AE30" s="827"/>
      <c r="AF30" s="809"/>
      <c r="AG30" s="960"/>
      <c r="AH30" s="873"/>
      <c r="AI30" s="839">
        <f t="shared" si="1"/>
        <v>0</v>
      </c>
      <c r="AJ30" s="777">
        <v>0</v>
      </c>
      <c r="AK30" s="778">
        <f t="shared" si="2"/>
        <v>0</v>
      </c>
      <c r="AL30" s="780" t="s">
        <v>1445</v>
      </c>
      <c r="AM30" s="781">
        <f t="shared" si="3"/>
        <v>30</v>
      </c>
    </row>
    <row r="31" spans="1:45" s="782" customFormat="1">
      <c r="A31" s="772" t="s">
        <v>540</v>
      </c>
      <c r="B31" s="867" t="s">
        <v>1136</v>
      </c>
      <c r="C31" s="876" t="s">
        <v>63</v>
      </c>
      <c r="D31" s="884"/>
      <c r="E31" s="777"/>
      <c r="F31" s="777"/>
      <c r="G31" s="777"/>
      <c r="H31" s="778"/>
      <c r="I31" s="828"/>
      <c r="J31" s="777"/>
      <c r="K31" s="777"/>
      <c r="L31" s="809"/>
      <c r="M31" s="828"/>
      <c r="N31" s="809"/>
      <c r="O31" s="809"/>
      <c r="P31" s="825"/>
      <c r="Q31" s="809"/>
      <c r="R31" s="809"/>
      <c r="S31" s="809"/>
      <c r="T31" s="809"/>
      <c r="U31" s="809"/>
      <c r="V31" s="809"/>
      <c r="W31" s="809"/>
      <c r="X31" s="809"/>
      <c r="Y31" s="809"/>
      <c r="Z31" s="809"/>
      <c r="AA31" s="809"/>
      <c r="AB31" s="809"/>
      <c r="AC31" s="809"/>
      <c r="AD31" s="809"/>
      <c r="AE31" s="827"/>
      <c r="AF31" s="809"/>
      <c r="AG31" s="960"/>
      <c r="AH31" s="873"/>
      <c r="AI31" s="839">
        <f t="shared" si="1"/>
        <v>0</v>
      </c>
      <c r="AJ31" s="777">
        <v>0</v>
      </c>
      <c r="AK31" s="778">
        <f t="shared" si="2"/>
        <v>0</v>
      </c>
      <c r="AL31" s="780" t="s">
        <v>1441</v>
      </c>
      <c r="AM31" s="781">
        <f t="shared" si="3"/>
        <v>1</v>
      </c>
    </row>
    <row r="32" spans="1:45" s="782" customFormat="1">
      <c r="A32" s="772" t="s">
        <v>541</v>
      </c>
      <c r="B32" s="867" t="s">
        <v>1137</v>
      </c>
      <c r="C32" s="876" t="s">
        <v>63</v>
      </c>
      <c r="D32" s="884"/>
      <c r="E32" s="777"/>
      <c r="F32" s="777"/>
      <c r="G32" s="777"/>
      <c r="H32" s="778"/>
      <c r="I32" s="828"/>
      <c r="J32" s="777"/>
      <c r="K32" s="777"/>
      <c r="L32" s="809"/>
      <c r="M32" s="828"/>
      <c r="N32" s="809"/>
      <c r="O32" s="809"/>
      <c r="P32" s="825"/>
      <c r="Q32" s="809"/>
      <c r="R32" s="809"/>
      <c r="S32" s="809"/>
      <c r="T32" s="809"/>
      <c r="U32" s="809"/>
      <c r="V32" s="809"/>
      <c r="W32" s="809"/>
      <c r="X32" s="809"/>
      <c r="Y32" s="809"/>
      <c r="Z32" s="809"/>
      <c r="AA32" s="809"/>
      <c r="AB32" s="809"/>
      <c r="AC32" s="809"/>
      <c r="AD32" s="850"/>
      <c r="AE32" s="827"/>
      <c r="AF32" s="809"/>
      <c r="AG32" s="960"/>
      <c r="AH32" s="873"/>
      <c r="AI32" s="839">
        <f t="shared" si="1"/>
        <v>0</v>
      </c>
      <c r="AJ32" s="777">
        <v>0</v>
      </c>
      <c r="AK32" s="778">
        <f t="shared" si="2"/>
        <v>0</v>
      </c>
      <c r="AL32" s="780" t="s">
        <v>1441</v>
      </c>
      <c r="AM32" s="781">
        <f t="shared" si="3"/>
        <v>1</v>
      </c>
    </row>
    <row r="33" spans="1:39" s="782" customFormat="1">
      <c r="A33" s="772" t="s">
        <v>542</v>
      </c>
      <c r="B33" s="867" t="s">
        <v>1138</v>
      </c>
      <c r="C33" s="876" t="s">
        <v>63</v>
      </c>
      <c r="D33" s="884"/>
      <c r="E33" s="777"/>
      <c r="F33" s="777"/>
      <c r="G33" s="777"/>
      <c r="H33" s="778"/>
      <c r="I33" s="828"/>
      <c r="J33" s="777"/>
      <c r="K33" s="777"/>
      <c r="L33" s="809"/>
      <c r="M33" s="828"/>
      <c r="N33" s="809"/>
      <c r="O33" s="809"/>
      <c r="P33" s="777"/>
      <c r="Q33" s="809"/>
      <c r="R33" s="809"/>
      <c r="S33" s="809"/>
      <c r="T33" s="809"/>
      <c r="U33" s="809"/>
      <c r="V33" s="809"/>
      <c r="W33" s="809"/>
      <c r="X33" s="809"/>
      <c r="Y33" s="809"/>
      <c r="Z33" s="809"/>
      <c r="AA33" s="809"/>
      <c r="AB33" s="809"/>
      <c r="AC33" s="809"/>
      <c r="AD33" s="809"/>
      <c r="AE33" s="827"/>
      <c r="AF33" s="809"/>
      <c r="AG33" s="960"/>
      <c r="AH33" s="873"/>
      <c r="AI33" s="839">
        <f t="shared" si="1"/>
        <v>0</v>
      </c>
      <c r="AJ33" s="777">
        <v>0</v>
      </c>
      <c r="AK33" s="778">
        <f t="shared" si="2"/>
        <v>0</v>
      </c>
      <c r="AL33" s="780" t="s">
        <v>1441</v>
      </c>
      <c r="AM33" s="781">
        <f t="shared" si="3"/>
        <v>1</v>
      </c>
    </row>
    <row r="34" spans="1:39" s="785" customFormat="1" ht="13.8" thickBot="1">
      <c r="A34" s="772" t="s">
        <v>543</v>
      </c>
      <c r="B34" s="867" t="s">
        <v>1139</v>
      </c>
      <c r="C34" s="876" t="s">
        <v>63</v>
      </c>
      <c r="D34" s="777"/>
      <c r="E34" s="779"/>
      <c r="F34" s="777"/>
      <c r="G34" s="779"/>
      <c r="H34" s="783"/>
      <c r="I34" s="874"/>
      <c r="J34" s="779"/>
      <c r="K34" s="779"/>
      <c r="L34" s="809"/>
      <c r="M34" s="874"/>
      <c r="N34" s="809"/>
      <c r="O34" s="809"/>
      <c r="P34" s="779"/>
      <c r="Q34" s="809"/>
      <c r="R34" s="809"/>
      <c r="S34" s="809"/>
      <c r="T34" s="809"/>
      <c r="U34" s="809"/>
      <c r="V34" s="809"/>
      <c r="W34" s="809"/>
      <c r="X34" s="809"/>
      <c r="Y34" s="809"/>
      <c r="Z34" s="809"/>
      <c r="AA34" s="809"/>
      <c r="AB34" s="809"/>
      <c r="AC34" s="809"/>
      <c r="AD34" s="809"/>
      <c r="AE34" s="827"/>
      <c r="AF34" s="809"/>
      <c r="AG34" s="960"/>
      <c r="AH34" s="873"/>
      <c r="AI34" s="839">
        <f t="shared" si="1"/>
        <v>0</v>
      </c>
      <c r="AJ34" s="777">
        <v>0</v>
      </c>
      <c r="AK34" s="778">
        <f t="shared" si="2"/>
        <v>0</v>
      </c>
      <c r="AL34" s="784" t="s">
        <v>1441</v>
      </c>
      <c r="AM34" s="781">
        <f t="shared" si="3"/>
        <v>1</v>
      </c>
    </row>
    <row r="35" spans="1:39" s="782" customFormat="1">
      <c r="A35" s="870" t="s">
        <v>41</v>
      </c>
      <c r="B35" s="870" t="s">
        <v>1140</v>
      </c>
      <c r="C35" s="880"/>
      <c r="D35" s="795"/>
      <c r="E35" s="778"/>
      <c r="F35" s="778"/>
      <c r="G35" s="778"/>
      <c r="H35" s="778"/>
      <c r="I35" s="777"/>
      <c r="J35" s="777"/>
      <c r="K35" s="777"/>
      <c r="L35" s="809"/>
      <c r="M35" s="809"/>
      <c r="N35" s="809"/>
      <c r="O35" s="809"/>
      <c r="P35" s="809"/>
      <c r="Q35" s="809"/>
      <c r="R35" s="809"/>
      <c r="S35" s="809"/>
      <c r="T35" s="809"/>
      <c r="U35" s="809"/>
      <c r="V35" s="809"/>
      <c r="W35" s="809"/>
      <c r="X35" s="809"/>
      <c r="Y35" s="809"/>
      <c r="Z35" s="809"/>
      <c r="AA35" s="809"/>
      <c r="AB35" s="809"/>
      <c r="AC35" s="809"/>
      <c r="AD35" s="809"/>
      <c r="AE35" s="827"/>
      <c r="AF35" s="809"/>
      <c r="AG35" s="960"/>
      <c r="AH35" s="873"/>
      <c r="AI35" s="839">
        <f t="shared" si="1"/>
        <v>0</v>
      </c>
      <c r="AJ35" s="777">
        <v>0</v>
      </c>
      <c r="AK35" s="778">
        <f t="shared" si="2"/>
        <v>0</v>
      </c>
      <c r="AL35" s="780"/>
      <c r="AM35" s="781">
        <f t="shared" si="3"/>
        <v>0</v>
      </c>
    </row>
    <row r="36" spans="1:39" s="560" customFormat="1">
      <c r="A36" s="492" t="s">
        <v>42</v>
      </c>
      <c r="B36" s="608" t="s">
        <v>1141</v>
      </c>
      <c r="C36" s="679"/>
      <c r="D36" s="580"/>
      <c r="E36" s="778"/>
      <c r="F36" s="581"/>
      <c r="G36" s="581"/>
      <c r="H36" s="581"/>
      <c r="I36" s="949"/>
      <c r="J36" s="949"/>
      <c r="K36" s="949"/>
      <c r="L36" s="809"/>
      <c r="M36" s="575"/>
      <c r="N36" s="575"/>
      <c r="O36" s="575"/>
      <c r="P36" s="575"/>
      <c r="Q36" s="575"/>
      <c r="R36" s="575"/>
      <c r="S36" s="809"/>
      <c r="T36" s="575"/>
      <c r="U36" s="575"/>
      <c r="V36" s="575"/>
      <c r="W36" s="575"/>
      <c r="X36" s="575"/>
      <c r="Y36" s="575"/>
      <c r="Z36" s="809"/>
      <c r="AA36" s="575"/>
      <c r="AB36" s="575"/>
      <c r="AC36" s="575"/>
      <c r="AD36" s="575"/>
      <c r="AE36" s="827"/>
      <c r="AF36" s="575"/>
      <c r="AG36" s="960"/>
      <c r="AH36" s="842"/>
      <c r="AI36" s="738">
        <f t="shared" si="1"/>
        <v>0</v>
      </c>
      <c r="AJ36" s="949">
        <v>0</v>
      </c>
      <c r="AK36" s="581">
        <f t="shared" si="2"/>
        <v>0</v>
      </c>
      <c r="AL36" s="746"/>
      <c r="AM36" s="743">
        <f t="shared" si="3"/>
        <v>0</v>
      </c>
    </row>
    <row r="37" spans="1:39" s="560" customFormat="1">
      <c r="A37" s="607" t="s">
        <v>52</v>
      </c>
      <c r="B37" s="607" t="s">
        <v>45</v>
      </c>
      <c r="C37" s="679"/>
      <c r="D37" s="580"/>
      <c r="E37" s="778"/>
      <c r="F37" s="581"/>
      <c r="G37" s="581"/>
      <c r="H37" s="581"/>
      <c r="I37" s="949"/>
      <c r="J37" s="949"/>
      <c r="K37" s="949"/>
      <c r="L37" s="809"/>
      <c r="M37" s="575"/>
      <c r="N37" s="575"/>
      <c r="O37" s="575"/>
      <c r="P37" s="575"/>
      <c r="Q37" s="575"/>
      <c r="R37" s="575"/>
      <c r="S37" s="809"/>
      <c r="T37" s="575"/>
      <c r="U37" s="575"/>
      <c r="V37" s="575"/>
      <c r="W37" s="575"/>
      <c r="X37" s="575"/>
      <c r="Y37" s="575"/>
      <c r="Z37" s="809"/>
      <c r="AA37" s="575"/>
      <c r="AB37" s="575"/>
      <c r="AC37" s="575"/>
      <c r="AD37" s="575"/>
      <c r="AE37" s="827"/>
      <c r="AF37" s="575"/>
      <c r="AG37" s="960"/>
      <c r="AH37" s="842"/>
      <c r="AI37" s="738">
        <f t="shared" si="1"/>
        <v>0</v>
      </c>
      <c r="AJ37" s="949">
        <v>0</v>
      </c>
      <c r="AK37" s="581">
        <f t="shared" si="2"/>
        <v>0</v>
      </c>
      <c r="AL37" s="746"/>
      <c r="AM37" s="743">
        <f t="shared" si="3"/>
        <v>0</v>
      </c>
    </row>
    <row r="38" spans="1:39" s="560" customFormat="1">
      <c r="A38" s="604" t="s">
        <v>544</v>
      </c>
      <c r="B38" s="604" t="s">
        <v>1142</v>
      </c>
      <c r="C38" s="530" t="s">
        <v>39</v>
      </c>
      <c r="D38" s="580"/>
      <c r="E38" s="778"/>
      <c r="F38" s="581"/>
      <c r="G38" s="581"/>
      <c r="H38" s="581"/>
      <c r="I38" s="949"/>
      <c r="J38" s="949"/>
      <c r="K38" s="949"/>
      <c r="L38" s="809"/>
      <c r="M38" s="575"/>
      <c r="N38" s="575"/>
      <c r="O38" s="575"/>
      <c r="P38" s="575"/>
      <c r="Q38" s="575"/>
      <c r="R38" s="575"/>
      <c r="S38" s="809"/>
      <c r="T38" s="575"/>
      <c r="U38" s="575"/>
      <c r="V38" s="575"/>
      <c r="W38" s="575"/>
      <c r="X38" s="575"/>
      <c r="Y38" s="575"/>
      <c r="Z38" s="809"/>
      <c r="AA38" s="575"/>
      <c r="AB38" s="575"/>
      <c r="AC38" s="575"/>
      <c r="AD38" s="575"/>
      <c r="AE38" s="827"/>
      <c r="AF38" s="575"/>
      <c r="AG38" s="960"/>
      <c r="AH38" s="842"/>
      <c r="AI38" s="738">
        <f t="shared" si="1"/>
        <v>0</v>
      </c>
      <c r="AJ38" s="949">
        <v>0</v>
      </c>
      <c r="AK38" s="581">
        <f t="shared" si="2"/>
        <v>0</v>
      </c>
      <c r="AL38" s="746" t="s">
        <v>1446</v>
      </c>
      <c r="AM38" s="743">
        <f t="shared" si="3"/>
        <v>27.29</v>
      </c>
    </row>
    <row r="39" spans="1:39" s="560" customFormat="1">
      <c r="A39" s="604" t="s">
        <v>545</v>
      </c>
      <c r="B39" s="604" t="s">
        <v>1143</v>
      </c>
      <c r="C39" s="530" t="s">
        <v>39</v>
      </c>
      <c r="D39" s="580"/>
      <c r="E39" s="778"/>
      <c r="F39" s="581"/>
      <c r="G39" s="581"/>
      <c r="H39" s="581"/>
      <c r="I39" s="949"/>
      <c r="J39" s="949"/>
      <c r="K39" s="949"/>
      <c r="L39" s="809"/>
      <c r="M39" s="575"/>
      <c r="N39" s="575"/>
      <c r="O39" s="575"/>
      <c r="P39" s="575"/>
      <c r="Q39" s="575"/>
      <c r="R39" s="575"/>
      <c r="S39" s="809"/>
      <c r="T39" s="575"/>
      <c r="U39" s="575"/>
      <c r="V39" s="575"/>
      <c r="W39" s="575"/>
      <c r="X39" s="575"/>
      <c r="Y39" s="575"/>
      <c r="Z39" s="809"/>
      <c r="AA39" s="575"/>
      <c r="AB39" s="575"/>
      <c r="AC39" s="575"/>
      <c r="AD39" s="575"/>
      <c r="AE39" s="827"/>
      <c r="AF39" s="575"/>
      <c r="AG39" s="960"/>
      <c r="AH39" s="842"/>
      <c r="AI39" s="738">
        <f t="shared" si="1"/>
        <v>0</v>
      </c>
      <c r="AJ39" s="949">
        <v>0</v>
      </c>
      <c r="AK39" s="581">
        <f t="shared" si="2"/>
        <v>0</v>
      </c>
      <c r="AL39" s="746" t="s">
        <v>1447</v>
      </c>
      <c r="AM39" s="743">
        <f t="shared" si="3"/>
        <v>8.75</v>
      </c>
    </row>
    <row r="40" spans="1:39" s="560" customFormat="1">
      <c r="A40" s="604" t="s">
        <v>546</v>
      </c>
      <c r="B40" s="604" t="s">
        <v>1144</v>
      </c>
      <c r="C40" s="530" t="s">
        <v>39</v>
      </c>
      <c r="D40" s="580"/>
      <c r="E40" s="778"/>
      <c r="F40" s="581"/>
      <c r="G40" s="581"/>
      <c r="H40" s="581"/>
      <c r="I40" s="949"/>
      <c r="J40" s="949"/>
      <c r="K40" s="949"/>
      <c r="L40" s="809"/>
      <c r="M40" s="575"/>
      <c r="N40" s="575"/>
      <c r="O40" s="575"/>
      <c r="P40" s="575"/>
      <c r="Q40" s="575"/>
      <c r="R40" s="575"/>
      <c r="S40" s="809"/>
      <c r="T40" s="575"/>
      <c r="U40" s="575"/>
      <c r="V40" s="575"/>
      <c r="W40" s="575"/>
      <c r="X40" s="575"/>
      <c r="Y40" s="575"/>
      <c r="Z40" s="809"/>
      <c r="AA40" s="575"/>
      <c r="AB40" s="575"/>
      <c r="AC40" s="575"/>
      <c r="AD40" s="575"/>
      <c r="AE40" s="827"/>
      <c r="AF40" s="575"/>
      <c r="AG40" s="960"/>
      <c r="AH40" s="842"/>
      <c r="AI40" s="738">
        <f t="shared" si="1"/>
        <v>0</v>
      </c>
      <c r="AJ40" s="949">
        <v>0</v>
      </c>
      <c r="AK40" s="581">
        <f t="shared" si="2"/>
        <v>0</v>
      </c>
      <c r="AL40" s="746" t="s">
        <v>1448</v>
      </c>
      <c r="AM40" s="743">
        <f t="shared" si="3"/>
        <v>13.99</v>
      </c>
    </row>
    <row r="41" spans="1:39" s="560" customFormat="1">
      <c r="A41" s="604" t="s">
        <v>547</v>
      </c>
      <c r="B41" s="604" t="s">
        <v>1145</v>
      </c>
      <c r="C41" s="530" t="s">
        <v>36</v>
      </c>
      <c r="D41" s="580"/>
      <c r="E41" s="778"/>
      <c r="F41" s="581"/>
      <c r="G41" s="581"/>
      <c r="H41" s="581"/>
      <c r="I41" s="949"/>
      <c r="J41" s="949"/>
      <c r="K41" s="949"/>
      <c r="L41" s="809"/>
      <c r="M41" s="575"/>
      <c r="N41" s="575"/>
      <c r="O41" s="575"/>
      <c r="P41" s="575"/>
      <c r="Q41" s="575"/>
      <c r="R41" s="575"/>
      <c r="S41" s="809"/>
      <c r="T41" s="575"/>
      <c r="U41" s="575"/>
      <c r="V41" s="575"/>
      <c r="W41" s="575"/>
      <c r="X41" s="575"/>
      <c r="Y41" s="575"/>
      <c r="Z41" s="809"/>
      <c r="AA41" s="575"/>
      <c r="AB41" s="575"/>
      <c r="AC41" s="575"/>
      <c r="AD41" s="575"/>
      <c r="AE41" s="827"/>
      <c r="AF41" s="575"/>
      <c r="AG41" s="960"/>
      <c r="AH41" s="842"/>
      <c r="AI41" s="738">
        <f t="shared" si="1"/>
        <v>0</v>
      </c>
      <c r="AJ41" s="949">
        <v>0</v>
      </c>
      <c r="AK41" s="581">
        <f t="shared" si="2"/>
        <v>0</v>
      </c>
      <c r="AL41" s="746" t="s">
        <v>1449</v>
      </c>
      <c r="AM41" s="743">
        <f t="shared" si="3"/>
        <v>26.03</v>
      </c>
    </row>
    <row r="42" spans="1:39" s="579" customFormat="1" ht="11.25" customHeight="1">
      <c r="A42" s="604" t="s">
        <v>548</v>
      </c>
      <c r="B42" s="604" t="s">
        <v>1146</v>
      </c>
      <c r="C42" s="530" t="s">
        <v>39</v>
      </c>
      <c r="D42" s="586"/>
      <c r="E42" s="783"/>
      <c r="F42" s="587"/>
      <c r="G42" s="587"/>
      <c r="H42" s="587"/>
      <c r="I42" s="588"/>
      <c r="J42" s="588"/>
      <c r="K42" s="588"/>
      <c r="L42" s="809"/>
      <c r="M42" s="575"/>
      <c r="N42" s="575"/>
      <c r="O42" s="575"/>
      <c r="P42" s="575"/>
      <c r="Q42" s="575"/>
      <c r="R42" s="575"/>
      <c r="S42" s="809"/>
      <c r="T42" s="575"/>
      <c r="U42" s="575"/>
      <c r="V42" s="575"/>
      <c r="W42" s="575"/>
      <c r="X42" s="575"/>
      <c r="Y42" s="575"/>
      <c r="Z42" s="809"/>
      <c r="AA42" s="575"/>
      <c r="AB42" s="575"/>
      <c r="AC42" s="575"/>
      <c r="AD42" s="575"/>
      <c r="AE42" s="827"/>
      <c r="AF42" s="575"/>
      <c r="AG42" s="960"/>
      <c r="AH42" s="842"/>
      <c r="AI42" s="738">
        <f t="shared" si="1"/>
        <v>0</v>
      </c>
      <c r="AJ42" s="949">
        <v>0</v>
      </c>
      <c r="AK42" s="581">
        <f t="shared" si="2"/>
        <v>0</v>
      </c>
      <c r="AL42" s="747" t="s">
        <v>1450</v>
      </c>
      <c r="AM42" s="743">
        <f t="shared" si="3"/>
        <v>27.56</v>
      </c>
    </row>
    <row r="43" spans="1:39" s="560" customFormat="1" ht="11.25" customHeight="1">
      <c r="A43" s="604" t="s">
        <v>549</v>
      </c>
      <c r="B43" s="604" t="s">
        <v>1147</v>
      </c>
      <c r="C43" s="614" t="s">
        <v>39</v>
      </c>
      <c r="D43" s="580"/>
      <c r="E43" s="778"/>
      <c r="F43" s="581"/>
      <c r="G43" s="581"/>
      <c r="H43" s="581"/>
      <c r="I43" s="949"/>
      <c r="J43" s="949"/>
      <c r="K43" s="949"/>
      <c r="L43" s="809"/>
      <c r="M43" s="575"/>
      <c r="N43" s="575"/>
      <c r="O43" s="575"/>
      <c r="P43" s="575"/>
      <c r="Q43" s="575"/>
      <c r="R43" s="575"/>
      <c r="S43" s="809"/>
      <c r="T43" s="575"/>
      <c r="U43" s="575"/>
      <c r="V43" s="575"/>
      <c r="W43" s="575"/>
      <c r="X43" s="575"/>
      <c r="Y43" s="575"/>
      <c r="Z43" s="809"/>
      <c r="AA43" s="575"/>
      <c r="AB43" s="575"/>
      <c r="AC43" s="575"/>
      <c r="AD43" s="575"/>
      <c r="AE43" s="827"/>
      <c r="AF43" s="575"/>
      <c r="AG43" s="960"/>
      <c r="AH43" s="842"/>
      <c r="AI43" s="738">
        <f t="shared" si="1"/>
        <v>0</v>
      </c>
      <c r="AJ43" s="949">
        <v>0</v>
      </c>
      <c r="AK43" s="581">
        <f t="shared" si="2"/>
        <v>0</v>
      </c>
      <c r="AL43" s="746" t="s">
        <v>1450</v>
      </c>
      <c r="AM43" s="743">
        <f t="shared" si="3"/>
        <v>27.56</v>
      </c>
    </row>
    <row r="44" spans="1:39" s="560" customFormat="1" ht="11.25" customHeight="1">
      <c r="A44" s="607" t="s">
        <v>550</v>
      </c>
      <c r="B44" s="607" t="s">
        <v>1148</v>
      </c>
      <c r="C44" s="679"/>
      <c r="D44" s="580"/>
      <c r="E44" s="778"/>
      <c r="F44" s="581"/>
      <c r="G44" s="581"/>
      <c r="H44" s="581"/>
      <c r="I44" s="949"/>
      <c r="J44" s="949"/>
      <c r="K44" s="949"/>
      <c r="L44" s="809"/>
      <c r="M44" s="575"/>
      <c r="N44" s="575"/>
      <c r="O44" s="575"/>
      <c r="P44" s="575"/>
      <c r="Q44" s="575"/>
      <c r="R44" s="575"/>
      <c r="S44" s="809"/>
      <c r="T44" s="575"/>
      <c r="U44" s="575"/>
      <c r="V44" s="575"/>
      <c r="W44" s="575"/>
      <c r="X44" s="575"/>
      <c r="Y44" s="575"/>
      <c r="Z44" s="809"/>
      <c r="AA44" s="575"/>
      <c r="AB44" s="575"/>
      <c r="AC44" s="575"/>
      <c r="AD44" s="575"/>
      <c r="AE44" s="827"/>
      <c r="AF44" s="575"/>
      <c r="AG44" s="960"/>
      <c r="AH44" s="842"/>
      <c r="AI44" s="738">
        <f t="shared" si="1"/>
        <v>0</v>
      </c>
      <c r="AJ44" s="949">
        <v>0</v>
      </c>
      <c r="AK44" s="581">
        <f t="shared" si="2"/>
        <v>0</v>
      </c>
      <c r="AL44" s="746"/>
      <c r="AM44" s="743">
        <f t="shared" si="3"/>
        <v>0</v>
      </c>
    </row>
    <row r="45" spans="1:39" s="560" customFormat="1" ht="11.25" customHeight="1">
      <c r="A45" s="604" t="s">
        <v>551</v>
      </c>
      <c r="B45" s="604" t="s">
        <v>1149</v>
      </c>
      <c r="C45" s="530" t="s">
        <v>39</v>
      </c>
      <c r="D45" s="580"/>
      <c r="E45" s="778"/>
      <c r="F45" s="581"/>
      <c r="G45" s="581"/>
      <c r="H45" s="581"/>
      <c r="I45" s="949"/>
      <c r="J45" s="949"/>
      <c r="K45" s="949"/>
      <c r="L45" s="809"/>
      <c r="M45" s="575"/>
      <c r="N45" s="575"/>
      <c r="O45" s="575"/>
      <c r="P45" s="575"/>
      <c r="Q45" s="575"/>
      <c r="R45" s="575"/>
      <c r="S45" s="809"/>
      <c r="T45" s="575"/>
      <c r="U45" s="575"/>
      <c r="V45" s="575"/>
      <c r="W45" s="575"/>
      <c r="X45" s="575"/>
      <c r="Y45" s="575"/>
      <c r="Z45" s="809"/>
      <c r="AA45" s="575"/>
      <c r="AB45" s="575"/>
      <c r="AC45" s="575"/>
      <c r="AD45" s="575"/>
      <c r="AE45" s="827"/>
      <c r="AF45" s="575"/>
      <c r="AG45" s="960"/>
      <c r="AH45" s="842"/>
      <c r="AI45" s="738">
        <f t="shared" si="1"/>
        <v>0</v>
      </c>
      <c r="AJ45" s="949">
        <v>0</v>
      </c>
      <c r="AK45" s="581">
        <f t="shared" si="2"/>
        <v>0</v>
      </c>
      <c r="AL45" s="746" t="s">
        <v>1451</v>
      </c>
      <c r="AM45" s="743">
        <f t="shared" si="3"/>
        <v>7.7</v>
      </c>
    </row>
    <row r="46" spans="1:39" s="560" customFormat="1">
      <c r="A46" s="604" t="s">
        <v>552</v>
      </c>
      <c r="B46" s="604" t="s">
        <v>1150</v>
      </c>
      <c r="C46" s="530" t="s">
        <v>36</v>
      </c>
      <c r="D46" s="580"/>
      <c r="E46" s="778"/>
      <c r="F46" s="581"/>
      <c r="G46" s="581"/>
      <c r="H46" s="581"/>
      <c r="I46" s="949"/>
      <c r="J46" s="949"/>
      <c r="K46" s="949"/>
      <c r="L46" s="809"/>
      <c r="M46" s="575"/>
      <c r="N46" s="575"/>
      <c r="O46" s="575"/>
      <c r="P46" s="575"/>
      <c r="Q46" s="575"/>
      <c r="R46" s="575"/>
      <c r="S46" s="809"/>
      <c r="T46" s="575"/>
      <c r="U46" s="575"/>
      <c r="V46" s="575"/>
      <c r="W46" s="575"/>
      <c r="X46" s="575"/>
      <c r="Y46" s="575"/>
      <c r="Z46" s="809"/>
      <c r="AA46" s="575"/>
      <c r="AB46" s="575"/>
      <c r="AC46" s="575"/>
      <c r="AD46" s="575"/>
      <c r="AE46" s="827"/>
      <c r="AF46" s="575"/>
      <c r="AG46" s="960"/>
      <c r="AH46" s="842"/>
      <c r="AI46" s="738">
        <f t="shared" si="1"/>
        <v>0</v>
      </c>
      <c r="AJ46" s="949">
        <v>0</v>
      </c>
      <c r="AK46" s="581">
        <f t="shared" si="2"/>
        <v>0</v>
      </c>
      <c r="AL46" s="746" t="s">
        <v>1452</v>
      </c>
      <c r="AM46" s="743">
        <f t="shared" si="3"/>
        <v>13.46</v>
      </c>
    </row>
    <row r="47" spans="1:39" s="560" customFormat="1">
      <c r="A47" s="604" t="s">
        <v>553</v>
      </c>
      <c r="B47" s="604" t="s">
        <v>1151</v>
      </c>
      <c r="C47" s="530" t="s">
        <v>39</v>
      </c>
      <c r="D47" s="580"/>
      <c r="E47" s="778"/>
      <c r="F47" s="581"/>
      <c r="G47" s="581"/>
      <c r="H47" s="581"/>
      <c r="I47" s="949"/>
      <c r="J47" s="949"/>
      <c r="K47" s="949"/>
      <c r="L47" s="809"/>
      <c r="M47" s="575"/>
      <c r="N47" s="575"/>
      <c r="O47" s="575"/>
      <c r="P47" s="575"/>
      <c r="Q47" s="575"/>
      <c r="R47" s="575"/>
      <c r="S47" s="809"/>
      <c r="T47" s="575"/>
      <c r="U47" s="575"/>
      <c r="V47" s="575"/>
      <c r="W47" s="575"/>
      <c r="X47" s="575"/>
      <c r="Y47" s="575"/>
      <c r="Z47" s="809"/>
      <c r="AA47" s="575"/>
      <c r="AB47" s="575"/>
      <c r="AC47" s="575"/>
      <c r="AD47" s="575"/>
      <c r="AE47" s="827"/>
      <c r="AF47" s="575"/>
      <c r="AG47" s="960"/>
      <c r="AH47" s="842"/>
      <c r="AI47" s="738">
        <f t="shared" si="1"/>
        <v>0</v>
      </c>
      <c r="AJ47" s="949">
        <v>0</v>
      </c>
      <c r="AK47" s="581">
        <f t="shared" si="2"/>
        <v>0</v>
      </c>
      <c r="AL47" s="746" t="s">
        <v>1453</v>
      </c>
      <c r="AM47" s="743">
        <f t="shared" si="3"/>
        <v>2.97</v>
      </c>
    </row>
    <row r="48" spans="1:39" s="560" customFormat="1">
      <c r="A48" s="604" t="s">
        <v>554</v>
      </c>
      <c r="B48" s="604" t="s">
        <v>1152</v>
      </c>
      <c r="C48" s="530" t="s">
        <v>39</v>
      </c>
      <c r="D48" s="580"/>
      <c r="E48" s="778"/>
      <c r="F48" s="581"/>
      <c r="G48" s="581"/>
      <c r="H48" s="581"/>
      <c r="I48" s="949"/>
      <c r="J48" s="949"/>
      <c r="K48" s="949"/>
      <c r="L48" s="809"/>
      <c r="M48" s="575"/>
      <c r="N48" s="575"/>
      <c r="O48" s="575"/>
      <c r="P48" s="575"/>
      <c r="Q48" s="575"/>
      <c r="R48" s="575"/>
      <c r="S48" s="809"/>
      <c r="T48" s="575"/>
      <c r="U48" s="575"/>
      <c r="V48" s="575"/>
      <c r="W48" s="575"/>
      <c r="X48" s="575"/>
      <c r="Y48" s="575"/>
      <c r="Z48" s="809"/>
      <c r="AA48" s="575"/>
      <c r="AB48" s="575"/>
      <c r="AC48" s="575"/>
      <c r="AD48" s="575"/>
      <c r="AE48" s="827"/>
      <c r="AF48" s="575"/>
      <c r="AG48" s="960"/>
      <c r="AH48" s="842"/>
      <c r="AI48" s="738">
        <f t="shared" si="1"/>
        <v>0</v>
      </c>
      <c r="AJ48" s="949">
        <v>0</v>
      </c>
      <c r="AK48" s="581">
        <f t="shared" si="2"/>
        <v>0</v>
      </c>
      <c r="AL48" s="746" t="s">
        <v>1454</v>
      </c>
      <c r="AM48" s="743">
        <f t="shared" si="3"/>
        <v>0.84</v>
      </c>
    </row>
    <row r="49" spans="1:39" s="560" customFormat="1">
      <c r="A49" s="604" t="s">
        <v>555</v>
      </c>
      <c r="B49" s="604" t="s">
        <v>1153</v>
      </c>
      <c r="C49" s="530" t="s">
        <v>36</v>
      </c>
      <c r="D49" s="580"/>
      <c r="E49" s="778"/>
      <c r="F49" s="581"/>
      <c r="G49" s="581"/>
      <c r="H49" s="581"/>
      <c r="I49" s="949"/>
      <c r="J49" s="949"/>
      <c r="K49" s="949"/>
      <c r="L49" s="809"/>
      <c r="M49" s="575"/>
      <c r="N49" s="575"/>
      <c r="O49" s="575"/>
      <c r="P49" s="575"/>
      <c r="Q49" s="575"/>
      <c r="R49" s="575"/>
      <c r="S49" s="809"/>
      <c r="T49" s="575"/>
      <c r="U49" s="575"/>
      <c r="V49" s="575"/>
      <c r="W49" s="575"/>
      <c r="X49" s="575"/>
      <c r="Y49" s="575"/>
      <c r="Z49" s="809"/>
      <c r="AA49" s="575"/>
      <c r="AB49" s="575"/>
      <c r="AC49" s="575"/>
      <c r="AD49" s="575"/>
      <c r="AE49" s="827"/>
      <c r="AF49" s="575"/>
      <c r="AG49" s="960"/>
      <c r="AH49" s="842"/>
      <c r="AI49" s="738">
        <f t="shared" si="1"/>
        <v>0</v>
      </c>
      <c r="AJ49" s="949">
        <v>0</v>
      </c>
      <c r="AK49" s="581">
        <f t="shared" si="2"/>
        <v>0</v>
      </c>
      <c r="AL49" s="746" t="s">
        <v>1455</v>
      </c>
      <c r="AM49" s="743">
        <f t="shared" si="3"/>
        <v>23.65</v>
      </c>
    </row>
    <row r="50" spans="1:39" s="560" customFormat="1">
      <c r="A50" s="604" t="s">
        <v>556</v>
      </c>
      <c r="B50" s="604" t="s">
        <v>1154</v>
      </c>
      <c r="C50" s="530" t="s">
        <v>36</v>
      </c>
      <c r="D50" s="580"/>
      <c r="E50" s="778"/>
      <c r="F50" s="581"/>
      <c r="G50" s="581"/>
      <c r="H50" s="581"/>
      <c r="I50" s="949"/>
      <c r="J50" s="949"/>
      <c r="K50" s="949"/>
      <c r="L50" s="809"/>
      <c r="M50" s="575"/>
      <c r="N50" s="575"/>
      <c r="O50" s="575"/>
      <c r="P50" s="575"/>
      <c r="Q50" s="575"/>
      <c r="R50" s="575"/>
      <c r="S50" s="809"/>
      <c r="T50" s="575"/>
      <c r="U50" s="575"/>
      <c r="V50" s="575"/>
      <c r="W50" s="575"/>
      <c r="X50" s="575"/>
      <c r="Y50" s="575"/>
      <c r="Z50" s="809"/>
      <c r="AA50" s="575"/>
      <c r="AB50" s="575"/>
      <c r="AC50" s="575"/>
      <c r="AD50" s="575"/>
      <c r="AE50" s="827"/>
      <c r="AF50" s="575"/>
      <c r="AG50" s="960"/>
      <c r="AH50" s="842"/>
      <c r="AI50" s="738">
        <f t="shared" si="1"/>
        <v>0</v>
      </c>
      <c r="AJ50" s="949">
        <v>0</v>
      </c>
      <c r="AK50" s="581">
        <f t="shared" si="2"/>
        <v>0</v>
      </c>
      <c r="AL50" s="746" t="s">
        <v>1449</v>
      </c>
      <c r="AM50" s="743">
        <f t="shared" si="3"/>
        <v>26.03</v>
      </c>
    </row>
    <row r="51" spans="1:39" s="560" customFormat="1">
      <c r="A51" s="607" t="s">
        <v>557</v>
      </c>
      <c r="B51" s="607" t="s">
        <v>1155</v>
      </c>
      <c r="C51" s="679"/>
      <c r="D51" s="580"/>
      <c r="E51" s="778"/>
      <c r="F51" s="581"/>
      <c r="G51" s="581"/>
      <c r="H51" s="581"/>
      <c r="I51" s="949"/>
      <c r="J51" s="949"/>
      <c r="K51" s="949"/>
      <c r="L51" s="809"/>
      <c r="M51" s="575"/>
      <c r="N51" s="575"/>
      <c r="O51" s="575"/>
      <c r="P51" s="575"/>
      <c r="Q51" s="575"/>
      <c r="R51" s="575"/>
      <c r="S51" s="809"/>
      <c r="T51" s="575"/>
      <c r="U51" s="575"/>
      <c r="V51" s="575"/>
      <c r="W51" s="575"/>
      <c r="X51" s="575"/>
      <c r="Y51" s="575"/>
      <c r="Z51" s="809"/>
      <c r="AA51" s="575"/>
      <c r="AB51" s="575"/>
      <c r="AC51" s="575"/>
      <c r="AD51" s="575"/>
      <c r="AE51" s="827"/>
      <c r="AF51" s="575"/>
      <c r="AG51" s="960"/>
      <c r="AH51" s="842"/>
      <c r="AI51" s="738">
        <f t="shared" si="1"/>
        <v>0</v>
      </c>
      <c r="AJ51" s="949">
        <v>0</v>
      </c>
      <c r="AK51" s="581">
        <f t="shared" si="2"/>
        <v>0</v>
      </c>
      <c r="AL51" s="746"/>
      <c r="AM51" s="743">
        <f t="shared" si="3"/>
        <v>0</v>
      </c>
    </row>
    <row r="52" spans="1:39" s="560" customFormat="1">
      <c r="A52" s="604" t="s">
        <v>558</v>
      </c>
      <c r="B52" s="604" t="s">
        <v>1156</v>
      </c>
      <c r="C52" s="679"/>
      <c r="D52" s="580"/>
      <c r="E52" s="778"/>
      <c r="F52" s="581"/>
      <c r="G52" s="581"/>
      <c r="H52" s="581"/>
      <c r="I52" s="949"/>
      <c r="J52" s="949"/>
      <c r="K52" s="949"/>
      <c r="L52" s="809"/>
      <c r="M52" s="575"/>
      <c r="N52" s="575"/>
      <c r="O52" s="575"/>
      <c r="P52" s="575"/>
      <c r="Q52" s="575"/>
      <c r="R52" s="575"/>
      <c r="S52" s="809"/>
      <c r="T52" s="575"/>
      <c r="U52" s="575"/>
      <c r="V52" s="575"/>
      <c r="W52" s="575"/>
      <c r="X52" s="575"/>
      <c r="Y52" s="575"/>
      <c r="Z52" s="809"/>
      <c r="AA52" s="575"/>
      <c r="AB52" s="575"/>
      <c r="AC52" s="575"/>
      <c r="AD52" s="575"/>
      <c r="AE52" s="827"/>
      <c r="AF52" s="575"/>
      <c r="AG52" s="960"/>
      <c r="AH52" s="842"/>
      <c r="AI52" s="738">
        <f t="shared" si="1"/>
        <v>0</v>
      </c>
      <c r="AJ52" s="949">
        <v>0</v>
      </c>
      <c r="AK52" s="581">
        <f t="shared" si="2"/>
        <v>0</v>
      </c>
      <c r="AL52" s="746"/>
      <c r="AM52" s="743">
        <f t="shared" si="3"/>
        <v>0</v>
      </c>
    </row>
    <row r="53" spans="1:39" s="560" customFormat="1">
      <c r="A53" s="604" t="s">
        <v>559</v>
      </c>
      <c r="B53" s="604" t="s">
        <v>1157</v>
      </c>
      <c r="C53" s="530" t="s">
        <v>39</v>
      </c>
      <c r="D53" s="580"/>
      <c r="E53" s="778"/>
      <c r="F53" s="581"/>
      <c r="G53" s="581"/>
      <c r="H53" s="581"/>
      <c r="I53" s="949"/>
      <c r="J53" s="949"/>
      <c r="K53" s="949"/>
      <c r="L53" s="809"/>
      <c r="M53" s="575"/>
      <c r="N53" s="575"/>
      <c r="O53" s="575"/>
      <c r="P53" s="575"/>
      <c r="Q53" s="575"/>
      <c r="R53" s="575"/>
      <c r="S53" s="809"/>
      <c r="T53" s="575"/>
      <c r="U53" s="575"/>
      <c r="V53" s="575"/>
      <c r="W53" s="575"/>
      <c r="X53" s="575"/>
      <c r="Y53" s="575"/>
      <c r="Z53" s="809"/>
      <c r="AA53" s="575"/>
      <c r="AB53" s="575"/>
      <c r="AC53" s="575"/>
      <c r="AD53" s="575"/>
      <c r="AE53" s="827"/>
      <c r="AF53" s="575"/>
      <c r="AG53" s="960"/>
      <c r="AH53" s="842"/>
      <c r="AI53" s="738">
        <f t="shared" si="1"/>
        <v>0</v>
      </c>
      <c r="AJ53" s="949">
        <v>0</v>
      </c>
      <c r="AK53" s="581">
        <f t="shared" si="2"/>
        <v>0</v>
      </c>
      <c r="AL53" s="746" t="s">
        <v>1456</v>
      </c>
      <c r="AM53" s="743">
        <f t="shared" si="3"/>
        <v>4.6100000000000003</v>
      </c>
    </row>
    <row r="54" spans="1:39" s="560" customFormat="1">
      <c r="A54" s="604" t="s">
        <v>560</v>
      </c>
      <c r="B54" s="604" t="s">
        <v>1158</v>
      </c>
      <c r="C54" s="530" t="s">
        <v>47</v>
      </c>
      <c r="D54" s="580"/>
      <c r="E54" s="778"/>
      <c r="F54" s="581"/>
      <c r="G54" s="581"/>
      <c r="H54" s="581"/>
      <c r="I54" s="949"/>
      <c r="J54" s="949"/>
      <c r="K54" s="949"/>
      <c r="L54" s="809"/>
      <c r="M54" s="575"/>
      <c r="N54" s="575"/>
      <c r="O54" s="575"/>
      <c r="P54" s="575"/>
      <c r="Q54" s="575"/>
      <c r="R54" s="575"/>
      <c r="S54" s="809"/>
      <c r="T54" s="575"/>
      <c r="U54" s="575"/>
      <c r="V54" s="575"/>
      <c r="W54" s="575"/>
      <c r="X54" s="575"/>
      <c r="Y54" s="575"/>
      <c r="Z54" s="809"/>
      <c r="AA54" s="575"/>
      <c r="AB54" s="575"/>
      <c r="AC54" s="575"/>
      <c r="AD54" s="575"/>
      <c r="AE54" s="827"/>
      <c r="AF54" s="575"/>
      <c r="AG54" s="960"/>
      <c r="AH54" s="842"/>
      <c r="AI54" s="738">
        <f t="shared" si="1"/>
        <v>0</v>
      </c>
      <c r="AJ54" s="949">
        <v>0</v>
      </c>
      <c r="AK54" s="581">
        <f t="shared" si="2"/>
        <v>0</v>
      </c>
      <c r="AL54" s="746" t="s">
        <v>1457</v>
      </c>
      <c r="AM54" s="743">
        <f t="shared" si="3"/>
        <v>192.7</v>
      </c>
    </row>
    <row r="55" spans="1:39" s="560" customFormat="1">
      <c r="A55" s="604" t="s">
        <v>561</v>
      </c>
      <c r="B55" s="604" t="s">
        <v>1159</v>
      </c>
      <c r="C55" s="679"/>
      <c r="D55" s="580"/>
      <c r="E55" s="778"/>
      <c r="F55" s="581"/>
      <c r="G55" s="581"/>
      <c r="H55" s="581"/>
      <c r="I55" s="949"/>
      <c r="J55" s="949"/>
      <c r="K55" s="949"/>
      <c r="L55" s="809"/>
      <c r="M55" s="575"/>
      <c r="N55" s="575"/>
      <c r="O55" s="575"/>
      <c r="P55" s="575"/>
      <c r="Q55" s="575"/>
      <c r="R55" s="575"/>
      <c r="S55" s="809"/>
      <c r="T55" s="575"/>
      <c r="U55" s="575"/>
      <c r="V55" s="575"/>
      <c r="W55" s="575"/>
      <c r="X55" s="575"/>
      <c r="Y55" s="575"/>
      <c r="Z55" s="809"/>
      <c r="AA55" s="575"/>
      <c r="AB55" s="575"/>
      <c r="AC55" s="575"/>
      <c r="AD55" s="575"/>
      <c r="AE55" s="827"/>
      <c r="AF55" s="575"/>
      <c r="AG55" s="960"/>
      <c r="AH55" s="842"/>
      <c r="AI55" s="738">
        <f t="shared" si="1"/>
        <v>0</v>
      </c>
      <c r="AJ55" s="949">
        <v>0</v>
      </c>
      <c r="AK55" s="581">
        <f t="shared" si="2"/>
        <v>0</v>
      </c>
      <c r="AL55" s="746"/>
      <c r="AM55" s="743">
        <f t="shared" si="3"/>
        <v>0</v>
      </c>
    </row>
    <row r="56" spans="1:39" s="560" customFormat="1">
      <c r="A56" s="604" t="s">
        <v>562</v>
      </c>
      <c r="B56" s="604" t="s">
        <v>1160</v>
      </c>
      <c r="C56" s="530" t="s">
        <v>39</v>
      </c>
      <c r="D56" s="580"/>
      <c r="E56" s="778"/>
      <c r="F56" s="581"/>
      <c r="G56" s="581"/>
      <c r="H56" s="581"/>
      <c r="I56" s="949"/>
      <c r="J56" s="949"/>
      <c r="K56" s="949"/>
      <c r="L56" s="809"/>
      <c r="M56" s="575"/>
      <c r="N56" s="575"/>
      <c r="O56" s="575"/>
      <c r="P56" s="575"/>
      <c r="Q56" s="575"/>
      <c r="R56" s="575"/>
      <c r="S56" s="809"/>
      <c r="T56" s="575"/>
      <c r="U56" s="575"/>
      <c r="V56" s="575"/>
      <c r="W56" s="575"/>
      <c r="X56" s="575"/>
      <c r="Y56" s="575"/>
      <c r="Z56" s="809"/>
      <c r="AA56" s="575"/>
      <c r="AB56" s="575"/>
      <c r="AC56" s="575"/>
      <c r="AD56" s="575"/>
      <c r="AE56" s="827"/>
      <c r="AF56" s="575"/>
      <c r="AG56" s="960"/>
      <c r="AH56" s="842"/>
      <c r="AI56" s="738">
        <f t="shared" si="1"/>
        <v>0</v>
      </c>
      <c r="AJ56" s="949">
        <v>0</v>
      </c>
      <c r="AK56" s="581">
        <f t="shared" si="2"/>
        <v>0</v>
      </c>
      <c r="AL56" s="746" t="s">
        <v>1458</v>
      </c>
      <c r="AM56" s="743">
        <f t="shared" si="3"/>
        <v>1.93</v>
      </c>
    </row>
    <row r="57" spans="1:39" s="560" customFormat="1">
      <c r="A57" s="604" t="s">
        <v>563</v>
      </c>
      <c r="B57" s="604" t="s">
        <v>1161</v>
      </c>
      <c r="C57" s="530" t="s">
        <v>36</v>
      </c>
      <c r="D57" s="580"/>
      <c r="E57" s="778"/>
      <c r="F57" s="581"/>
      <c r="G57" s="581"/>
      <c r="H57" s="581"/>
      <c r="I57" s="949"/>
      <c r="J57" s="949"/>
      <c r="K57" s="949"/>
      <c r="L57" s="809"/>
      <c r="M57" s="575"/>
      <c r="N57" s="575"/>
      <c r="O57" s="575"/>
      <c r="P57" s="575"/>
      <c r="Q57" s="575"/>
      <c r="R57" s="575"/>
      <c r="S57" s="809"/>
      <c r="T57" s="575"/>
      <c r="U57" s="575"/>
      <c r="V57" s="575"/>
      <c r="W57" s="575"/>
      <c r="X57" s="575"/>
      <c r="Y57" s="575"/>
      <c r="Z57" s="809"/>
      <c r="AA57" s="575"/>
      <c r="AB57" s="575"/>
      <c r="AC57" s="575"/>
      <c r="AD57" s="575"/>
      <c r="AE57" s="827"/>
      <c r="AF57" s="575"/>
      <c r="AG57" s="960"/>
      <c r="AH57" s="842"/>
      <c r="AI57" s="738">
        <f t="shared" si="1"/>
        <v>0</v>
      </c>
      <c r="AJ57" s="949">
        <v>0</v>
      </c>
      <c r="AK57" s="581">
        <f t="shared" si="2"/>
        <v>0</v>
      </c>
      <c r="AL57" s="746" t="s">
        <v>1459</v>
      </c>
      <c r="AM57" s="743">
        <f t="shared" si="3"/>
        <v>15.42</v>
      </c>
    </row>
    <row r="58" spans="1:39" s="579" customFormat="1">
      <c r="A58" s="604" t="s">
        <v>564</v>
      </c>
      <c r="B58" s="604" t="s">
        <v>1162</v>
      </c>
      <c r="C58" s="530" t="s">
        <v>47</v>
      </c>
      <c r="D58" s="586"/>
      <c r="E58" s="783"/>
      <c r="F58" s="587"/>
      <c r="G58" s="587"/>
      <c r="H58" s="587"/>
      <c r="I58" s="588"/>
      <c r="J58" s="588"/>
      <c r="K58" s="588"/>
      <c r="L58" s="809"/>
      <c r="M58" s="575"/>
      <c r="N58" s="575"/>
      <c r="O58" s="575"/>
      <c r="P58" s="575"/>
      <c r="Q58" s="575"/>
      <c r="R58" s="575"/>
      <c r="S58" s="809"/>
      <c r="T58" s="575"/>
      <c r="U58" s="575"/>
      <c r="V58" s="575"/>
      <c r="W58" s="575"/>
      <c r="X58" s="575"/>
      <c r="Y58" s="575"/>
      <c r="Z58" s="809"/>
      <c r="AA58" s="575"/>
      <c r="AB58" s="575"/>
      <c r="AC58" s="575"/>
      <c r="AD58" s="575"/>
      <c r="AE58" s="827"/>
      <c r="AF58" s="575"/>
      <c r="AG58" s="960"/>
      <c r="AH58" s="842"/>
      <c r="AI58" s="738">
        <f t="shared" si="1"/>
        <v>0</v>
      </c>
      <c r="AJ58" s="949">
        <v>0</v>
      </c>
      <c r="AK58" s="581">
        <f t="shared" si="2"/>
        <v>0</v>
      </c>
      <c r="AL58" s="747" t="s">
        <v>1460</v>
      </c>
      <c r="AM58" s="743">
        <f t="shared" si="3"/>
        <v>275.55</v>
      </c>
    </row>
    <row r="59" spans="1:39" s="579" customFormat="1">
      <c r="A59" s="604" t="s">
        <v>565</v>
      </c>
      <c r="B59" s="604" t="s">
        <v>1163</v>
      </c>
      <c r="C59" s="679"/>
      <c r="D59" s="586"/>
      <c r="E59" s="783"/>
      <c r="F59" s="587"/>
      <c r="G59" s="587"/>
      <c r="H59" s="587"/>
      <c r="I59" s="588"/>
      <c r="J59" s="588"/>
      <c r="K59" s="588"/>
      <c r="L59" s="809"/>
      <c r="M59" s="575"/>
      <c r="N59" s="575"/>
      <c r="O59" s="575"/>
      <c r="P59" s="575"/>
      <c r="Q59" s="575"/>
      <c r="R59" s="575"/>
      <c r="S59" s="809"/>
      <c r="T59" s="575"/>
      <c r="U59" s="575"/>
      <c r="V59" s="575"/>
      <c r="W59" s="575"/>
      <c r="X59" s="575"/>
      <c r="Y59" s="575"/>
      <c r="Z59" s="809"/>
      <c r="AA59" s="575"/>
      <c r="AB59" s="575"/>
      <c r="AC59" s="575"/>
      <c r="AD59" s="575"/>
      <c r="AE59" s="827"/>
      <c r="AF59" s="575"/>
      <c r="AG59" s="960"/>
      <c r="AH59" s="842"/>
      <c r="AI59" s="738">
        <f t="shared" si="1"/>
        <v>0</v>
      </c>
      <c r="AJ59" s="949">
        <v>0</v>
      </c>
      <c r="AK59" s="581">
        <f t="shared" si="2"/>
        <v>0</v>
      </c>
      <c r="AL59" s="747"/>
      <c r="AM59" s="743">
        <f t="shared" si="3"/>
        <v>0</v>
      </c>
    </row>
    <row r="60" spans="1:39" s="560" customFormat="1">
      <c r="A60" s="604" t="s">
        <v>566</v>
      </c>
      <c r="B60" s="604" t="s">
        <v>1164</v>
      </c>
      <c r="C60" s="530" t="s">
        <v>39</v>
      </c>
      <c r="D60" s="580"/>
      <c r="E60" s="778"/>
      <c r="F60" s="581"/>
      <c r="G60" s="581"/>
      <c r="H60" s="581"/>
      <c r="I60" s="949"/>
      <c r="J60" s="949"/>
      <c r="K60" s="949"/>
      <c r="L60" s="809"/>
      <c r="M60" s="575"/>
      <c r="N60" s="575"/>
      <c r="O60" s="575"/>
      <c r="P60" s="575"/>
      <c r="Q60" s="575"/>
      <c r="R60" s="575"/>
      <c r="S60" s="809"/>
      <c r="T60" s="575"/>
      <c r="U60" s="575"/>
      <c r="V60" s="575"/>
      <c r="W60" s="575"/>
      <c r="X60" s="575"/>
      <c r="Y60" s="575"/>
      <c r="Z60" s="809"/>
      <c r="AA60" s="575"/>
      <c r="AB60" s="575"/>
      <c r="AC60" s="575"/>
      <c r="AD60" s="575"/>
      <c r="AE60" s="827"/>
      <c r="AF60" s="575"/>
      <c r="AG60" s="960"/>
      <c r="AH60" s="842"/>
      <c r="AI60" s="738">
        <f t="shared" si="1"/>
        <v>0</v>
      </c>
      <c r="AJ60" s="949">
        <v>0</v>
      </c>
      <c r="AK60" s="581">
        <f t="shared" si="2"/>
        <v>0</v>
      </c>
      <c r="AL60" s="746" t="s">
        <v>1461</v>
      </c>
      <c r="AM60" s="743">
        <f t="shared" si="3"/>
        <v>2.83</v>
      </c>
    </row>
    <row r="61" spans="1:39" s="560" customFormat="1">
      <c r="A61" s="604" t="s">
        <v>567</v>
      </c>
      <c r="B61" s="604" t="s">
        <v>1165</v>
      </c>
      <c r="C61" s="530" t="s">
        <v>36</v>
      </c>
      <c r="D61" s="580"/>
      <c r="E61" s="778"/>
      <c r="F61" s="581"/>
      <c r="G61" s="581"/>
      <c r="H61" s="581"/>
      <c r="I61" s="949"/>
      <c r="J61" s="949"/>
      <c r="K61" s="949"/>
      <c r="L61" s="809"/>
      <c r="M61" s="575"/>
      <c r="N61" s="575"/>
      <c r="O61" s="575"/>
      <c r="P61" s="575"/>
      <c r="Q61" s="575"/>
      <c r="R61" s="575"/>
      <c r="S61" s="809"/>
      <c r="T61" s="575"/>
      <c r="U61" s="575"/>
      <c r="V61" s="575"/>
      <c r="W61" s="575"/>
      <c r="X61" s="575"/>
      <c r="Y61" s="575"/>
      <c r="Z61" s="809"/>
      <c r="AA61" s="575"/>
      <c r="AB61" s="575"/>
      <c r="AC61" s="575"/>
      <c r="AD61" s="575"/>
      <c r="AE61" s="827"/>
      <c r="AF61" s="575"/>
      <c r="AG61" s="960"/>
      <c r="AH61" s="842"/>
      <c r="AI61" s="738">
        <f t="shared" si="1"/>
        <v>0</v>
      </c>
      <c r="AJ61" s="949">
        <v>0</v>
      </c>
      <c r="AK61" s="581">
        <f t="shared" si="2"/>
        <v>0</v>
      </c>
      <c r="AL61" s="746" t="s">
        <v>1462</v>
      </c>
      <c r="AM61" s="743">
        <f t="shared" si="3"/>
        <v>40.020000000000003</v>
      </c>
    </row>
    <row r="62" spans="1:39" s="560" customFormat="1">
      <c r="A62" s="604" t="s">
        <v>568</v>
      </c>
      <c r="B62" s="604" t="s">
        <v>1166</v>
      </c>
      <c r="C62" s="530" t="s">
        <v>47</v>
      </c>
      <c r="D62" s="580"/>
      <c r="E62" s="778"/>
      <c r="F62" s="581"/>
      <c r="G62" s="581"/>
      <c r="H62" s="581"/>
      <c r="I62" s="949"/>
      <c r="J62" s="949"/>
      <c r="K62" s="949"/>
      <c r="L62" s="809"/>
      <c r="M62" s="575"/>
      <c r="N62" s="575"/>
      <c r="O62" s="575"/>
      <c r="P62" s="575"/>
      <c r="Q62" s="575"/>
      <c r="R62" s="575"/>
      <c r="S62" s="809"/>
      <c r="T62" s="575"/>
      <c r="U62" s="575"/>
      <c r="V62" s="575"/>
      <c r="W62" s="575"/>
      <c r="X62" s="575"/>
      <c r="Y62" s="575"/>
      <c r="Z62" s="809"/>
      <c r="AA62" s="575"/>
      <c r="AB62" s="575"/>
      <c r="AC62" s="575"/>
      <c r="AD62" s="575"/>
      <c r="AE62" s="827"/>
      <c r="AF62" s="575"/>
      <c r="AG62" s="960"/>
      <c r="AH62" s="842"/>
      <c r="AI62" s="738">
        <f t="shared" si="1"/>
        <v>0</v>
      </c>
      <c r="AJ62" s="949">
        <v>0</v>
      </c>
      <c r="AK62" s="581">
        <f t="shared" si="2"/>
        <v>0</v>
      </c>
      <c r="AL62" s="746" t="s">
        <v>1463</v>
      </c>
      <c r="AM62" s="743">
        <f t="shared" si="3"/>
        <v>444.48</v>
      </c>
    </row>
    <row r="63" spans="1:39" s="560" customFormat="1">
      <c r="A63" s="604" t="s">
        <v>569</v>
      </c>
      <c r="B63" s="604" t="s">
        <v>1167</v>
      </c>
      <c r="C63" s="679"/>
      <c r="D63" s="580"/>
      <c r="E63" s="778"/>
      <c r="F63" s="581"/>
      <c r="G63" s="581"/>
      <c r="H63" s="581"/>
      <c r="I63" s="949"/>
      <c r="J63" s="949"/>
      <c r="K63" s="949"/>
      <c r="L63" s="809"/>
      <c r="M63" s="575"/>
      <c r="N63" s="575"/>
      <c r="O63" s="575"/>
      <c r="P63" s="575"/>
      <c r="Q63" s="575"/>
      <c r="R63" s="575"/>
      <c r="S63" s="809"/>
      <c r="T63" s="575"/>
      <c r="U63" s="575"/>
      <c r="V63" s="575"/>
      <c r="W63" s="575"/>
      <c r="X63" s="575"/>
      <c r="Y63" s="575"/>
      <c r="Z63" s="809"/>
      <c r="AA63" s="575"/>
      <c r="AB63" s="575"/>
      <c r="AC63" s="575"/>
      <c r="AD63" s="575"/>
      <c r="AE63" s="827"/>
      <c r="AF63" s="575"/>
      <c r="AG63" s="960"/>
      <c r="AH63" s="842"/>
      <c r="AI63" s="738">
        <f t="shared" si="1"/>
        <v>0</v>
      </c>
      <c r="AJ63" s="949">
        <v>0</v>
      </c>
      <c r="AK63" s="581">
        <f t="shared" si="2"/>
        <v>0</v>
      </c>
      <c r="AL63" s="746"/>
      <c r="AM63" s="743">
        <f t="shared" si="3"/>
        <v>0</v>
      </c>
    </row>
    <row r="64" spans="1:39" s="560" customFormat="1">
      <c r="A64" s="604" t="s">
        <v>570</v>
      </c>
      <c r="B64" s="604" t="s">
        <v>1168</v>
      </c>
      <c r="C64" s="530" t="s">
        <v>39</v>
      </c>
      <c r="D64" s="580"/>
      <c r="E64" s="778"/>
      <c r="F64" s="581"/>
      <c r="G64" s="581"/>
      <c r="H64" s="581"/>
      <c r="I64" s="949"/>
      <c r="J64" s="949"/>
      <c r="K64" s="949"/>
      <c r="L64" s="809"/>
      <c r="M64" s="575"/>
      <c r="N64" s="575"/>
      <c r="O64" s="575"/>
      <c r="P64" s="575"/>
      <c r="Q64" s="575"/>
      <c r="R64" s="575"/>
      <c r="S64" s="809"/>
      <c r="T64" s="575"/>
      <c r="U64" s="575"/>
      <c r="V64" s="575"/>
      <c r="W64" s="575"/>
      <c r="X64" s="575"/>
      <c r="Y64" s="575"/>
      <c r="Z64" s="809"/>
      <c r="AA64" s="575"/>
      <c r="AB64" s="575"/>
      <c r="AC64" s="575"/>
      <c r="AD64" s="575"/>
      <c r="AE64" s="827"/>
      <c r="AF64" s="575"/>
      <c r="AG64" s="960"/>
      <c r="AH64" s="842"/>
      <c r="AI64" s="738">
        <f t="shared" si="1"/>
        <v>0</v>
      </c>
      <c r="AJ64" s="949">
        <v>0</v>
      </c>
      <c r="AK64" s="581">
        <f t="shared" si="2"/>
        <v>0</v>
      </c>
      <c r="AL64" s="746" t="s">
        <v>1464</v>
      </c>
      <c r="AM64" s="743">
        <f t="shared" si="3"/>
        <v>1.49</v>
      </c>
    </row>
    <row r="65" spans="1:39" s="560" customFormat="1">
      <c r="A65" s="604" t="s">
        <v>571</v>
      </c>
      <c r="B65" s="604" t="s">
        <v>1169</v>
      </c>
      <c r="C65" s="614" t="s">
        <v>36</v>
      </c>
      <c r="D65" s="580"/>
      <c r="E65" s="778"/>
      <c r="F65" s="581"/>
      <c r="G65" s="581"/>
      <c r="H65" s="581"/>
      <c r="I65" s="949"/>
      <c r="J65" s="949"/>
      <c r="K65" s="949"/>
      <c r="L65" s="809"/>
      <c r="M65" s="575"/>
      <c r="N65" s="575"/>
      <c r="O65" s="575"/>
      <c r="P65" s="575"/>
      <c r="Q65" s="575"/>
      <c r="R65" s="575"/>
      <c r="S65" s="809"/>
      <c r="T65" s="575"/>
      <c r="U65" s="575"/>
      <c r="V65" s="575"/>
      <c r="W65" s="575"/>
      <c r="X65" s="575"/>
      <c r="Y65" s="575"/>
      <c r="Z65" s="809"/>
      <c r="AA65" s="575"/>
      <c r="AB65" s="575"/>
      <c r="AC65" s="575"/>
      <c r="AD65" s="575"/>
      <c r="AE65" s="827"/>
      <c r="AF65" s="575"/>
      <c r="AG65" s="960"/>
      <c r="AH65" s="842"/>
      <c r="AI65" s="738">
        <f t="shared" si="1"/>
        <v>0</v>
      </c>
      <c r="AJ65" s="949">
        <v>0</v>
      </c>
      <c r="AK65" s="581">
        <f t="shared" si="2"/>
        <v>0</v>
      </c>
      <c r="AL65" s="746" t="s">
        <v>1465</v>
      </c>
      <c r="AM65" s="743">
        <f t="shared" si="3"/>
        <v>19.71</v>
      </c>
    </row>
    <row r="66" spans="1:39" s="560" customFormat="1">
      <c r="A66" s="604" t="s">
        <v>572</v>
      </c>
      <c r="B66" s="604" t="s">
        <v>1170</v>
      </c>
      <c r="C66" s="530" t="s">
        <v>47</v>
      </c>
      <c r="D66" s="580"/>
      <c r="E66" s="778"/>
      <c r="F66" s="581"/>
      <c r="G66" s="581"/>
      <c r="H66" s="581"/>
      <c r="I66" s="949"/>
      <c r="J66" s="949"/>
      <c r="K66" s="949"/>
      <c r="L66" s="809"/>
      <c r="M66" s="575"/>
      <c r="N66" s="575"/>
      <c r="O66" s="575"/>
      <c r="P66" s="575"/>
      <c r="Q66" s="575"/>
      <c r="R66" s="575"/>
      <c r="S66" s="809"/>
      <c r="T66" s="575"/>
      <c r="U66" s="575"/>
      <c r="V66" s="575"/>
      <c r="W66" s="575"/>
      <c r="X66" s="575"/>
      <c r="Y66" s="575"/>
      <c r="Z66" s="809"/>
      <c r="AA66" s="575"/>
      <c r="AB66" s="575"/>
      <c r="AC66" s="575"/>
      <c r="AD66" s="575"/>
      <c r="AE66" s="827"/>
      <c r="AF66" s="575"/>
      <c r="AG66" s="960"/>
      <c r="AH66" s="842"/>
      <c r="AI66" s="738">
        <f t="shared" si="1"/>
        <v>0</v>
      </c>
      <c r="AJ66" s="949">
        <v>0</v>
      </c>
      <c r="AK66" s="581">
        <f t="shared" si="2"/>
        <v>0</v>
      </c>
      <c r="AL66" s="746" t="s">
        <v>1466</v>
      </c>
      <c r="AM66" s="743">
        <f t="shared" si="3"/>
        <v>659.98</v>
      </c>
    </row>
    <row r="67" spans="1:39" s="560" customFormat="1">
      <c r="A67" s="604" t="s">
        <v>573</v>
      </c>
      <c r="B67" s="604" t="s">
        <v>1171</v>
      </c>
      <c r="C67" s="679"/>
      <c r="D67" s="580"/>
      <c r="E67" s="778"/>
      <c r="F67" s="581"/>
      <c r="G67" s="581"/>
      <c r="H67" s="581"/>
      <c r="I67" s="949"/>
      <c r="J67" s="949"/>
      <c r="K67" s="949"/>
      <c r="L67" s="809"/>
      <c r="M67" s="575"/>
      <c r="N67" s="575"/>
      <c r="O67" s="575"/>
      <c r="P67" s="575"/>
      <c r="Q67" s="575"/>
      <c r="R67" s="575"/>
      <c r="S67" s="809"/>
      <c r="T67" s="575"/>
      <c r="U67" s="575"/>
      <c r="V67" s="575"/>
      <c r="W67" s="575"/>
      <c r="X67" s="575"/>
      <c r="Y67" s="575"/>
      <c r="Z67" s="809"/>
      <c r="AA67" s="575"/>
      <c r="AB67" s="575"/>
      <c r="AC67" s="575"/>
      <c r="AD67" s="575"/>
      <c r="AE67" s="827"/>
      <c r="AF67" s="575"/>
      <c r="AG67" s="960"/>
      <c r="AH67" s="842"/>
      <c r="AI67" s="738">
        <f t="shared" si="1"/>
        <v>0</v>
      </c>
      <c r="AJ67" s="949">
        <v>0</v>
      </c>
      <c r="AK67" s="581">
        <f t="shared" si="2"/>
        <v>0</v>
      </c>
      <c r="AL67" s="746"/>
      <c r="AM67" s="743">
        <f t="shared" si="3"/>
        <v>0</v>
      </c>
    </row>
    <row r="68" spans="1:39" s="560" customFormat="1">
      <c r="A68" s="604" t="s">
        <v>574</v>
      </c>
      <c r="B68" s="604" t="s">
        <v>1172</v>
      </c>
      <c r="C68" s="530" t="s">
        <v>39</v>
      </c>
      <c r="D68" s="580"/>
      <c r="E68" s="778"/>
      <c r="F68" s="581"/>
      <c r="G68" s="581"/>
      <c r="H68" s="581"/>
      <c r="I68" s="949"/>
      <c r="J68" s="949"/>
      <c r="K68" s="949"/>
      <c r="L68" s="809"/>
      <c r="M68" s="575"/>
      <c r="N68" s="575"/>
      <c r="O68" s="575"/>
      <c r="P68" s="575"/>
      <c r="Q68" s="575"/>
      <c r="R68" s="575"/>
      <c r="S68" s="809"/>
      <c r="T68" s="575"/>
      <c r="U68" s="575"/>
      <c r="V68" s="575"/>
      <c r="W68" s="575"/>
      <c r="X68" s="575"/>
      <c r="Y68" s="575"/>
      <c r="Z68" s="809"/>
      <c r="AA68" s="575"/>
      <c r="AB68" s="575"/>
      <c r="AC68" s="575"/>
      <c r="AD68" s="575"/>
      <c r="AE68" s="827"/>
      <c r="AF68" s="575"/>
      <c r="AG68" s="960"/>
      <c r="AH68" s="842"/>
      <c r="AI68" s="738">
        <f t="shared" si="1"/>
        <v>0</v>
      </c>
      <c r="AJ68" s="949">
        <v>0</v>
      </c>
      <c r="AK68" s="581">
        <f t="shared" si="2"/>
        <v>0</v>
      </c>
      <c r="AL68" s="746" t="s">
        <v>1467</v>
      </c>
      <c r="AM68" s="743">
        <f t="shared" si="3"/>
        <v>4.54</v>
      </c>
    </row>
    <row r="69" spans="1:39" s="560" customFormat="1">
      <c r="A69" s="604" t="s">
        <v>575</v>
      </c>
      <c r="B69" s="604" t="s">
        <v>1173</v>
      </c>
      <c r="C69" s="530" t="s">
        <v>36</v>
      </c>
      <c r="D69" s="580"/>
      <c r="E69" s="778"/>
      <c r="F69" s="581"/>
      <c r="G69" s="581"/>
      <c r="H69" s="581"/>
      <c r="I69" s="949"/>
      <c r="J69" s="949"/>
      <c r="K69" s="949"/>
      <c r="L69" s="809"/>
      <c r="M69" s="575"/>
      <c r="N69" s="575"/>
      <c r="O69" s="575"/>
      <c r="P69" s="575"/>
      <c r="Q69" s="575"/>
      <c r="R69" s="575"/>
      <c r="S69" s="809"/>
      <c r="T69" s="575"/>
      <c r="U69" s="575"/>
      <c r="V69" s="575"/>
      <c r="W69" s="575"/>
      <c r="X69" s="575"/>
      <c r="Y69" s="575"/>
      <c r="Z69" s="809"/>
      <c r="AA69" s="575"/>
      <c r="AB69" s="575"/>
      <c r="AC69" s="575"/>
      <c r="AD69" s="575"/>
      <c r="AE69" s="827"/>
      <c r="AF69" s="575"/>
      <c r="AG69" s="960"/>
      <c r="AH69" s="842"/>
      <c r="AI69" s="738">
        <f t="shared" si="1"/>
        <v>0</v>
      </c>
      <c r="AJ69" s="949">
        <v>0</v>
      </c>
      <c r="AK69" s="581">
        <f t="shared" si="2"/>
        <v>0</v>
      </c>
      <c r="AL69" s="746" t="s">
        <v>1468</v>
      </c>
      <c r="AM69" s="743">
        <f t="shared" si="3"/>
        <v>38.93</v>
      </c>
    </row>
    <row r="70" spans="1:39" s="560" customFormat="1">
      <c r="A70" s="604" t="s">
        <v>576</v>
      </c>
      <c r="B70" s="604" t="s">
        <v>1174</v>
      </c>
      <c r="C70" s="530" t="s">
        <v>47</v>
      </c>
      <c r="D70" s="580"/>
      <c r="E70" s="778"/>
      <c r="F70" s="581"/>
      <c r="G70" s="581"/>
      <c r="H70" s="581"/>
      <c r="I70" s="949"/>
      <c r="J70" s="949"/>
      <c r="K70" s="949"/>
      <c r="L70" s="809"/>
      <c r="M70" s="575"/>
      <c r="N70" s="575"/>
      <c r="O70" s="575"/>
      <c r="P70" s="575"/>
      <c r="Q70" s="575"/>
      <c r="R70" s="575"/>
      <c r="S70" s="809"/>
      <c r="T70" s="575"/>
      <c r="U70" s="575"/>
      <c r="V70" s="575"/>
      <c r="W70" s="575"/>
      <c r="X70" s="575"/>
      <c r="Y70" s="575"/>
      <c r="Z70" s="809"/>
      <c r="AA70" s="575"/>
      <c r="AB70" s="575"/>
      <c r="AC70" s="575"/>
      <c r="AD70" s="575"/>
      <c r="AE70" s="827"/>
      <c r="AF70" s="575"/>
      <c r="AG70" s="960"/>
      <c r="AH70" s="842"/>
      <c r="AI70" s="738">
        <f t="shared" si="1"/>
        <v>0</v>
      </c>
      <c r="AJ70" s="949">
        <v>0</v>
      </c>
      <c r="AK70" s="581">
        <f t="shared" si="2"/>
        <v>0</v>
      </c>
      <c r="AL70" s="746" t="s">
        <v>1469</v>
      </c>
      <c r="AM70" s="743">
        <f t="shared" si="3"/>
        <v>563.80999999999995</v>
      </c>
    </row>
    <row r="71" spans="1:39" s="579" customFormat="1">
      <c r="A71" s="604" t="s">
        <v>577</v>
      </c>
      <c r="B71" s="604" t="s">
        <v>1175</v>
      </c>
      <c r="C71" s="679"/>
      <c r="D71" s="586"/>
      <c r="E71" s="783"/>
      <c r="F71" s="587"/>
      <c r="G71" s="587"/>
      <c r="H71" s="587"/>
      <c r="I71" s="588"/>
      <c r="J71" s="588"/>
      <c r="K71" s="588"/>
      <c r="L71" s="809"/>
      <c r="M71" s="575"/>
      <c r="N71" s="575"/>
      <c r="O71" s="575"/>
      <c r="P71" s="575"/>
      <c r="Q71" s="575"/>
      <c r="R71" s="575"/>
      <c r="S71" s="809"/>
      <c r="T71" s="575"/>
      <c r="U71" s="575"/>
      <c r="V71" s="575"/>
      <c r="W71" s="575"/>
      <c r="X71" s="575"/>
      <c r="Y71" s="575"/>
      <c r="Z71" s="809"/>
      <c r="AA71" s="575"/>
      <c r="AB71" s="575"/>
      <c r="AC71" s="575"/>
      <c r="AD71" s="575"/>
      <c r="AE71" s="827"/>
      <c r="AF71" s="575"/>
      <c r="AG71" s="960"/>
      <c r="AH71" s="842"/>
      <c r="AI71" s="738">
        <f t="shared" si="1"/>
        <v>0</v>
      </c>
      <c r="AJ71" s="949">
        <v>0</v>
      </c>
      <c r="AK71" s="581">
        <f t="shared" si="2"/>
        <v>0</v>
      </c>
      <c r="AL71" s="747"/>
      <c r="AM71" s="743">
        <f t="shared" si="3"/>
        <v>0</v>
      </c>
    </row>
    <row r="72" spans="1:39" s="560" customFormat="1">
      <c r="A72" s="604" t="s">
        <v>578</v>
      </c>
      <c r="B72" s="604" t="s">
        <v>1176</v>
      </c>
      <c r="C72" s="530" t="s">
        <v>39</v>
      </c>
      <c r="D72" s="580"/>
      <c r="E72" s="778"/>
      <c r="F72" s="581"/>
      <c r="G72" s="581"/>
      <c r="H72" s="581"/>
      <c r="I72" s="949"/>
      <c r="J72" s="949"/>
      <c r="K72" s="949"/>
      <c r="L72" s="809"/>
      <c r="M72" s="575"/>
      <c r="N72" s="575"/>
      <c r="O72" s="575"/>
      <c r="P72" s="575"/>
      <c r="Q72" s="575"/>
      <c r="R72" s="575"/>
      <c r="S72" s="809"/>
      <c r="T72" s="575"/>
      <c r="U72" s="575"/>
      <c r="V72" s="575"/>
      <c r="W72" s="575"/>
      <c r="X72" s="575"/>
      <c r="Y72" s="575"/>
      <c r="Z72" s="809"/>
      <c r="AA72" s="575"/>
      <c r="AB72" s="575"/>
      <c r="AC72" s="575"/>
      <c r="AD72" s="575"/>
      <c r="AE72" s="827"/>
      <c r="AF72" s="575"/>
      <c r="AG72" s="960"/>
      <c r="AH72" s="842"/>
      <c r="AI72" s="738">
        <f t="shared" si="1"/>
        <v>0</v>
      </c>
      <c r="AJ72" s="949">
        <v>0</v>
      </c>
      <c r="AK72" s="581">
        <f t="shared" si="2"/>
        <v>0</v>
      </c>
      <c r="AL72" s="746" t="s">
        <v>1470</v>
      </c>
      <c r="AM72" s="743">
        <f t="shared" si="3"/>
        <v>3.65</v>
      </c>
    </row>
    <row r="73" spans="1:39" s="560" customFormat="1">
      <c r="A73" s="604" t="s">
        <v>579</v>
      </c>
      <c r="B73" s="604" t="s">
        <v>1177</v>
      </c>
      <c r="C73" s="530" t="s">
        <v>36</v>
      </c>
      <c r="D73" s="580"/>
      <c r="E73" s="778"/>
      <c r="F73" s="581"/>
      <c r="G73" s="581"/>
      <c r="H73" s="581"/>
      <c r="I73" s="949"/>
      <c r="J73" s="949"/>
      <c r="K73" s="949"/>
      <c r="L73" s="809"/>
      <c r="M73" s="575"/>
      <c r="N73" s="575"/>
      <c r="O73" s="575"/>
      <c r="P73" s="575"/>
      <c r="Q73" s="575"/>
      <c r="R73" s="575"/>
      <c r="S73" s="809"/>
      <c r="T73" s="575"/>
      <c r="U73" s="575"/>
      <c r="V73" s="575"/>
      <c r="W73" s="575"/>
      <c r="X73" s="575"/>
      <c r="Y73" s="575"/>
      <c r="Z73" s="809"/>
      <c r="AA73" s="575"/>
      <c r="AB73" s="575"/>
      <c r="AC73" s="575"/>
      <c r="AD73" s="575"/>
      <c r="AE73" s="827"/>
      <c r="AF73" s="575"/>
      <c r="AG73" s="960"/>
      <c r="AH73" s="842"/>
      <c r="AI73" s="738">
        <f t="shared" si="1"/>
        <v>0</v>
      </c>
      <c r="AJ73" s="949">
        <v>0</v>
      </c>
      <c r="AK73" s="581">
        <f t="shared" si="2"/>
        <v>0</v>
      </c>
      <c r="AL73" s="746" t="s">
        <v>1471</v>
      </c>
      <c r="AM73" s="743">
        <f t="shared" si="3"/>
        <v>41.77</v>
      </c>
    </row>
    <row r="74" spans="1:39" s="560" customFormat="1">
      <c r="A74" s="604" t="s">
        <v>580</v>
      </c>
      <c r="B74" s="604" t="s">
        <v>1178</v>
      </c>
      <c r="C74" s="530" t="s">
        <v>47</v>
      </c>
      <c r="D74" s="580"/>
      <c r="E74" s="778"/>
      <c r="F74" s="581"/>
      <c r="G74" s="581"/>
      <c r="H74" s="581"/>
      <c r="I74" s="949"/>
      <c r="J74" s="949"/>
      <c r="K74" s="949"/>
      <c r="L74" s="809"/>
      <c r="M74" s="575"/>
      <c r="N74" s="575"/>
      <c r="O74" s="575"/>
      <c r="P74" s="575"/>
      <c r="Q74" s="575"/>
      <c r="R74" s="575"/>
      <c r="S74" s="809"/>
      <c r="T74" s="575"/>
      <c r="U74" s="575"/>
      <c r="V74" s="575"/>
      <c r="W74" s="575"/>
      <c r="X74" s="575"/>
      <c r="Y74" s="575"/>
      <c r="Z74" s="809"/>
      <c r="AA74" s="575"/>
      <c r="AB74" s="575"/>
      <c r="AC74" s="575"/>
      <c r="AD74" s="575"/>
      <c r="AE74" s="827"/>
      <c r="AF74" s="575"/>
      <c r="AG74" s="960"/>
      <c r="AH74" s="842"/>
      <c r="AI74" s="738">
        <f t="shared" si="1"/>
        <v>0</v>
      </c>
      <c r="AJ74" s="949">
        <v>0</v>
      </c>
      <c r="AK74" s="581">
        <f t="shared" si="2"/>
        <v>0</v>
      </c>
      <c r="AL74" s="746" t="s">
        <v>1472</v>
      </c>
      <c r="AM74" s="743">
        <f t="shared" si="3"/>
        <v>298.24</v>
      </c>
    </row>
    <row r="75" spans="1:39" s="560" customFormat="1">
      <c r="A75" s="604" t="s">
        <v>581</v>
      </c>
      <c r="B75" s="604" t="s">
        <v>1179</v>
      </c>
      <c r="C75" s="614" t="s">
        <v>1436</v>
      </c>
      <c r="D75" s="580"/>
      <c r="E75" s="778"/>
      <c r="F75" s="581"/>
      <c r="G75" s="581"/>
      <c r="H75" s="581"/>
      <c r="I75" s="949"/>
      <c r="J75" s="949"/>
      <c r="K75" s="949"/>
      <c r="L75" s="809"/>
      <c r="M75" s="575"/>
      <c r="N75" s="575"/>
      <c r="O75" s="575"/>
      <c r="P75" s="575"/>
      <c r="Q75" s="575"/>
      <c r="R75" s="575"/>
      <c r="S75" s="809"/>
      <c r="T75" s="575"/>
      <c r="U75" s="575"/>
      <c r="V75" s="575"/>
      <c r="W75" s="575"/>
      <c r="X75" s="575"/>
      <c r="Y75" s="575"/>
      <c r="Z75" s="809"/>
      <c r="AA75" s="575"/>
      <c r="AB75" s="575"/>
      <c r="AC75" s="575"/>
      <c r="AD75" s="575"/>
      <c r="AE75" s="827"/>
      <c r="AF75" s="575"/>
      <c r="AG75" s="960"/>
      <c r="AH75" s="842"/>
      <c r="AI75" s="738">
        <f t="shared" ref="AI75:AI138" si="4">ROUND((SUM(D75:AG75)),2)</f>
        <v>0</v>
      </c>
      <c r="AJ75" s="949">
        <v>0</v>
      </c>
      <c r="AK75" s="581">
        <f t="shared" si="2"/>
        <v>0</v>
      </c>
      <c r="AL75" s="746" t="s">
        <v>1473</v>
      </c>
      <c r="AM75" s="743">
        <f t="shared" si="3"/>
        <v>347.95</v>
      </c>
    </row>
    <row r="76" spans="1:39" s="560" customFormat="1">
      <c r="A76" s="604" t="s">
        <v>582</v>
      </c>
      <c r="B76" s="604" t="s">
        <v>1180</v>
      </c>
      <c r="C76" s="679"/>
      <c r="D76" s="580"/>
      <c r="E76" s="778"/>
      <c r="F76" s="581"/>
      <c r="G76" s="581"/>
      <c r="H76" s="581"/>
      <c r="I76" s="949"/>
      <c r="J76" s="949"/>
      <c r="K76" s="949"/>
      <c r="L76" s="809"/>
      <c r="M76" s="575"/>
      <c r="N76" s="575"/>
      <c r="O76" s="575"/>
      <c r="P76" s="575"/>
      <c r="Q76" s="575"/>
      <c r="R76" s="575"/>
      <c r="S76" s="809"/>
      <c r="T76" s="575"/>
      <c r="U76" s="575"/>
      <c r="V76" s="575"/>
      <c r="W76" s="575"/>
      <c r="X76" s="575"/>
      <c r="Y76" s="575"/>
      <c r="Z76" s="809"/>
      <c r="AA76" s="575"/>
      <c r="AB76" s="575"/>
      <c r="AC76" s="575"/>
      <c r="AD76" s="575"/>
      <c r="AE76" s="827"/>
      <c r="AF76" s="575"/>
      <c r="AG76" s="960"/>
      <c r="AH76" s="842"/>
      <c r="AI76" s="738">
        <f t="shared" si="4"/>
        <v>0</v>
      </c>
      <c r="AJ76" s="949">
        <v>0</v>
      </c>
      <c r="AK76" s="581">
        <f t="shared" si="2"/>
        <v>0</v>
      </c>
      <c r="AL76" s="746"/>
      <c r="AM76" s="743">
        <f t="shared" si="3"/>
        <v>0</v>
      </c>
    </row>
    <row r="77" spans="1:39" s="560" customFormat="1">
      <c r="A77" s="604" t="s">
        <v>583</v>
      </c>
      <c r="B77" s="604" t="s">
        <v>1181</v>
      </c>
      <c r="C77" s="530" t="s">
        <v>39</v>
      </c>
      <c r="D77" s="580"/>
      <c r="E77" s="778"/>
      <c r="F77" s="581"/>
      <c r="G77" s="581"/>
      <c r="H77" s="581"/>
      <c r="I77" s="949"/>
      <c r="J77" s="949"/>
      <c r="K77" s="949"/>
      <c r="L77" s="809"/>
      <c r="M77" s="575"/>
      <c r="N77" s="575"/>
      <c r="O77" s="575"/>
      <c r="P77" s="575"/>
      <c r="Q77" s="575"/>
      <c r="R77" s="575"/>
      <c r="S77" s="809"/>
      <c r="T77" s="575"/>
      <c r="U77" s="575"/>
      <c r="V77" s="575"/>
      <c r="W77" s="575"/>
      <c r="X77" s="575"/>
      <c r="Y77" s="575"/>
      <c r="Z77" s="809"/>
      <c r="AA77" s="575"/>
      <c r="AB77" s="575"/>
      <c r="AC77" s="575"/>
      <c r="AD77" s="575"/>
      <c r="AE77" s="827"/>
      <c r="AF77" s="575"/>
      <c r="AG77" s="960"/>
      <c r="AH77" s="842"/>
      <c r="AI77" s="738">
        <f t="shared" si="4"/>
        <v>0</v>
      </c>
      <c r="AJ77" s="949">
        <v>0</v>
      </c>
      <c r="AK77" s="581">
        <f t="shared" si="2"/>
        <v>0</v>
      </c>
      <c r="AL77" s="746" t="s">
        <v>1474</v>
      </c>
      <c r="AM77" s="743">
        <f t="shared" si="3"/>
        <v>1.2</v>
      </c>
    </row>
    <row r="78" spans="1:39" s="560" customFormat="1">
      <c r="A78" s="604" t="s">
        <v>584</v>
      </c>
      <c r="B78" s="604" t="s">
        <v>1182</v>
      </c>
      <c r="C78" s="530" t="s">
        <v>36</v>
      </c>
      <c r="D78" s="580"/>
      <c r="E78" s="778"/>
      <c r="F78" s="581"/>
      <c r="G78" s="581"/>
      <c r="H78" s="581"/>
      <c r="I78" s="949"/>
      <c r="J78" s="949"/>
      <c r="K78" s="949"/>
      <c r="L78" s="809"/>
      <c r="M78" s="575"/>
      <c r="N78" s="575"/>
      <c r="O78" s="575"/>
      <c r="P78" s="575"/>
      <c r="Q78" s="575"/>
      <c r="R78" s="575"/>
      <c r="S78" s="809"/>
      <c r="T78" s="575"/>
      <c r="U78" s="575"/>
      <c r="V78" s="575"/>
      <c r="W78" s="575"/>
      <c r="X78" s="575"/>
      <c r="Y78" s="575"/>
      <c r="Z78" s="809"/>
      <c r="AA78" s="575"/>
      <c r="AB78" s="575"/>
      <c r="AC78" s="575"/>
      <c r="AD78" s="575"/>
      <c r="AE78" s="827"/>
      <c r="AF78" s="575"/>
      <c r="AG78" s="960"/>
      <c r="AH78" s="842"/>
      <c r="AI78" s="738">
        <f t="shared" si="4"/>
        <v>0</v>
      </c>
      <c r="AJ78" s="949">
        <v>0</v>
      </c>
      <c r="AK78" s="581">
        <f t="shared" ref="AK78:AK141" si="5">AI78+AJ78</f>
        <v>0</v>
      </c>
      <c r="AL78" s="746" t="s">
        <v>1475</v>
      </c>
      <c r="AM78" s="743">
        <f t="shared" ref="AM78:AM141" si="6">AL78-AK78</f>
        <v>16</v>
      </c>
    </row>
    <row r="79" spans="1:39" s="560" customFormat="1">
      <c r="A79" s="604" t="s">
        <v>585</v>
      </c>
      <c r="B79" s="604" t="s">
        <v>1183</v>
      </c>
      <c r="C79" s="530" t="s">
        <v>47</v>
      </c>
      <c r="D79" s="580"/>
      <c r="E79" s="778"/>
      <c r="F79" s="581"/>
      <c r="G79" s="581"/>
      <c r="H79" s="581"/>
      <c r="I79" s="949"/>
      <c r="J79" s="949"/>
      <c r="K79" s="949"/>
      <c r="L79" s="809"/>
      <c r="M79" s="575"/>
      <c r="N79" s="575"/>
      <c r="O79" s="575"/>
      <c r="P79" s="575"/>
      <c r="Q79" s="575"/>
      <c r="R79" s="575"/>
      <c r="S79" s="809"/>
      <c r="T79" s="575"/>
      <c r="U79" s="575"/>
      <c r="V79" s="575"/>
      <c r="W79" s="575"/>
      <c r="X79" s="575"/>
      <c r="Y79" s="575"/>
      <c r="Z79" s="809"/>
      <c r="AA79" s="575"/>
      <c r="AB79" s="575"/>
      <c r="AC79" s="575"/>
      <c r="AD79" s="575"/>
      <c r="AE79" s="827"/>
      <c r="AF79" s="575"/>
      <c r="AG79" s="960"/>
      <c r="AH79" s="842"/>
      <c r="AI79" s="738">
        <f t="shared" si="4"/>
        <v>0</v>
      </c>
      <c r="AJ79" s="949">
        <v>0</v>
      </c>
      <c r="AK79" s="581">
        <f t="shared" si="5"/>
        <v>0</v>
      </c>
      <c r="AL79" s="746" t="s">
        <v>1476</v>
      </c>
      <c r="AM79" s="743">
        <f t="shared" si="6"/>
        <v>124.05</v>
      </c>
    </row>
    <row r="80" spans="1:39" s="560" customFormat="1">
      <c r="A80" s="607" t="s">
        <v>586</v>
      </c>
      <c r="B80" s="607" t="s">
        <v>1184</v>
      </c>
      <c r="C80" s="679"/>
      <c r="D80" s="580"/>
      <c r="E80" s="778"/>
      <c r="F80" s="581"/>
      <c r="G80" s="581"/>
      <c r="H80" s="581"/>
      <c r="I80" s="949"/>
      <c r="J80" s="949"/>
      <c r="K80" s="949"/>
      <c r="L80" s="809"/>
      <c r="M80" s="575"/>
      <c r="N80" s="575"/>
      <c r="O80" s="575"/>
      <c r="P80" s="575"/>
      <c r="Q80" s="575"/>
      <c r="R80" s="575"/>
      <c r="S80" s="809"/>
      <c r="T80" s="575"/>
      <c r="U80" s="575"/>
      <c r="V80" s="575"/>
      <c r="W80" s="575"/>
      <c r="X80" s="575"/>
      <c r="Y80" s="575"/>
      <c r="Z80" s="809"/>
      <c r="AA80" s="575"/>
      <c r="AB80" s="575"/>
      <c r="AC80" s="575"/>
      <c r="AD80" s="575"/>
      <c r="AE80" s="827"/>
      <c r="AF80" s="575"/>
      <c r="AG80" s="960"/>
      <c r="AH80" s="842"/>
      <c r="AI80" s="738">
        <f t="shared" si="4"/>
        <v>0</v>
      </c>
      <c r="AJ80" s="949">
        <v>0</v>
      </c>
      <c r="AK80" s="581">
        <f t="shared" si="5"/>
        <v>0</v>
      </c>
      <c r="AL80" s="746"/>
      <c r="AM80" s="743">
        <f t="shared" si="6"/>
        <v>0</v>
      </c>
    </row>
    <row r="81" spans="1:39" s="560" customFormat="1">
      <c r="A81" s="604" t="s">
        <v>587</v>
      </c>
      <c r="B81" s="604" t="s">
        <v>1185</v>
      </c>
      <c r="C81" s="530" t="s">
        <v>37</v>
      </c>
      <c r="D81" s="580"/>
      <c r="E81" s="778"/>
      <c r="F81" s="581"/>
      <c r="G81" s="581"/>
      <c r="H81" s="581"/>
      <c r="I81" s="949"/>
      <c r="J81" s="949"/>
      <c r="K81" s="949"/>
      <c r="L81" s="809"/>
      <c r="M81" s="575"/>
      <c r="N81" s="575"/>
      <c r="O81" s="575"/>
      <c r="P81" s="575"/>
      <c r="Q81" s="575"/>
      <c r="R81" s="575"/>
      <c r="S81" s="809"/>
      <c r="T81" s="575"/>
      <c r="U81" s="575"/>
      <c r="V81" s="575"/>
      <c r="W81" s="575"/>
      <c r="X81" s="575"/>
      <c r="Y81" s="575"/>
      <c r="Z81" s="809"/>
      <c r="AA81" s="575"/>
      <c r="AB81" s="575"/>
      <c r="AC81" s="575"/>
      <c r="AD81" s="575"/>
      <c r="AE81" s="827"/>
      <c r="AF81" s="575"/>
      <c r="AG81" s="960"/>
      <c r="AH81" s="842"/>
      <c r="AI81" s="738">
        <f t="shared" si="4"/>
        <v>0</v>
      </c>
      <c r="AJ81" s="949">
        <v>0</v>
      </c>
      <c r="AK81" s="581">
        <f t="shared" si="5"/>
        <v>0</v>
      </c>
      <c r="AL81" s="746" t="s">
        <v>1477</v>
      </c>
      <c r="AM81" s="743">
        <f t="shared" si="6"/>
        <v>59.04</v>
      </c>
    </row>
    <row r="82" spans="1:39" s="560" customFormat="1">
      <c r="A82" s="607" t="s">
        <v>588</v>
      </c>
      <c r="B82" s="607" t="s">
        <v>1186</v>
      </c>
      <c r="C82" s="690"/>
      <c r="D82" s="580"/>
      <c r="E82" s="778"/>
      <c r="F82" s="581"/>
      <c r="G82" s="581"/>
      <c r="H82" s="581"/>
      <c r="I82" s="949"/>
      <c r="J82" s="949"/>
      <c r="K82" s="949"/>
      <c r="L82" s="809"/>
      <c r="M82" s="575"/>
      <c r="N82" s="575"/>
      <c r="O82" s="575"/>
      <c r="P82" s="575"/>
      <c r="Q82" s="575"/>
      <c r="R82" s="575"/>
      <c r="S82" s="809"/>
      <c r="T82" s="575"/>
      <c r="U82" s="575"/>
      <c r="V82" s="575"/>
      <c r="W82" s="575"/>
      <c r="X82" s="575"/>
      <c r="Y82" s="575"/>
      <c r="Z82" s="809"/>
      <c r="AA82" s="575"/>
      <c r="AB82" s="575"/>
      <c r="AC82" s="575"/>
      <c r="AD82" s="575"/>
      <c r="AE82" s="827"/>
      <c r="AF82" s="575"/>
      <c r="AG82" s="960"/>
      <c r="AH82" s="842"/>
      <c r="AI82" s="738">
        <f t="shared" si="4"/>
        <v>0</v>
      </c>
      <c r="AJ82" s="949">
        <v>0</v>
      </c>
      <c r="AK82" s="581">
        <f t="shared" si="5"/>
        <v>0</v>
      </c>
      <c r="AL82" s="746"/>
      <c r="AM82" s="743">
        <f t="shared" si="6"/>
        <v>0</v>
      </c>
    </row>
    <row r="83" spans="1:39" s="560" customFormat="1">
      <c r="A83" s="604" t="s">
        <v>589</v>
      </c>
      <c r="B83" s="604" t="s">
        <v>1187</v>
      </c>
      <c r="C83" s="530" t="s">
        <v>37</v>
      </c>
      <c r="D83" s="580"/>
      <c r="E83" s="778"/>
      <c r="F83" s="581"/>
      <c r="G83" s="581"/>
      <c r="H83" s="581"/>
      <c r="I83" s="949"/>
      <c r="J83" s="949"/>
      <c r="K83" s="949"/>
      <c r="L83" s="809"/>
      <c r="M83" s="575"/>
      <c r="N83" s="575"/>
      <c r="O83" s="575"/>
      <c r="P83" s="575"/>
      <c r="Q83" s="575"/>
      <c r="R83" s="575"/>
      <c r="S83" s="809"/>
      <c r="T83" s="575"/>
      <c r="U83" s="575"/>
      <c r="V83" s="575"/>
      <c r="W83" s="575"/>
      <c r="X83" s="575"/>
      <c r="Y83" s="575"/>
      <c r="Z83" s="809"/>
      <c r="AA83" s="575"/>
      <c r="AB83" s="575"/>
      <c r="AC83" s="575"/>
      <c r="AD83" s="575"/>
      <c r="AE83" s="827"/>
      <c r="AF83" s="575"/>
      <c r="AG83" s="960"/>
      <c r="AH83" s="842"/>
      <c r="AI83" s="738">
        <f t="shared" si="4"/>
        <v>0</v>
      </c>
      <c r="AJ83" s="949">
        <v>0</v>
      </c>
      <c r="AK83" s="581">
        <f t="shared" si="5"/>
        <v>0</v>
      </c>
      <c r="AL83" s="746" t="s">
        <v>1478</v>
      </c>
      <c r="AM83" s="743">
        <f t="shared" si="6"/>
        <v>100.3</v>
      </c>
    </row>
    <row r="84" spans="1:39" s="579" customFormat="1">
      <c r="A84" s="604" t="s">
        <v>590</v>
      </c>
      <c r="B84" s="604" t="s">
        <v>224</v>
      </c>
      <c r="C84" s="530" t="s">
        <v>1436</v>
      </c>
      <c r="D84" s="586"/>
      <c r="E84" s="783"/>
      <c r="F84" s="587"/>
      <c r="G84" s="587"/>
      <c r="H84" s="587"/>
      <c r="I84" s="588"/>
      <c r="J84" s="588"/>
      <c r="K84" s="588"/>
      <c r="L84" s="809"/>
      <c r="M84" s="575"/>
      <c r="N84" s="575"/>
      <c r="O84" s="575"/>
      <c r="P84" s="575"/>
      <c r="Q84" s="575"/>
      <c r="R84" s="575"/>
      <c r="S84" s="809"/>
      <c r="T84" s="575"/>
      <c r="U84" s="575"/>
      <c r="V84" s="575"/>
      <c r="W84" s="575"/>
      <c r="X84" s="575"/>
      <c r="Y84" s="575"/>
      <c r="Z84" s="809"/>
      <c r="AA84" s="575"/>
      <c r="AB84" s="575"/>
      <c r="AC84" s="575"/>
      <c r="AD84" s="575"/>
      <c r="AE84" s="827"/>
      <c r="AF84" s="575"/>
      <c r="AG84" s="960"/>
      <c r="AH84" s="842"/>
      <c r="AI84" s="738">
        <f t="shared" si="4"/>
        <v>0</v>
      </c>
      <c r="AJ84" s="949">
        <v>0</v>
      </c>
      <c r="AK84" s="581">
        <f t="shared" si="5"/>
        <v>0</v>
      </c>
      <c r="AL84" s="747" t="s">
        <v>1479</v>
      </c>
      <c r="AM84" s="743">
        <f t="shared" si="6"/>
        <v>15</v>
      </c>
    </row>
    <row r="85" spans="1:39" s="782" customFormat="1">
      <c r="A85" s="868" t="s">
        <v>43</v>
      </c>
      <c r="B85" s="869" t="s">
        <v>1188</v>
      </c>
      <c r="C85" s="880"/>
      <c r="D85" s="795"/>
      <c r="E85" s="778"/>
      <c r="F85" s="778"/>
      <c r="G85" s="778"/>
      <c r="H85" s="778"/>
      <c r="I85" s="777"/>
      <c r="J85" s="777"/>
      <c r="K85" s="777"/>
      <c r="L85" s="809"/>
      <c r="M85" s="809"/>
      <c r="N85" s="809"/>
      <c r="O85" s="809"/>
      <c r="P85" s="809"/>
      <c r="Q85" s="809"/>
      <c r="R85" s="809"/>
      <c r="S85" s="809"/>
      <c r="T85" s="809"/>
      <c r="U85" s="809"/>
      <c r="V85" s="809"/>
      <c r="W85" s="809"/>
      <c r="X85" s="809"/>
      <c r="Y85" s="809"/>
      <c r="Z85" s="809"/>
      <c r="AA85" s="809"/>
      <c r="AB85" s="809"/>
      <c r="AC85" s="809"/>
      <c r="AD85" s="809"/>
      <c r="AE85" s="827"/>
      <c r="AF85" s="809"/>
      <c r="AG85" s="960"/>
      <c r="AH85" s="873"/>
      <c r="AI85" s="839">
        <f t="shared" si="4"/>
        <v>0</v>
      </c>
      <c r="AJ85" s="777">
        <v>0</v>
      </c>
      <c r="AK85" s="778">
        <f t="shared" si="5"/>
        <v>0</v>
      </c>
      <c r="AL85" s="780"/>
      <c r="AM85" s="781">
        <f t="shared" si="6"/>
        <v>0</v>
      </c>
    </row>
    <row r="86" spans="1:39" s="782" customFormat="1">
      <c r="A86" s="885" t="s">
        <v>53</v>
      </c>
      <c r="B86" s="885" t="s">
        <v>45</v>
      </c>
      <c r="C86" s="880"/>
      <c r="D86" s="795"/>
      <c r="E86" s="778"/>
      <c r="F86" s="778"/>
      <c r="G86" s="778"/>
      <c r="H86" s="778"/>
      <c r="I86" s="777"/>
      <c r="J86" s="777"/>
      <c r="K86" s="777"/>
      <c r="L86" s="809"/>
      <c r="M86" s="809"/>
      <c r="N86" s="809"/>
      <c r="O86" s="809"/>
      <c r="P86" s="809"/>
      <c r="Q86" s="809"/>
      <c r="R86" s="809"/>
      <c r="S86" s="809"/>
      <c r="T86" s="809"/>
      <c r="U86" s="809"/>
      <c r="V86" s="809"/>
      <c r="W86" s="809"/>
      <c r="X86" s="809"/>
      <c r="Y86" s="809"/>
      <c r="Z86" s="809"/>
      <c r="AA86" s="809"/>
      <c r="AB86" s="809"/>
      <c r="AC86" s="809"/>
      <c r="AD86" s="809"/>
      <c r="AE86" s="827"/>
      <c r="AF86" s="809"/>
      <c r="AG86" s="960"/>
      <c r="AH86" s="873"/>
      <c r="AI86" s="839">
        <f t="shared" si="4"/>
        <v>0</v>
      </c>
      <c r="AJ86" s="777">
        <v>0</v>
      </c>
      <c r="AK86" s="778">
        <f t="shared" si="5"/>
        <v>0</v>
      </c>
      <c r="AL86" s="780"/>
      <c r="AM86" s="781">
        <f t="shared" si="6"/>
        <v>0</v>
      </c>
    </row>
    <row r="87" spans="1:39" s="782" customFormat="1" hidden="1">
      <c r="A87" s="772" t="s">
        <v>591</v>
      </c>
      <c r="B87" s="772" t="s">
        <v>1142</v>
      </c>
      <c r="C87" s="876" t="s">
        <v>39</v>
      </c>
      <c r="D87" s="795"/>
      <c r="E87" s="778"/>
      <c r="F87" s="778"/>
      <c r="G87" s="778"/>
      <c r="H87" s="778"/>
      <c r="I87" s="777"/>
      <c r="J87" s="777"/>
      <c r="K87" s="777"/>
      <c r="L87" s="809"/>
      <c r="M87" s="809"/>
      <c r="N87" s="809"/>
      <c r="O87" s="809"/>
      <c r="P87" s="809"/>
      <c r="Q87" s="809"/>
      <c r="R87" s="809"/>
      <c r="S87" s="809"/>
      <c r="T87" s="809"/>
      <c r="U87" s="809"/>
      <c r="V87" s="809"/>
      <c r="W87" s="809"/>
      <c r="X87" s="809"/>
      <c r="Y87" s="809"/>
      <c r="Z87" s="809"/>
      <c r="AA87" s="809"/>
      <c r="AB87" s="809"/>
      <c r="AC87" s="809"/>
      <c r="AD87" s="809"/>
      <c r="AE87" s="827"/>
      <c r="AF87" s="809"/>
      <c r="AG87" s="960"/>
      <c r="AH87" s="873"/>
      <c r="AI87" s="839">
        <f t="shared" si="4"/>
        <v>0</v>
      </c>
      <c r="AJ87" s="777">
        <v>0</v>
      </c>
      <c r="AK87" s="778">
        <f t="shared" si="5"/>
        <v>0</v>
      </c>
      <c r="AL87" s="780" t="s">
        <v>1480</v>
      </c>
      <c r="AM87" s="781">
        <f t="shared" si="6"/>
        <v>34.270000000000003</v>
      </c>
    </row>
    <row r="88" spans="1:39" s="782" customFormat="1" hidden="1">
      <c r="A88" s="772" t="s">
        <v>592</v>
      </c>
      <c r="B88" s="772" t="s">
        <v>1143</v>
      </c>
      <c r="C88" s="876" t="s">
        <v>39</v>
      </c>
      <c r="D88" s="795"/>
      <c r="E88" s="778"/>
      <c r="F88" s="778"/>
      <c r="G88" s="778"/>
      <c r="H88" s="778"/>
      <c r="I88" s="777"/>
      <c r="J88" s="777"/>
      <c r="K88" s="777"/>
      <c r="L88" s="809"/>
      <c r="M88" s="809"/>
      <c r="N88" s="809"/>
      <c r="O88" s="809"/>
      <c r="P88" s="809"/>
      <c r="Q88" s="809"/>
      <c r="R88" s="809"/>
      <c r="S88" s="809"/>
      <c r="T88" s="809"/>
      <c r="U88" s="809"/>
      <c r="V88" s="809"/>
      <c r="W88" s="809"/>
      <c r="X88" s="809"/>
      <c r="Y88" s="809"/>
      <c r="Z88" s="809"/>
      <c r="AA88" s="809"/>
      <c r="AB88" s="809"/>
      <c r="AC88" s="809"/>
      <c r="AD88" s="809"/>
      <c r="AE88" s="827"/>
      <c r="AF88" s="809"/>
      <c r="AG88" s="960"/>
      <c r="AH88" s="873"/>
      <c r="AI88" s="839">
        <f t="shared" si="4"/>
        <v>0</v>
      </c>
      <c r="AJ88" s="777">
        <v>0</v>
      </c>
      <c r="AK88" s="778">
        <f t="shared" si="5"/>
        <v>0</v>
      </c>
      <c r="AL88" s="780" t="s">
        <v>1481</v>
      </c>
      <c r="AM88" s="781">
        <f t="shared" si="6"/>
        <v>16.989999999999998</v>
      </c>
    </row>
    <row r="89" spans="1:39" s="782" customFormat="1">
      <c r="A89" s="772" t="s">
        <v>593</v>
      </c>
      <c r="B89" s="772" t="s">
        <v>1144</v>
      </c>
      <c r="C89" s="877" t="s">
        <v>39</v>
      </c>
      <c r="D89" s="795"/>
      <c r="E89" s="778"/>
      <c r="F89" s="778"/>
      <c r="G89" s="778"/>
      <c r="H89" s="778"/>
      <c r="I89" s="777"/>
      <c r="J89" s="777"/>
      <c r="K89" s="777"/>
      <c r="L89" s="809"/>
      <c r="M89" s="809"/>
      <c r="N89" s="809"/>
      <c r="O89" s="809"/>
      <c r="P89" s="809"/>
      <c r="Q89" s="809"/>
      <c r="R89" s="809"/>
      <c r="S89" s="809"/>
      <c r="T89" s="809"/>
      <c r="U89" s="809"/>
      <c r="V89" s="809"/>
      <c r="W89" s="809"/>
      <c r="X89" s="809"/>
      <c r="Y89" s="809"/>
      <c r="Z89" s="809"/>
      <c r="AA89" s="809"/>
      <c r="AB89" s="809"/>
      <c r="AC89" s="809"/>
      <c r="AD89" s="809"/>
      <c r="AE89" s="827"/>
      <c r="AF89" s="809"/>
      <c r="AG89" s="960"/>
      <c r="AH89" s="873"/>
      <c r="AI89" s="839">
        <f t="shared" si="4"/>
        <v>0</v>
      </c>
      <c r="AJ89" s="777">
        <v>0</v>
      </c>
      <c r="AK89" s="778">
        <f t="shared" si="5"/>
        <v>0</v>
      </c>
      <c r="AL89" s="780" t="s">
        <v>1482</v>
      </c>
      <c r="AM89" s="781">
        <f t="shared" si="6"/>
        <v>28.37</v>
      </c>
    </row>
    <row r="90" spans="1:39" s="782" customFormat="1">
      <c r="A90" s="772" t="s">
        <v>594</v>
      </c>
      <c r="B90" s="772" t="s">
        <v>1145</v>
      </c>
      <c r="C90" s="876" t="s">
        <v>36</v>
      </c>
      <c r="D90" s="795"/>
      <c r="E90" s="778"/>
      <c r="F90" s="778"/>
      <c r="G90" s="778"/>
      <c r="H90" s="778"/>
      <c r="I90" s="777"/>
      <c r="J90" s="777"/>
      <c r="K90" s="777"/>
      <c r="L90" s="809"/>
      <c r="M90" s="809"/>
      <c r="N90" s="809"/>
      <c r="O90" s="809"/>
      <c r="P90" s="809"/>
      <c r="Q90" s="809"/>
      <c r="R90" s="809"/>
      <c r="S90" s="809"/>
      <c r="T90" s="809"/>
      <c r="U90" s="809"/>
      <c r="V90" s="809"/>
      <c r="W90" s="809"/>
      <c r="X90" s="809"/>
      <c r="Y90" s="809"/>
      <c r="Z90" s="809"/>
      <c r="AA90" s="809"/>
      <c r="AB90" s="809"/>
      <c r="AC90" s="809"/>
      <c r="AD90" s="809"/>
      <c r="AE90" s="827"/>
      <c r="AF90" s="809"/>
      <c r="AG90" s="960"/>
      <c r="AH90" s="873"/>
      <c r="AI90" s="839">
        <f t="shared" si="4"/>
        <v>0</v>
      </c>
      <c r="AJ90" s="777">
        <v>0</v>
      </c>
      <c r="AK90" s="778">
        <f t="shared" si="5"/>
        <v>0</v>
      </c>
      <c r="AL90" s="780" t="s">
        <v>1483</v>
      </c>
      <c r="AM90" s="781">
        <f t="shared" si="6"/>
        <v>57.19</v>
      </c>
    </row>
    <row r="91" spans="1:39" s="782" customFormat="1">
      <c r="A91" s="772" t="s">
        <v>595</v>
      </c>
      <c r="B91" s="772" t="s">
        <v>1146</v>
      </c>
      <c r="C91" s="876" t="s">
        <v>39</v>
      </c>
      <c r="D91" s="795"/>
      <c r="E91" s="778"/>
      <c r="F91" s="778"/>
      <c r="G91" s="778"/>
      <c r="H91" s="778"/>
      <c r="I91" s="777"/>
      <c r="J91" s="777"/>
      <c r="K91" s="777"/>
      <c r="L91" s="809"/>
      <c r="M91" s="809"/>
      <c r="N91" s="809"/>
      <c r="O91" s="809"/>
      <c r="P91" s="809"/>
      <c r="Q91" s="809"/>
      <c r="R91" s="809"/>
      <c r="S91" s="809"/>
      <c r="T91" s="809"/>
      <c r="U91" s="809"/>
      <c r="V91" s="809"/>
      <c r="W91" s="809"/>
      <c r="X91" s="809"/>
      <c r="Y91" s="809"/>
      <c r="Z91" s="809"/>
      <c r="AA91" s="809"/>
      <c r="AB91" s="809"/>
      <c r="AC91" s="809"/>
      <c r="AD91" s="809"/>
      <c r="AE91" s="827"/>
      <c r="AF91" s="809"/>
      <c r="AG91" s="960"/>
      <c r="AH91" s="873"/>
      <c r="AI91" s="839">
        <f t="shared" si="4"/>
        <v>0</v>
      </c>
      <c r="AJ91" s="777">
        <v>0</v>
      </c>
      <c r="AK91" s="778">
        <f t="shared" si="5"/>
        <v>0</v>
      </c>
      <c r="AL91" s="780" t="s">
        <v>1484</v>
      </c>
      <c r="AM91" s="781">
        <f t="shared" si="6"/>
        <v>28.61</v>
      </c>
    </row>
    <row r="92" spans="1:39" s="897" customFormat="1">
      <c r="A92" s="886" t="s">
        <v>596</v>
      </c>
      <c r="B92" s="886" t="s">
        <v>1147</v>
      </c>
      <c r="C92" s="887" t="s">
        <v>39</v>
      </c>
      <c r="D92" s="888"/>
      <c r="E92" s="889"/>
      <c r="F92" s="889"/>
      <c r="G92" s="889"/>
      <c r="H92" s="889"/>
      <c r="I92" s="890"/>
      <c r="J92" s="890"/>
      <c r="K92" s="890"/>
      <c r="L92" s="891"/>
      <c r="M92" s="891"/>
      <c r="N92" s="891"/>
      <c r="O92" s="891"/>
      <c r="P92" s="891"/>
      <c r="Q92" s="891"/>
      <c r="R92" s="891"/>
      <c r="S92" s="891"/>
      <c r="T92" s="891"/>
      <c r="U92" s="891"/>
      <c r="V92" s="891"/>
      <c r="W92" s="891"/>
      <c r="X92" s="891"/>
      <c r="Y92" s="891"/>
      <c r="Z92" s="891"/>
      <c r="AA92" s="891"/>
      <c r="AB92" s="891"/>
      <c r="AC92" s="891"/>
      <c r="AD92" s="891"/>
      <c r="AE92" s="827"/>
      <c r="AF92" s="891"/>
      <c r="AG92" s="960"/>
      <c r="AH92" s="893"/>
      <c r="AI92" s="894">
        <f t="shared" si="4"/>
        <v>0</v>
      </c>
      <c r="AJ92" s="890">
        <v>0</v>
      </c>
      <c r="AK92" s="889">
        <f t="shared" si="5"/>
        <v>0</v>
      </c>
      <c r="AL92" s="895" t="s">
        <v>1484</v>
      </c>
      <c r="AM92" s="896">
        <f t="shared" si="6"/>
        <v>28.61</v>
      </c>
    </row>
    <row r="93" spans="1:39" s="560" customFormat="1">
      <c r="A93" s="607" t="s">
        <v>54</v>
      </c>
      <c r="B93" s="607" t="s">
        <v>1148</v>
      </c>
      <c r="C93" s="679"/>
      <c r="D93" s="580"/>
      <c r="E93" s="778"/>
      <c r="F93" s="581"/>
      <c r="G93" s="581"/>
      <c r="H93" s="581"/>
      <c r="I93" s="949"/>
      <c r="J93" s="949"/>
      <c r="K93" s="949"/>
      <c r="L93" s="809"/>
      <c r="M93" s="575"/>
      <c r="N93" s="575"/>
      <c r="O93" s="575"/>
      <c r="P93" s="575"/>
      <c r="Q93" s="575"/>
      <c r="R93" s="575"/>
      <c r="S93" s="809"/>
      <c r="T93" s="575"/>
      <c r="U93" s="575"/>
      <c r="V93" s="575"/>
      <c r="W93" s="575"/>
      <c r="X93" s="575"/>
      <c r="Y93" s="575"/>
      <c r="Z93" s="809"/>
      <c r="AA93" s="575"/>
      <c r="AB93" s="575"/>
      <c r="AC93" s="575"/>
      <c r="AD93" s="575"/>
      <c r="AE93" s="827"/>
      <c r="AF93" s="575"/>
      <c r="AG93" s="960"/>
      <c r="AH93" s="842"/>
      <c r="AI93" s="738">
        <f t="shared" si="4"/>
        <v>0</v>
      </c>
      <c r="AJ93" s="949">
        <v>0</v>
      </c>
      <c r="AK93" s="581">
        <f t="shared" si="5"/>
        <v>0</v>
      </c>
      <c r="AL93" s="746"/>
      <c r="AM93" s="743">
        <f t="shared" si="6"/>
        <v>0</v>
      </c>
    </row>
    <row r="94" spans="1:39" s="560" customFormat="1" hidden="1">
      <c r="A94" s="604" t="s">
        <v>597</v>
      </c>
      <c r="B94" s="604" t="s">
        <v>1189</v>
      </c>
      <c r="C94" s="530" t="s">
        <v>36</v>
      </c>
      <c r="D94" s="580"/>
      <c r="E94" s="778"/>
      <c r="F94" s="581"/>
      <c r="G94" s="581"/>
      <c r="H94" s="581"/>
      <c r="I94" s="949"/>
      <c r="J94" s="949"/>
      <c r="K94" s="949"/>
      <c r="L94" s="809"/>
      <c r="M94" s="575"/>
      <c r="N94" s="575"/>
      <c r="O94" s="575"/>
      <c r="R94" s="575"/>
      <c r="S94" s="809"/>
      <c r="T94" s="575"/>
      <c r="U94" s="575"/>
      <c r="V94" s="741"/>
      <c r="W94" s="741"/>
      <c r="X94" s="741"/>
      <c r="Y94" s="741"/>
      <c r="Z94" s="828"/>
      <c r="AA94" s="741"/>
      <c r="AB94" s="741"/>
      <c r="AD94" s="741"/>
      <c r="AE94" s="827"/>
      <c r="AF94" s="575"/>
      <c r="AG94" s="960"/>
      <c r="AH94" s="842"/>
      <c r="AI94" s="738">
        <f t="shared" si="4"/>
        <v>0</v>
      </c>
      <c r="AJ94" s="949">
        <v>0</v>
      </c>
      <c r="AK94" s="581">
        <f t="shared" si="5"/>
        <v>0</v>
      </c>
      <c r="AL94" s="746" t="s">
        <v>1485</v>
      </c>
      <c r="AM94" s="743">
        <f t="shared" si="6"/>
        <v>26.55</v>
      </c>
    </row>
    <row r="95" spans="1:39" s="897" customFormat="1">
      <c r="A95" s="886" t="s">
        <v>598</v>
      </c>
      <c r="B95" s="886" t="s">
        <v>1190</v>
      </c>
      <c r="C95" s="887" t="s">
        <v>39</v>
      </c>
      <c r="D95" s="888"/>
      <c r="E95" s="889"/>
      <c r="F95" s="889"/>
      <c r="G95" s="889"/>
      <c r="H95" s="889"/>
      <c r="I95" s="890"/>
      <c r="J95" s="890"/>
      <c r="K95" s="890"/>
      <c r="L95" s="891"/>
      <c r="M95" s="891"/>
      <c r="N95" s="891"/>
      <c r="O95" s="891"/>
      <c r="P95" s="891"/>
      <c r="Q95" s="891"/>
      <c r="R95" s="891"/>
      <c r="S95" s="891"/>
      <c r="T95" s="891"/>
      <c r="U95" s="891"/>
      <c r="V95" s="891"/>
      <c r="W95" s="891"/>
      <c r="X95" s="891"/>
      <c r="Y95" s="891"/>
      <c r="Z95" s="891"/>
      <c r="AA95" s="891"/>
      <c r="AB95" s="891"/>
      <c r="AC95" s="891"/>
      <c r="AD95" s="891"/>
      <c r="AE95" s="827"/>
      <c r="AF95" s="891"/>
      <c r="AG95" s="960"/>
      <c r="AH95" s="893"/>
      <c r="AI95" s="894">
        <f t="shared" si="4"/>
        <v>0</v>
      </c>
      <c r="AJ95" s="890">
        <v>0</v>
      </c>
      <c r="AK95" s="889">
        <f t="shared" si="5"/>
        <v>0</v>
      </c>
      <c r="AL95" s="895" t="s">
        <v>1486</v>
      </c>
      <c r="AM95" s="896">
        <f t="shared" si="6"/>
        <v>12.87</v>
      </c>
    </row>
    <row r="96" spans="1:39" s="897" customFormat="1">
      <c r="A96" s="886" t="s">
        <v>599</v>
      </c>
      <c r="B96" s="886" t="s">
        <v>1191</v>
      </c>
      <c r="C96" s="887" t="s">
        <v>39</v>
      </c>
      <c r="D96" s="888"/>
      <c r="E96" s="889"/>
      <c r="F96" s="889"/>
      <c r="G96" s="889"/>
      <c r="H96" s="889"/>
      <c r="I96" s="890"/>
      <c r="J96" s="890"/>
      <c r="K96" s="890"/>
      <c r="L96" s="891"/>
      <c r="M96" s="891"/>
      <c r="N96" s="891"/>
      <c r="O96" s="891"/>
      <c r="P96" s="891"/>
      <c r="Q96" s="891"/>
      <c r="R96" s="891"/>
      <c r="S96" s="891"/>
      <c r="T96" s="891"/>
      <c r="U96" s="891"/>
      <c r="V96" s="891"/>
      <c r="W96" s="891"/>
      <c r="X96" s="891"/>
      <c r="Y96" s="891"/>
      <c r="Z96" s="891"/>
      <c r="AA96" s="891"/>
      <c r="AB96" s="891"/>
      <c r="AC96" s="891"/>
      <c r="AD96" s="891"/>
      <c r="AE96" s="827"/>
      <c r="AF96" s="891"/>
      <c r="AG96" s="960"/>
      <c r="AH96" s="893"/>
      <c r="AI96" s="894">
        <f t="shared" si="4"/>
        <v>0</v>
      </c>
      <c r="AJ96" s="890">
        <v>0</v>
      </c>
      <c r="AK96" s="889">
        <f t="shared" si="5"/>
        <v>0</v>
      </c>
      <c r="AL96" s="895" t="s">
        <v>1487</v>
      </c>
      <c r="AM96" s="896">
        <f t="shared" si="6"/>
        <v>2.68</v>
      </c>
    </row>
    <row r="97" spans="1:39" s="782" customFormat="1">
      <c r="A97" s="772" t="s">
        <v>600</v>
      </c>
      <c r="B97" s="772" t="s">
        <v>1153</v>
      </c>
      <c r="C97" s="877" t="s">
        <v>36</v>
      </c>
      <c r="D97" s="795"/>
      <c r="E97" s="778"/>
      <c r="F97" s="778"/>
      <c r="G97" s="778"/>
      <c r="H97" s="778"/>
      <c r="I97" s="777"/>
      <c r="J97" s="777"/>
      <c r="K97" s="777"/>
      <c r="L97" s="809"/>
      <c r="M97" s="809"/>
      <c r="N97" s="809"/>
      <c r="O97" s="809"/>
      <c r="P97" s="809"/>
      <c r="Q97" s="809"/>
      <c r="R97" s="809"/>
      <c r="S97" s="809"/>
      <c r="T97" s="809"/>
      <c r="U97" s="809"/>
      <c r="V97" s="809"/>
      <c r="W97" s="809"/>
      <c r="X97" s="809"/>
      <c r="Y97" s="809"/>
      <c r="Z97" s="809"/>
      <c r="AA97" s="809"/>
      <c r="AB97" s="809"/>
      <c r="AC97" s="809"/>
      <c r="AD97" s="809"/>
      <c r="AE97" s="827"/>
      <c r="AF97" s="809"/>
      <c r="AG97" s="960"/>
      <c r="AH97" s="873"/>
      <c r="AI97" s="839">
        <f t="shared" si="4"/>
        <v>0</v>
      </c>
      <c r="AJ97" s="777">
        <v>0</v>
      </c>
      <c r="AK97" s="778">
        <f t="shared" si="5"/>
        <v>0</v>
      </c>
      <c r="AL97" s="780" t="s">
        <v>1488</v>
      </c>
      <c r="AM97" s="781">
        <f t="shared" si="6"/>
        <v>96.66</v>
      </c>
    </row>
    <row r="98" spans="1:39" s="782" customFormat="1">
      <c r="A98" s="772" t="s">
        <v>601</v>
      </c>
      <c r="B98" s="772" t="s">
        <v>1154</v>
      </c>
      <c r="C98" s="876" t="s">
        <v>36</v>
      </c>
      <c r="D98" s="795"/>
      <c r="E98" s="778"/>
      <c r="F98" s="778"/>
      <c r="G98" s="778"/>
      <c r="H98" s="778"/>
      <c r="I98" s="777"/>
      <c r="J98" s="777"/>
      <c r="K98" s="777"/>
      <c r="L98" s="809"/>
      <c r="M98" s="809"/>
      <c r="N98" s="809"/>
      <c r="O98" s="809"/>
      <c r="P98" s="809"/>
      <c r="Q98" s="809"/>
      <c r="R98" s="809"/>
      <c r="S98" s="809"/>
      <c r="T98" s="809"/>
      <c r="U98" s="809"/>
      <c r="V98" s="809"/>
      <c r="W98" s="809"/>
      <c r="X98" s="809"/>
      <c r="Y98" s="809"/>
      <c r="Z98" s="809"/>
      <c r="AA98" s="809"/>
      <c r="AB98" s="809"/>
      <c r="AC98" s="809"/>
      <c r="AD98" s="809"/>
      <c r="AE98" s="827"/>
      <c r="AF98" s="809"/>
      <c r="AG98" s="960"/>
      <c r="AH98" s="873"/>
      <c r="AI98" s="839">
        <f t="shared" si="4"/>
        <v>0</v>
      </c>
      <c r="AJ98" s="777">
        <v>0</v>
      </c>
      <c r="AK98" s="778">
        <f t="shared" si="5"/>
        <v>0</v>
      </c>
      <c r="AL98" s="780" t="s">
        <v>1483</v>
      </c>
      <c r="AM98" s="781">
        <f t="shared" si="6"/>
        <v>57.19</v>
      </c>
    </row>
    <row r="99" spans="1:39" s="782" customFormat="1">
      <c r="A99" s="885" t="s">
        <v>602</v>
      </c>
      <c r="B99" s="885" t="s">
        <v>1155</v>
      </c>
      <c r="C99" s="880"/>
      <c r="D99" s="795"/>
      <c r="E99" s="778"/>
      <c r="F99" s="778"/>
      <c r="G99" s="778"/>
      <c r="H99" s="778"/>
      <c r="I99" s="777"/>
      <c r="J99" s="777"/>
      <c r="K99" s="777"/>
      <c r="L99" s="809"/>
      <c r="M99" s="809"/>
      <c r="N99" s="809"/>
      <c r="O99" s="809"/>
      <c r="P99" s="809"/>
      <c r="Q99" s="809"/>
      <c r="R99" s="809"/>
      <c r="S99" s="809"/>
      <c r="T99" s="809"/>
      <c r="U99" s="809"/>
      <c r="V99" s="809"/>
      <c r="W99" s="809"/>
      <c r="X99" s="809"/>
      <c r="Y99" s="809"/>
      <c r="Z99" s="809"/>
      <c r="AA99" s="809"/>
      <c r="AB99" s="809"/>
      <c r="AC99" s="809"/>
      <c r="AD99" s="809"/>
      <c r="AE99" s="827"/>
      <c r="AF99" s="809"/>
      <c r="AG99" s="960"/>
      <c r="AH99" s="873"/>
      <c r="AI99" s="839">
        <f t="shared" si="4"/>
        <v>0</v>
      </c>
      <c r="AJ99" s="777">
        <v>0</v>
      </c>
      <c r="AK99" s="778">
        <f t="shared" si="5"/>
        <v>0</v>
      </c>
      <c r="AL99" s="780"/>
      <c r="AM99" s="781">
        <f t="shared" si="6"/>
        <v>0</v>
      </c>
    </row>
    <row r="100" spans="1:39" s="782" customFormat="1">
      <c r="A100" s="772" t="s">
        <v>603</v>
      </c>
      <c r="B100" s="772" t="s">
        <v>1156</v>
      </c>
      <c r="C100" s="880"/>
      <c r="D100" s="795"/>
      <c r="E100" s="778"/>
      <c r="F100" s="778"/>
      <c r="G100" s="778"/>
      <c r="H100" s="778"/>
      <c r="I100" s="777"/>
      <c r="J100" s="777"/>
      <c r="K100" s="777"/>
      <c r="L100" s="809"/>
      <c r="M100" s="809"/>
      <c r="N100" s="809"/>
      <c r="O100" s="809"/>
      <c r="P100" s="809"/>
      <c r="Q100" s="809"/>
      <c r="R100" s="809"/>
      <c r="S100" s="809"/>
      <c r="T100" s="809"/>
      <c r="U100" s="809"/>
      <c r="V100" s="809"/>
      <c r="W100" s="809"/>
      <c r="X100" s="809"/>
      <c r="Y100" s="809"/>
      <c r="Z100" s="809"/>
      <c r="AA100" s="809"/>
      <c r="AB100" s="809"/>
      <c r="AC100" s="809"/>
      <c r="AD100" s="809"/>
      <c r="AE100" s="827"/>
      <c r="AF100" s="809"/>
      <c r="AG100" s="960"/>
      <c r="AH100" s="873"/>
      <c r="AI100" s="839">
        <f t="shared" si="4"/>
        <v>0</v>
      </c>
      <c r="AJ100" s="777">
        <v>0</v>
      </c>
      <c r="AK100" s="778">
        <f t="shared" si="5"/>
        <v>0</v>
      </c>
      <c r="AL100" s="780"/>
      <c r="AM100" s="781">
        <f t="shared" si="6"/>
        <v>0</v>
      </c>
    </row>
    <row r="101" spans="1:39" s="560" customFormat="1" hidden="1">
      <c r="A101" s="604" t="s">
        <v>604</v>
      </c>
      <c r="B101" s="604" t="s">
        <v>1192</v>
      </c>
      <c r="C101" s="530" t="s">
        <v>39</v>
      </c>
      <c r="D101" s="580"/>
      <c r="E101" s="778"/>
      <c r="F101" s="581"/>
      <c r="G101" s="581"/>
      <c r="H101" s="581"/>
      <c r="I101" s="949"/>
      <c r="J101" s="949"/>
      <c r="K101" s="949"/>
      <c r="L101" s="809"/>
      <c r="M101" s="575"/>
      <c r="N101" s="575"/>
      <c r="O101" s="575"/>
      <c r="P101" s="575"/>
      <c r="Q101" s="575"/>
      <c r="R101" s="575"/>
      <c r="S101" s="809"/>
      <c r="T101" s="575"/>
      <c r="U101" s="575"/>
      <c r="V101" s="575"/>
      <c r="W101" s="575"/>
      <c r="X101" s="575"/>
      <c r="Y101" s="575"/>
      <c r="Z101" s="809"/>
      <c r="AA101" s="575"/>
      <c r="AB101" s="575"/>
      <c r="AC101" s="575"/>
      <c r="AD101" s="949"/>
      <c r="AE101" s="854"/>
      <c r="AF101" s="575"/>
      <c r="AG101" s="960"/>
      <c r="AH101" s="842"/>
      <c r="AI101" s="738">
        <f t="shared" si="4"/>
        <v>0</v>
      </c>
      <c r="AJ101" s="949">
        <v>0</v>
      </c>
      <c r="AK101" s="581">
        <f t="shared" si="5"/>
        <v>0</v>
      </c>
      <c r="AL101" s="746" t="s">
        <v>1489</v>
      </c>
      <c r="AM101" s="743">
        <f t="shared" si="6"/>
        <v>8.06</v>
      </c>
    </row>
    <row r="102" spans="1:39" s="560" customFormat="1" hidden="1">
      <c r="A102" s="604" t="s">
        <v>605</v>
      </c>
      <c r="B102" s="604" t="s">
        <v>1158</v>
      </c>
      <c r="C102" s="530" t="s">
        <v>47</v>
      </c>
      <c r="D102" s="580"/>
      <c r="E102" s="778"/>
      <c r="F102" s="581"/>
      <c r="G102" s="581"/>
      <c r="H102" s="581"/>
      <c r="I102" s="949"/>
      <c r="J102" s="949"/>
      <c r="K102" s="949"/>
      <c r="L102" s="809"/>
      <c r="M102" s="575"/>
      <c r="N102" s="575"/>
      <c r="O102" s="575"/>
      <c r="P102" s="575"/>
      <c r="Q102" s="575"/>
      <c r="R102" s="575"/>
      <c r="S102" s="809"/>
      <c r="T102" s="575"/>
      <c r="U102" s="575"/>
      <c r="V102" s="575"/>
      <c r="W102" s="575"/>
      <c r="X102" s="575"/>
      <c r="Y102" s="575"/>
      <c r="Z102" s="809"/>
      <c r="AA102" s="575"/>
      <c r="AB102" s="575"/>
      <c r="AC102" s="813"/>
      <c r="AD102" s="741"/>
      <c r="AE102" s="827"/>
      <c r="AF102" s="575"/>
      <c r="AG102" s="960"/>
      <c r="AH102" s="842"/>
      <c r="AI102" s="738">
        <f t="shared" si="4"/>
        <v>0</v>
      </c>
      <c r="AJ102" s="949">
        <v>0</v>
      </c>
      <c r="AK102" s="581">
        <f t="shared" si="5"/>
        <v>0</v>
      </c>
      <c r="AL102" s="746" t="s">
        <v>1490</v>
      </c>
      <c r="AM102" s="743">
        <f t="shared" si="6"/>
        <v>337.22</v>
      </c>
    </row>
    <row r="103" spans="1:39" s="782" customFormat="1">
      <c r="A103" s="772" t="s">
        <v>606</v>
      </c>
      <c r="B103" s="772" t="s">
        <v>1159</v>
      </c>
      <c r="C103" s="880"/>
      <c r="D103" s="795"/>
      <c r="E103" s="778"/>
      <c r="F103" s="778"/>
      <c r="G103" s="778"/>
      <c r="H103" s="778"/>
      <c r="I103" s="777"/>
      <c r="J103" s="777"/>
      <c r="K103" s="777"/>
      <c r="L103" s="809"/>
      <c r="M103" s="809"/>
      <c r="N103" s="809"/>
      <c r="O103" s="809"/>
      <c r="P103" s="809"/>
      <c r="Q103" s="809"/>
      <c r="R103" s="809"/>
      <c r="S103" s="809"/>
      <c r="T103" s="809"/>
      <c r="U103" s="809"/>
      <c r="V103" s="809"/>
      <c r="W103" s="809"/>
      <c r="X103" s="809"/>
      <c r="Y103" s="809"/>
      <c r="Z103" s="809"/>
      <c r="AA103" s="809"/>
      <c r="AB103" s="809"/>
      <c r="AC103" s="809"/>
      <c r="AD103" s="809"/>
      <c r="AE103" s="827"/>
      <c r="AF103" s="809"/>
      <c r="AG103" s="960"/>
      <c r="AH103" s="873"/>
      <c r="AI103" s="839">
        <f t="shared" si="4"/>
        <v>0</v>
      </c>
      <c r="AJ103" s="777">
        <v>0</v>
      </c>
      <c r="AK103" s="778">
        <f t="shared" si="5"/>
        <v>0</v>
      </c>
      <c r="AL103" s="780"/>
      <c r="AM103" s="781">
        <f t="shared" si="6"/>
        <v>0</v>
      </c>
    </row>
    <row r="104" spans="1:39" s="782" customFormat="1">
      <c r="A104" s="772" t="s">
        <v>607</v>
      </c>
      <c r="B104" s="772" t="s">
        <v>1193</v>
      </c>
      <c r="C104" s="876" t="s">
        <v>39</v>
      </c>
      <c r="D104" s="795"/>
      <c r="E104" s="778"/>
      <c r="F104" s="778"/>
      <c r="G104" s="778"/>
      <c r="H104" s="778"/>
      <c r="I104" s="825">
        <f>40.91*0.25*0.3722</f>
        <v>3.8066754999999994</v>
      </c>
      <c r="J104" s="777"/>
      <c r="K104" s="777"/>
      <c r="L104" s="809"/>
      <c r="M104" s="809"/>
      <c r="N104" s="809"/>
      <c r="O104" s="809"/>
      <c r="P104" s="809"/>
      <c r="Q104" s="809"/>
      <c r="R104" s="809"/>
      <c r="S104" s="809"/>
      <c r="T104" s="809"/>
      <c r="U104" s="809"/>
      <c r="V104" s="809"/>
      <c r="W104" s="809"/>
      <c r="X104" s="809"/>
      <c r="Y104" s="809"/>
      <c r="Z104" s="809"/>
      <c r="AA104" s="809"/>
      <c r="AB104" s="809"/>
      <c r="AC104" s="809"/>
      <c r="AD104" s="809"/>
      <c r="AE104" s="827"/>
      <c r="AF104" s="809"/>
      <c r="AG104" s="960"/>
      <c r="AH104" s="873"/>
      <c r="AI104" s="839">
        <f t="shared" si="4"/>
        <v>3.81</v>
      </c>
      <c r="AJ104" s="777">
        <v>0</v>
      </c>
      <c r="AK104" s="778">
        <f t="shared" si="5"/>
        <v>3.81</v>
      </c>
      <c r="AL104" s="780" t="s">
        <v>1491</v>
      </c>
      <c r="AM104" s="781">
        <f t="shared" si="6"/>
        <v>0</v>
      </c>
    </row>
    <row r="105" spans="1:39" s="782" customFormat="1">
      <c r="A105" s="772" t="s">
        <v>608</v>
      </c>
      <c r="B105" s="772" t="s">
        <v>1161</v>
      </c>
      <c r="C105" s="877" t="s">
        <v>36</v>
      </c>
      <c r="D105" s="795"/>
      <c r="E105" s="778"/>
      <c r="F105" s="778"/>
      <c r="G105" s="778"/>
      <c r="H105" s="922">
        <f>40.91*2*0.3722</f>
        <v>30.453403999999995</v>
      </c>
      <c r="I105" s="777"/>
      <c r="J105" s="777"/>
      <c r="K105" s="777"/>
      <c r="L105" s="809"/>
      <c r="M105" s="809"/>
      <c r="N105" s="809"/>
      <c r="O105" s="809"/>
      <c r="P105" s="809"/>
      <c r="Q105" s="809"/>
      <c r="R105" s="809"/>
      <c r="S105" s="809"/>
      <c r="T105" s="809"/>
      <c r="U105" s="809"/>
      <c r="V105" s="809"/>
      <c r="W105" s="809"/>
      <c r="X105" s="809"/>
      <c r="Y105" s="809"/>
      <c r="Z105" s="809"/>
      <c r="AA105" s="809"/>
      <c r="AB105" s="809"/>
      <c r="AC105" s="809"/>
      <c r="AD105" s="809"/>
      <c r="AE105" s="827"/>
      <c r="AF105" s="809"/>
      <c r="AG105" s="960"/>
      <c r="AH105" s="873"/>
      <c r="AI105" s="839">
        <f t="shared" si="4"/>
        <v>30.45</v>
      </c>
      <c r="AJ105" s="777">
        <v>0</v>
      </c>
      <c r="AK105" s="778">
        <f t="shared" si="5"/>
        <v>30.45</v>
      </c>
      <c r="AL105" s="780" t="s">
        <v>1492</v>
      </c>
      <c r="AM105" s="781">
        <f t="shared" si="6"/>
        <v>0</v>
      </c>
    </row>
    <row r="106" spans="1:39" s="560" customFormat="1" hidden="1">
      <c r="A106" s="604" t="s">
        <v>609</v>
      </c>
      <c r="B106" s="604" t="s">
        <v>1162</v>
      </c>
      <c r="C106" s="530" t="s">
        <v>47</v>
      </c>
      <c r="D106" s="580"/>
      <c r="E106" s="778"/>
      <c r="F106" s="581"/>
      <c r="G106" s="581"/>
      <c r="H106" s="581"/>
      <c r="I106" s="949"/>
      <c r="J106" s="949"/>
      <c r="K106" s="949"/>
      <c r="L106" s="809"/>
      <c r="M106" s="575"/>
      <c r="N106" s="575"/>
      <c r="O106" s="575"/>
      <c r="P106" s="575"/>
      <c r="Q106" s="575"/>
      <c r="R106" s="575"/>
      <c r="S106" s="809"/>
      <c r="T106" s="575"/>
      <c r="U106" s="575"/>
      <c r="V106" s="575"/>
      <c r="W106" s="575"/>
      <c r="X106" s="575"/>
      <c r="Y106" s="575"/>
      <c r="Z106" s="809"/>
      <c r="AA106" s="575"/>
      <c r="AB106" s="575"/>
      <c r="AC106" s="575"/>
      <c r="AD106" s="575"/>
      <c r="AE106" s="827"/>
      <c r="AF106" s="575"/>
      <c r="AG106" s="962"/>
      <c r="AH106" s="843"/>
      <c r="AI106" s="738">
        <f t="shared" si="4"/>
        <v>0</v>
      </c>
      <c r="AJ106" s="949">
        <v>0</v>
      </c>
      <c r="AK106" s="581">
        <f t="shared" si="5"/>
        <v>0</v>
      </c>
      <c r="AL106" s="746" t="s">
        <v>1493</v>
      </c>
      <c r="AM106" s="743">
        <f t="shared" si="6"/>
        <v>322.07</v>
      </c>
    </row>
    <row r="107" spans="1:39" s="782" customFormat="1">
      <c r="A107" s="772" t="s">
        <v>610</v>
      </c>
      <c r="B107" s="772" t="s">
        <v>1163</v>
      </c>
      <c r="C107" s="880"/>
      <c r="D107" s="795"/>
      <c r="E107" s="778"/>
      <c r="F107" s="778"/>
      <c r="G107" s="778"/>
      <c r="H107" s="778"/>
      <c r="I107" s="777"/>
      <c r="J107" s="777"/>
      <c r="K107" s="777"/>
      <c r="L107" s="809"/>
      <c r="M107" s="809"/>
      <c r="N107" s="809"/>
      <c r="O107" s="809"/>
      <c r="P107" s="809"/>
      <c r="Q107" s="809"/>
      <c r="R107" s="809"/>
      <c r="S107" s="809"/>
      <c r="T107" s="809"/>
      <c r="U107" s="809"/>
      <c r="V107" s="809"/>
      <c r="W107" s="809"/>
      <c r="X107" s="809"/>
      <c r="Y107" s="809"/>
      <c r="Z107" s="809"/>
      <c r="AA107" s="809"/>
      <c r="AB107" s="809"/>
      <c r="AC107" s="809"/>
      <c r="AD107" s="809"/>
      <c r="AE107" s="827"/>
      <c r="AF107" s="809"/>
      <c r="AG107" s="960"/>
      <c r="AH107" s="873"/>
      <c r="AI107" s="839">
        <f t="shared" si="4"/>
        <v>0</v>
      </c>
      <c r="AJ107" s="777">
        <v>0</v>
      </c>
      <c r="AK107" s="778">
        <f t="shared" si="5"/>
        <v>0</v>
      </c>
      <c r="AL107" s="780"/>
      <c r="AM107" s="781">
        <f t="shared" si="6"/>
        <v>0</v>
      </c>
    </row>
    <row r="108" spans="1:39" s="782" customFormat="1">
      <c r="A108" s="772" t="s">
        <v>611</v>
      </c>
      <c r="B108" s="772" t="s">
        <v>1194</v>
      </c>
      <c r="C108" s="876" t="s">
        <v>39</v>
      </c>
      <c r="D108" s="795"/>
      <c r="E108" s="778"/>
      <c r="F108" s="778"/>
      <c r="G108" s="778"/>
      <c r="H108" s="778"/>
      <c r="I108" s="777"/>
      <c r="J108" s="777"/>
      <c r="K108" s="777"/>
      <c r="L108" s="809"/>
      <c r="M108" s="809"/>
      <c r="N108" s="809"/>
      <c r="O108" s="809"/>
      <c r="Q108" s="945">
        <f>8*0.25*0.4*4.35</f>
        <v>3.48</v>
      </c>
      <c r="R108" s="797"/>
      <c r="S108" s="809"/>
      <c r="T108" s="945">
        <f>6*0.25*0.4*4.35</f>
        <v>2.6100000000000003</v>
      </c>
      <c r="U108" s="809"/>
      <c r="V108" s="809"/>
      <c r="W108" s="809"/>
      <c r="X108" s="809"/>
      <c r="Y108" s="809"/>
      <c r="Z108" s="809"/>
      <c r="AA108" s="809"/>
      <c r="AB108" s="809"/>
      <c r="AC108" s="809"/>
      <c r="AD108" s="809"/>
      <c r="AE108" s="827"/>
      <c r="AF108" s="809"/>
      <c r="AG108" s="960"/>
      <c r="AH108" s="873"/>
      <c r="AI108" s="839">
        <f t="shared" si="4"/>
        <v>6.09</v>
      </c>
      <c r="AJ108" s="777">
        <v>0</v>
      </c>
      <c r="AK108" s="778">
        <f t="shared" si="5"/>
        <v>6.09</v>
      </c>
      <c r="AL108" s="780" t="s">
        <v>1494</v>
      </c>
      <c r="AM108" s="781">
        <f t="shared" si="6"/>
        <v>-0.13999999999999968</v>
      </c>
    </row>
    <row r="109" spans="1:39" s="785" customFormat="1">
      <c r="A109" s="772" t="s">
        <v>612</v>
      </c>
      <c r="B109" s="772" t="s">
        <v>1165</v>
      </c>
      <c r="C109" s="876" t="s">
        <v>36</v>
      </c>
      <c r="D109" s="881"/>
      <c r="E109" s="783"/>
      <c r="F109" s="783"/>
      <c r="G109" s="783"/>
      <c r="H109" s="783"/>
      <c r="I109" s="779"/>
      <c r="J109" s="779"/>
      <c r="K109" s="779"/>
      <c r="L109" s="809"/>
      <c r="M109" s="809"/>
      <c r="N109" s="809"/>
      <c r="O109" s="809"/>
      <c r="Q109" s="945">
        <f>3*2*(0.25+0.4)*4.35+5*2*(2*0.25+2*0.25+2*0.15)*4.35</f>
        <v>73.515000000000001</v>
      </c>
      <c r="R109" s="945">
        <f>6*(2*0.25+2*0.15+2*0.25)*4.35</f>
        <v>33.93</v>
      </c>
      <c r="S109" s="809"/>
      <c r="T109" s="809"/>
      <c r="U109" s="809"/>
      <c r="V109" s="809"/>
      <c r="W109" s="809"/>
      <c r="X109" s="809"/>
      <c r="Y109" s="809"/>
      <c r="Z109" s="809"/>
      <c r="AA109" s="809"/>
      <c r="AB109" s="809"/>
      <c r="AC109" s="809"/>
      <c r="AD109" s="809"/>
      <c r="AE109" s="827"/>
      <c r="AF109" s="850"/>
      <c r="AG109" s="960"/>
      <c r="AH109" s="873"/>
      <c r="AI109" s="839">
        <f t="shared" si="4"/>
        <v>107.45</v>
      </c>
      <c r="AJ109" s="777">
        <v>0</v>
      </c>
      <c r="AK109" s="778">
        <f t="shared" si="5"/>
        <v>107.45</v>
      </c>
      <c r="AL109" s="784" t="s">
        <v>1495</v>
      </c>
      <c r="AM109" s="781">
        <f t="shared" si="6"/>
        <v>-29.540000000000006</v>
      </c>
    </row>
    <row r="110" spans="1:39" s="560" customFormat="1" hidden="1">
      <c r="A110" s="604" t="s">
        <v>613</v>
      </c>
      <c r="B110" s="604" t="s">
        <v>1166</v>
      </c>
      <c r="C110" s="530" t="s">
        <v>47</v>
      </c>
      <c r="D110" s="580"/>
      <c r="E110" s="778"/>
      <c r="F110" s="581"/>
      <c r="G110" s="581"/>
      <c r="H110" s="581"/>
      <c r="I110" s="949"/>
      <c r="J110" s="949"/>
      <c r="K110" s="949"/>
      <c r="L110" s="809"/>
      <c r="M110" s="575"/>
      <c r="N110" s="575"/>
      <c r="O110" s="575"/>
      <c r="P110" s="575"/>
      <c r="Q110" s="575"/>
      <c r="R110" s="575"/>
      <c r="S110" s="809"/>
      <c r="T110" s="575"/>
      <c r="U110" s="575"/>
      <c r="V110" s="575"/>
      <c r="W110" s="575"/>
      <c r="X110" s="575"/>
      <c r="Y110" s="575"/>
      <c r="Z110" s="809"/>
      <c r="AA110" s="575"/>
      <c r="AB110" s="575"/>
      <c r="AC110" s="575"/>
      <c r="AE110" s="855"/>
      <c r="AF110" s="810"/>
      <c r="AG110" s="960"/>
      <c r="AH110" s="842"/>
      <c r="AI110" s="738">
        <f t="shared" si="4"/>
        <v>0</v>
      </c>
      <c r="AJ110" s="949">
        <v>0</v>
      </c>
      <c r="AK110" s="581">
        <f t="shared" si="5"/>
        <v>0</v>
      </c>
      <c r="AL110" s="746" t="s">
        <v>1496</v>
      </c>
      <c r="AM110" s="743">
        <f t="shared" si="6"/>
        <v>2582.91</v>
      </c>
    </row>
    <row r="111" spans="1:39" s="782" customFormat="1">
      <c r="A111" s="772" t="s">
        <v>614</v>
      </c>
      <c r="B111" s="772" t="s">
        <v>1167</v>
      </c>
      <c r="C111" s="880"/>
      <c r="D111" s="795"/>
      <c r="E111" s="778"/>
      <c r="F111" s="778"/>
      <c r="G111" s="778"/>
      <c r="H111" s="778"/>
      <c r="I111" s="777"/>
      <c r="J111" s="777"/>
      <c r="K111" s="777"/>
      <c r="L111" s="809"/>
      <c r="M111" s="809"/>
      <c r="N111" s="809"/>
      <c r="O111" s="809"/>
      <c r="P111" s="809"/>
      <c r="Q111" s="809"/>
      <c r="R111" s="809"/>
      <c r="S111" s="809"/>
      <c r="T111" s="809"/>
      <c r="U111" s="809"/>
      <c r="V111" s="809"/>
      <c r="W111" s="809"/>
      <c r="X111" s="809"/>
      <c r="Y111" s="809"/>
      <c r="Z111" s="809"/>
      <c r="AA111" s="809"/>
      <c r="AB111" s="809"/>
      <c r="AC111" s="809"/>
      <c r="AD111" s="809"/>
      <c r="AE111" s="827"/>
      <c r="AF111" s="809"/>
      <c r="AG111" s="960"/>
      <c r="AH111" s="873"/>
      <c r="AI111" s="839">
        <f t="shared" si="4"/>
        <v>0</v>
      </c>
      <c r="AJ111" s="777">
        <v>0</v>
      </c>
      <c r="AK111" s="778">
        <f t="shared" si="5"/>
        <v>0</v>
      </c>
      <c r="AL111" s="780"/>
      <c r="AM111" s="781">
        <f t="shared" si="6"/>
        <v>0</v>
      </c>
    </row>
    <row r="112" spans="1:39" s="782" customFormat="1">
      <c r="A112" s="772" t="s">
        <v>615</v>
      </c>
      <c r="B112" s="772" t="s">
        <v>1168</v>
      </c>
      <c r="C112" s="876" t="s">
        <v>39</v>
      </c>
      <c r="D112" s="795"/>
      <c r="E112" s="778"/>
      <c r="F112" s="778"/>
      <c r="G112" s="778"/>
      <c r="H112" s="778"/>
      <c r="I112" s="777"/>
      <c r="J112" s="777"/>
      <c r="K112" s="777"/>
      <c r="L112" s="809"/>
      <c r="M112" s="809"/>
      <c r="N112" s="809"/>
      <c r="O112" s="809"/>
      <c r="P112" s="809"/>
      <c r="Q112" s="809"/>
      <c r="R112" s="809"/>
      <c r="S112" s="809"/>
      <c r="T112" s="809"/>
      <c r="U112" s="809"/>
      <c r="V112" s="809"/>
      <c r="W112" s="809"/>
      <c r="X112" s="809"/>
      <c r="Y112" s="809"/>
      <c r="Z112" s="809"/>
      <c r="AA112" s="809"/>
      <c r="AB112" s="809"/>
      <c r="AC112" s="809"/>
      <c r="AD112" s="809"/>
      <c r="AE112" s="827"/>
      <c r="AF112" s="809"/>
      <c r="AG112" s="960"/>
      <c r="AH112" s="873"/>
      <c r="AI112" s="839">
        <f t="shared" si="4"/>
        <v>0</v>
      </c>
      <c r="AJ112" s="777">
        <v>0</v>
      </c>
      <c r="AK112" s="778">
        <f t="shared" si="5"/>
        <v>0</v>
      </c>
      <c r="AL112" s="780" t="s">
        <v>1497</v>
      </c>
      <c r="AM112" s="781">
        <f t="shared" si="6"/>
        <v>2.82</v>
      </c>
    </row>
    <row r="113" spans="1:39" s="782" customFormat="1">
      <c r="A113" s="772" t="s">
        <v>616</v>
      </c>
      <c r="B113" s="772" t="s">
        <v>1169</v>
      </c>
      <c r="C113" s="877" t="s">
        <v>36</v>
      </c>
      <c r="D113" s="795"/>
      <c r="E113" s="778"/>
      <c r="F113" s="778"/>
      <c r="G113" s="778"/>
      <c r="H113" s="778"/>
      <c r="I113" s="777"/>
      <c r="J113" s="777"/>
      <c r="K113" s="777"/>
      <c r="L113" s="809"/>
      <c r="M113" s="809"/>
      <c r="N113" s="809"/>
      <c r="O113" s="809"/>
      <c r="P113" s="809"/>
      <c r="Q113" s="809"/>
      <c r="R113" s="809"/>
      <c r="S113" s="809"/>
      <c r="T113" s="809"/>
      <c r="U113" s="809"/>
      <c r="V113" s="809"/>
      <c r="W113" s="809"/>
      <c r="X113" s="809"/>
      <c r="Y113" s="809"/>
      <c r="Z113" s="809"/>
      <c r="AA113" s="809"/>
      <c r="AB113" s="809"/>
      <c r="AC113" s="809"/>
      <c r="AD113" s="809"/>
      <c r="AE113" s="827"/>
      <c r="AF113" s="809"/>
      <c r="AG113" s="960"/>
      <c r="AH113" s="873"/>
      <c r="AI113" s="839">
        <f t="shared" si="4"/>
        <v>0</v>
      </c>
      <c r="AJ113" s="777">
        <v>0</v>
      </c>
      <c r="AK113" s="778">
        <f t="shared" si="5"/>
        <v>0</v>
      </c>
      <c r="AL113" s="780" t="s">
        <v>1498</v>
      </c>
      <c r="AM113" s="781">
        <f t="shared" si="6"/>
        <v>35.44</v>
      </c>
    </row>
    <row r="114" spans="1:39" s="782" customFormat="1">
      <c r="A114" s="772" t="s">
        <v>617</v>
      </c>
      <c r="B114" s="772" t="s">
        <v>1170</v>
      </c>
      <c r="C114" s="876" t="s">
        <v>47</v>
      </c>
      <c r="D114" s="795"/>
      <c r="E114" s="778"/>
      <c r="F114" s="778"/>
      <c r="G114" s="778"/>
      <c r="H114" s="778"/>
      <c r="I114" s="777"/>
      <c r="J114" s="777"/>
      <c r="K114" s="777"/>
      <c r="L114" s="809"/>
      <c r="M114" s="809"/>
      <c r="N114" s="809"/>
      <c r="O114" s="809"/>
      <c r="P114" s="809"/>
      <c r="Q114" s="809"/>
      <c r="R114" s="809"/>
      <c r="S114" s="809"/>
      <c r="T114" s="809"/>
      <c r="U114" s="809"/>
      <c r="V114" s="809"/>
      <c r="W114" s="809"/>
      <c r="X114" s="809"/>
      <c r="Y114" s="809"/>
      <c r="Z114" s="809"/>
      <c r="AA114" s="809"/>
      <c r="AB114" s="809"/>
      <c r="AC114" s="809"/>
      <c r="AD114" s="809"/>
      <c r="AE114" s="827"/>
      <c r="AF114" s="809"/>
      <c r="AG114" s="960"/>
      <c r="AH114" s="873"/>
      <c r="AI114" s="839">
        <f t="shared" si="4"/>
        <v>0</v>
      </c>
      <c r="AJ114" s="777">
        <v>0</v>
      </c>
      <c r="AK114" s="778">
        <f t="shared" si="5"/>
        <v>0</v>
      </c>
      <c r="AL114" s="780" t="s">
        <v>1499</v>
      </c>
      <c r="AM114" s="781">
        <f t="shared" si="6"/>
        <v>536.94000000000005</v>
      </c>
    </row>
    <row r="115" spans="1:39" s="782" customFormat="1">
      <c r="A115" s="772" t="s">
        <v>618</v>
      </c>
      <c r="B115" s="772" t="s">
        <v>1171</v>
      </c>
      <c r="C115" s="880"/>
      <c r="D115" s="795"/>
      <c r="E115" s="778"/>
      <c r="F115" s="778"/>
      <c r="G115" s="778"/>
      <c r="H115" s="778"/>
      <c r="I115" s="777"/>
      <c r="J115" s="777"/>
      <c r="K115" s="777"/>
      <c r="L115" s="809"/>
      <c r="M115" s="809"/>
      <c r="N115" s="809"/>
      <c r="O115" s="809"/>
      <c r="P115" s="809"/>
      <c r="Q115" s="809"/>
      <c r="R115" s="809"/>
      <c r="S115" s="809"/>
      <c r="T115" s="809"/>
      <c r="U115" s="809"/>
      <c r="V115" s="809"/>
      <c r="W115" s="809"/>
      <c r="X115" s="809"/>
      <c r="Y115" s="809"/>
      <c r="Z115" s="809"/>
      <c r="AA115" s="809"/>
      <c r="AB115" s="809"/>
      <c r="AC115" s="809"/>
      <c r="AD115" s="809"/>
      <c r="AE115" s="827"/>
      <c r="AF115" s="809"/>
      <c r="AG115" s="960"/>
      <c r="AH115" s="873"/>
      <c r="AI115" s="839">
        <f t="shared" si="4"/>
        <v>0</v>
      </c>
      <c r="AJ115" s="777">
        <v>0</v>
      </c>
      <c r="AK115" s="778">
        <f t="shared" si="5"/>
        <v>0</v>
      </c>
      <c r="AL115" s="780"/>
      <c r="AM115" s="781">
        <f t="shared" si="6"/>
        <v>0</v>
      </c>
    </row>
    <row r="116" spans="1:39" s="782" customFormat="1">
      <c r="A116" s="772" t="s">
        <v>619</v>
      </c>
      <c r="B116" s="772" t="s">
        <v>1172</v>
      </c>
      <c r="C116" s="876" t="s">
        <v>39</v>
      </c>
      <c r="D116" s="795"/>
      <c r="E116" s="778"/>
      <c r="F116" s="778"/>
      <c r="G116" s="778"/>
      <c r="H116" s="778"/>
      <c r="I116" s="777"/>
      <c r="J116" s="777"/>
      <c r="K116" s="777"/>
      <c r="L116" s="809"/>
      <c r="M116" s="809"/>
      <c r="N116" s="809"/>
      <c r="O116" s="809"/>
      <c r="P116" s="809"/>
      <c r="Q116" s="809"/>
      <c r="R116" s="809"/>
      <c r="S116" s="809"/>
      <c r="T116" s="809"/>
      <c r="U116" s="809"/>
      <c r="V116" s="809"/>
      <c r="W116" s="809"/>
      <c r="X116" s="809"/>
      <c r="Y116" s="809"/>
      <c r="Z116" s="809"/>
      <c r="AA116" s="809"/>
      <c r="AB116" s="809"/>
      <c r="AC116" s="809"/>
      <c r="AD116" s="809"/>
      <c r="AE116" s="827"/>
      <c r="AF116" s="809"/>
      <c r="AG116" s="960"/>
      <c r="AH116" s="873"/>
      <c r="AI116" s="839">
        <f t="shared" si="4"/>
        <v>0</v>
      </c>
      <c r="AJ116" s="777">
        <v>0</v>
      </c>
      <c r="AK116" s="778">
        <f t="shared" si="5"/>
        <v>0</v>
      </c>
      <c r="AL116" s="780" t="s">
        <v>1500</v>
      </c>
      <c r="AM116" s="781">
        <f t="shared" si="6"/>
        <v>10.33</v>
      </c>
    </row>
    <row r="117" spans="1:39" s="782" customFormat="1">
      <c r="A117" s="772" t="s">
        <v>620</v>
      </c>
      <c r="B117" s="772" t="s">
        <v>1173</v>
      </c>
      <c r="C117" s="876" t="s">
        <v>36</v>
      </c>
      <c r="D117" s="795"/>
      <c r="E117" s="778"/>
      <c r="F117" s="778"/>
      <c r="G117" s="778"/>
      <c r="H117" s="778"/>
      <c r="I117" s="777"/>
      <c r="J117" s="777"/>
      <c r="K117" s="777"/>
      <c r="L117" s="809"/>
      <c r="M117" s="809"/>
      <c r="N117" s="809"/>
      <c r="O117" s="809"/>
      <c r="P117" s="809"/>
      <c r="Q117" s="809"/>
      <c r="R117" s="809"/>
      <c r="S117" s="809"/>
      <c r="T117" s="809"/>
      <c r="U117" s="809"/>
      <c r="V117" s="809"/>
      <c r="W117" s="945">
        <f>(2.43+2.24+2.24+2.48+2.48+2.19+2.44+2.19+2.48+2.48+2.48+2.48+2.24+2.24)*0.25+2.48*2*0.25+2.28*0.25</f>
        <v>10.082500000000001</v>
      </c>
      <c r="X117" s="945">
        <f>7*2*0.4+8*2.48*0.4</f>
        <v>13.536000000000001</v>
      </c>
      <c r="Y117" s="945">
        <f>7.54*0.4*4+18*0.4*0.2*3</f>
        <v>16.384</v>
      </c>
      <c r="Z117" s="809"/>
      <c r="AA117" s="809"/>
      <c r="AB117" s="809"/>
      <c r="AC117" s="809"/>
      <c r="AD117" s="809"/>
      <c r="AE117" s="827"/>
      <c r="AF117" s="809"/>
      <c r="AG117" s="960"/>
      <c r="AH117" s="873"/>
      <c r="AI117" s="839">
        <f t="shared" si="4"/>
        <v>40</v>
      </c>
      <c r="AJ117" s="777">
        <v>0</v>
      </c>
      <c r="AK117" s="778">
        <f t="shared" si="5"/>
        <v>40</v>
      </c>
      <c r="AL117" s="780" t="s">
        <v>1501</v>
      </c>
      <c r="AM117" s="781">
        <f t="shared" si="6"/>
        <v>76.459999999999994</v>
      </c>
    </row>
    <row r="118" spans="1:39" s="782" customFormat="1">
      <c r="A118" s="772" t="s">
        <v>621</v>
      </c>
      <c r="B118" s="772" t="s">
        <v>1174</v>
      </c>
      <c r="C118" s="876" t="s">
        <v>47</v>
      </c>
      <c r="D118" s="795"/>
      <c r="E118" s="778"/>
      <c r="F118" s="778"/>
      <c r="G118" s="778"/>
      <c r="H118" s="778"/>
      <c r="I118" s="777"/>
      <c r="J118" s="777"/>
      <c r="K118" s="777"/>
      <c r="L118" s="809"/>
      <c r="M118" s="809"/>
      <c r="N118" s="809"/>
      <c r="O118" s="809"/>
      <c r="P118" s="809"/>
      <c r="Q118" s="809"/>
      <c r="R118" s="809"/>
      <c r="S118" s="809"/>
      <c r="T118" s="809"/>
      <c r="U118" s="809"/>
      <c r="V118" s="809"/>
      <c r="W118" s="809"/>
      <c r="X118" s="809"/>
      <c r="Y118" s="809"/>
      <c r="Z118" s="809"/>
      <c r="AA118" s="809"/>
      <c r="AB118" s="809"/>
      <c r="AC118" s="809"/>
      <c r="AD118" s="809"/>
      <c r="AE118" s="827"/>
      <c r="AF118" s="809"/>
      <c r="AG118" s="960"/>
      <c r="AH118" s="873"/>
      <c r="AI118" s="839">
        <f t="shared" si="4"/>
        <v>0</v>
      </c>
      <c r="AJ118" s="777">
        <v>0</v>
      </c>
      <c r="AK118" s="778">
        <f t="shared" si="5"/>
        <v>0</v>
      </c>
      <c r="AL118" s="780" t="s">
        <v>1502</v>
      </c>
      <c r="AM118" s="781">
        <f t="shared" si="6"/>
        <v>1452.85</v>
      </c>
    </row>
    <row r="119" spans="1:39" s="782" customFormat="1">
      <c r="A119" s="772" t="s">
        <v>622</v>
      </c>
      <c r="B119" s="772" t="s">
        <v>1175</v>
      </c>
      <c r="C119" s="876"/>
      <c r="D119" s="795"/>
      <c r="E119" s="778"/>
      <c r="F119" s="778"/>
      <c r="G119" s="778"/>
      <c r="H119" s="778"/>
      <c r="I119" s="777"/>
      <c r="J119" s="777"/>
      <c r="K119" s="777"/>
      <c r="L119" s="809"/>
      <c r="M119" s="809"/>
      <c r="N119" s="809"/>
      <c r="O119" s="809"/>
      <c r="P119" s="809"/>
      <c r="Q119" s="809"/>
      <c r="R119" s="809"/>
      <c r="S119" s="809"/>
      <c r="T119" s="809"/>
      <c r="U119" s="809"/>
      <c r="V119" s="809"/>
      <c r="W119" s="809"/>
      <c r="X119" s="809"/>
      <c r="Y119" s="809"/>
      <c r="Z119" s="809"/>
      <c r="AA119" s="809"/>
      <c r="AB119" s="809"/>
      <c r="AC119" s="809"/>
      <c r="AD119" s="809"/>
      <c r="AE119" s="827"/>
      <c r="AF119" s="809"/>
      <c r="AG119" s="960"/>
      <c r="AH119" s="873"/>
      <c r="AI119" s="839">
        <f t="shared" si="4"/>
        <v>0</v>
      </c>
      <c r="AJ119" s="777">
        <v>0</v>
      </c>
      <c r="AK119" s="778">
        <f t="shared" si="5"/>
        <v>0</v>
      </c>
      <c r="AL119" s="780"/>
      <c r="AM119" s="781">
        <f t="shared" si="6"/>
        <v>0</v>
      </c>
    </row>
    <row r="120" spans="1:39" s="782" customFormat="1">
      <c r="A120" s="772" t="s">
        <v>623</v>
      </c>
      <c r="B120" s="772" t="s">
        <v>1176</v>
      </c>
      <c r="C120" s="876" t="s">
        <v>39</v>
      </c>
      <c r="D120" s="795"/>
      <c r="E120" s="778"/>
      <c r="F120" s="778"/>
      <c r="G120" s="778"/>
      <c r="H120" s="778"/>
      <c r="I120" s="777"/>
      <c r="J120" s="777"/>
      <c r="K120" s="777"/>
      <c r="L120" s="809"/>
      <c r="M120" s="809"/>
      <c r="N120" s="809"/>
      <c r="O120" s="809"/>
      <c r="P120" s="809"/>
      <c r="Q120" s="809"/>
      <c r="R120" s="809"/>
      <c r="S120" s="809"/>
      <c r="T120" s="809"/>
      <c r="U120" s="809"/>
      <c r="V120" s="809"/>
      <c r="W120" s="809"/>
      <c r="X120" s="809"/>
      <c r="Y120" s="809"/>
      <c r="Z120" s="809"/>
      <c r="AA120" s="809"/>
      <c r="AB120" s="809"/>
      <c r="AC120" s="809"/>
      <c r="AD120" s="809"/>
      <c r="AE120" s="827"/>
      <c r="AF120" s="809"/>
      <c r="AG120" s="960"/>
      <c r="AH120" s="873"/>
      <c r="AI120" s="839">
        <f t="shared" si="4"/>
        <v>0</v>
      </c>
      <c r="AJ120" s="777">
        <v>0</v>
      </c>
      <c r="AK120" s="778">
        <f t="shared" si="5"/>
        <v>0</v>
      </c>
      <c r="AL120" s="780" t="s">
        <v>1503</v>
      </c>
      <c r="AM120" s="781">
        <f t="shared" si="6"/>
        <v>8.94</v>
      </c>
    </row>
    <row r="121" spans="1:39" s="782" customFormat="1">
      <c r="A121" s="772" t="s">
        <v>624</v>
      </c>
      <c r="B121" s="772" t="s">
        <v>1177</v>
      </c>
      <c r="C121" s="876" t="s">
        <v>36</v>
      </c>
      <c r="D121" s="795"/>
      <c r="E121" s="778"/>
      <c r="F121" s="778"/>
      <c r="G121" s="778"/>
      <c r="H121" s="778"/>
      <c r="I121" s="777"/>
      <c r="J121" s="777"/>
      <c r="K121" s="777"/>
      <c r="L121" s="809"/>
      <c r="M121" s="809"/>
      <c r="N121" s="809"/>
      <c r="O121" s="809"/>
      <c r="P121" s="809"/>
      <c r="Q121" s="809"/>
      <c r="R121" s="809"/>
      <c r="S121" s="809"/>
      <c r="T121" s="809"/>
      <c r="U121" s="809"/>
      <c r="V121" s="809"/>
      <c r="W121" s="809"/>
      <c r="X121" s="809"/>
      <c r="Y121" s="809"/>
      <c r="Z121" s="809"/>
      <c r="AA121" s="809"/>
      <c r="AB121" s="797">
        <f>(2.55+2.37+2.04+1.85+1.71+1.38+1.06+0.73+0.4)*0.25*3</f>
        <v>10.567499999999999</v>
      </c>
      <c r="AC121" s="797">
        <f>(2.55+2.37+2.04+1.85+1.71+1.38+1.06+0.73+0.4)*0.25*3</f>
        <v>10.567499999999999</v>
      </c>
      <c r="AD121" s="797">
        <f>(2.55+2.37+2.04+1.85+1.71+1.38+1.06+0.73+0.4)*0.25*2</f>
        <v>7.0449999999999999</v>
      </c>
      <c r="AE121" s="797"/>
      <c r="AF121" s="797">
        <f>2.23*0.25*12</f>
        <v>6.6899999999999995</v>
      </c>
      <c r="AG121" s="777"/>
      <c r="AH121" s="797">
        <f>7*0.25*2.19</f>
        <v>3.8325</v>
      </c>
      <c r="AI121" s="839">
        <f t="shared" si="4"/>
        <v>34.869999999999997</v>
      </c>
      <c r="AJ121" s="777">
        <v>0</v>
      </c>
      <c r="AK121" s="778">
        <f t="shared" si="5"/>
        <v>34.869999999999997</v>
      </c>
      <c r="AL121" s="780" t="s">
        <v>1504</v>
      </c>
      <c r="AM121" s="781">
        <f t="shared" si="6"/>
        <v>67.300000000000011</v>
      </c>
    </row>
    <row r="122" spans="1:39" s="782" customFormat="1">
      <c r="A122" s="772" t="s">
        <v>625</v>
      </c>
      <c r="B122" s="772" t="s">
        <v>1178</v>
      </c>
      <c r="C122" s="876" t="s">
        <v>47</v>
      </c>
      <c r="D122" s="795"/>
      <c r="E122" s="778"/>
      <c r="F122" s="778"/>
      <c r="G122" s="778"/>
      <c r="H122" s="778"/>
      <c r="I122" s="777"/>
      <c r="J122" s="777"/>
      <c r="K122" s="777"/>
      <c r="L122" s="809"/>
      <c r="M122" s="809"/>
      <c r="N122" s="809"/>
      <c r="O122" s="809"/>
      <c r="P122" s="809"/>
      <c r="Q122" s="809"/>
      <c r="R122" s="809"/>
      <c r="S122" s="809"/>
      <c r="T122" s="809"/>
      <c r="U122" s="809"/>
      <c r="V122" s="809"/>
      <c r="W122" s="809"/>
      <c r="X122" s="809"/>
      <c r="Y122" s="809"/>
      <c r="Z122" s="809"/>
      <c r="AA122" s="809"/>
      <c r="AB122" s="809"/>
      <c r="AC122" s="809"/>
      <c r="AD122" s="809"/>
      <c r="AE122" s="827"/>
      <c r="AF122" s="809"/>
      <c r="AG122" s="960"/>
      <c r="AH122" s="873"/>
      <c r="AI122" s="839">
        <f t="shared" si="4"/>
        <v>0</v>
      </c>
      <c r="AJ122" s="777">
        <v>0</v>
      </c>
      <c r="AK122" s="778">
        <f t="shared" si="5"/>
        <v>0</v>
      </c>
      <c r="AL122" s="780" t="s">
        <v>1505</v>
      </c>
      <c r="AM122" s="781">
        <f t="shared" si="6"/>
        <v>1062.45</v>
      </c>
    </row>
    <row r="123" spans="1:39" s="782" customFormat="1">
      <c r="A123" s="772" t="s">
        <v>626</v>
      </c>
      <c r="B123" s="772" t="s">
        <v>1179</v>
      </c>
      <c r="C123" s="876" t="s">
        <v>1436</v>
      </c>
      <c r="D123" s="795"/>
      <c r="E123" s="778"/>
      <c r="F123" s="778"/>
      <c r="G123" s="778"/>
      <c r="H123" s="778"/>
      <c r="I123" s="777"/>
      <c r="J123" s="777"/>
      <c r="K123" s="777"/>
      <c r="L123" s="809"/>
      <c r="M123" s="809"/>
      <c r="N123" s="809"/>
      <c r="O123" s="809"/>
      <c r="P123" s="809"/>
      <c r="Q123" s="809"/>
      <c r="R123" s="809"/>
      <c r="S123" s="809"/>
      <c r="T123" s="809"/>
      <c r="U123" s="809"/>
      <c r="V123" s="809"/>
      <c r="W123" s="809"/>
      <c r="X123" s="809"/>
      <c r="Y123" s="809"/>
      <c r="Z123" s="809"/>
      <c r="AA123" s="809"/>
      <c r="AB123" s="809"/>
      <c r="AC123" s="809"/>
      <c r="AD123" s="809"/>
      <c r="AE123" s="827"/>
      <c r="AF123" s="809"/>
      <c r="AG123" s="960"/>
      <c r="AH123" s="873"/>
      <c r="AI123" s="839">
        <f t="shared" si="4"/>
        <v>0</v>
      </c>
      <c r="AJ123" s="777">
        <v>0</v>
      </c>
      <c r="AK123" s="778">
        <f t="shared" si="5"/>
        <v>0</v>
      </c>
      <c r="AL123" s="780" t="s">
        <v>1506</v>
      </c>
      <c r="AM123" s="781">
        <f t="shared" si="6"/>
        <v>851.11</v>
      </c>
    </row>
    <row r="124" spans="1:39" s="782" customFormat="1">
      <c r="A124" s="772" t="s">
        <v>627</v>
      </c>
      <c r="B124" s="772" t="s">
        <v>1180</v>
      </c>
      <c r="C124" s="880"/>
      <c r="D124" s="795"/>
      <c r="E124" s="778"/>
      <c r="F124" s="778"/>
      <c r="G124" s="778"/>
      <c r="H124" s="778"/>
      <c r="I124" s="777"/>
      <c r="J124" s="777"/>
      <c r="K124" s="777"/>
      <c r="L124" s="809"/>
      <c r="M124" s="809"/>
      <c r="N124" s="809"/>
      <c r="O124" s="809"/>
      <c r="P124" s="809"/>
      <c r="Q124" s="809"/>
      <c r="R124" s="809"/>
      <c r="S124" s="809"/>
      <c r="T124" s="809"/>
      <c r="U124" s="809"/>
      <c r="V124" s="809"/>
      <c r="W124" s="809"/>
      <c r="X124" s="809"/>
      <c r="Y124" s="809"/>
      <c r="Z124" s="809"/>
      <c r="AA124" s="809"/>
      <c r="AB124" s="809"/>
      <c r="AC124" s="809"/>
      <c r="AD124" s="809"/>
      <c r="AE124" s="827"/>
      <c r="AF124" s="809"/>
      <c r="AG124" s="960"/>
      <c r="AH124" s="873"/>
      <c r="AI124" s="839">
        <f t="shared" si="4"/>
        <v>0</v>
      </c>
      <c r="AJ124" s="777">
        <v>0</v>
      </c>
      <c r="AK124" s="778">
        <f t="shared" si="5"/>
        <v>0</v>
      </c>
      <c r="AL124" s="780"/>
      <c r="AM124" s="781">
        <f t="shared" si="6"/>
        <v>0</v>
      </c>
    </row>
    <row r="125" spans="1:39" s="782" customFormat="1">
      <c r="A125" s="772" t="s">
        <v>628</v>
      </c>
      <c r="B125" s="772" t="s">
        <v>1181</v>
      </c>
      <c r="C125" s="876" t="s">
        <v>39</v>
      </c>
      <c r="D125" s="795"/>
      <c r="E125" s="778"/>
      <c r="F125" s="778"/>
      <c r="G125" s="778"/>
      <c r="H125" s="778"/>
      <c r="I125" s="777"/>
      <c r="J125" s="777"/>
      <c r="K125" s="777"/>
      <c r="L125" s="809"/>
      <c r="M125" s="809"/>
      <c r="N125" s="809"/>
      <c r="O125" s="809"/>
      <c r="P125" s="809"/>
      <c r="Q125" s="809"/>
      <c r="R125" s="809"/>
      <c r="S125" s="809"/>
      <c r="T125" s="809"/>
      <c r="U125" s="809"/>
      <c r="V125" s="809"/>
      <c r="W125" s="809"/>
      <c r="X125" s="809"/>
      <c r="Y125" s="809"/>
      <c r="Z125" s="809"/>
      <c r="AA125" s="809"/>
      <c r="AB125" s="809"/>
      <c r="AC125" s="809"/>
      <c r="AD125" s="809"/>
      <c r="AE125" s="827"/>
      <c r="AF125" s="809"/>
      <c r="AG125" s="960"/>
      <c r="AH125" s="873"/>
      <c r="AI125" s="839">
        <f t="shared" si="4"/>
        <v>0</v>
      </c>
      <c r="AJ125" s="777">
        <v>0</v>
      </c>
      <c r="AK125" s="778">
        <f t="shared" si="5"/>
        <v>0</v>
      </c>
      <c r="AL125" s="780" t="s">
        <v>1507</v>
      </c>
      <c r="AM125" s="781">
        <f t="shared" si="6"/>
        <v>2.66</v>
      </c>
    </row>
    <row r="126" spans="1:39" s="782" customFormat="1">
      <c r="A126" s="772" t="s">
        <v>629</v>
      </c>
      <c r="B126" s="772" t="s">
        <v>1182</v>
      </c>
      <c r="C126" s="876" t="s">
        <v>36</v>
      </c>
      <c r="D126" s="795"/>
      <c r="E126" s="778"/>
      <c r="F126" s="778"/>
      <c r="G126" s="778"/>
      <c r="H126" s="778"/>
      <c r="I126" s="777"/>
      <c r="J126" s="777"/>
      <c r="K126" s="777"/>
      <c r="L126" s="809"/>
      <c r="M126" s="809"/>
      <c r="N126" s="809"/>
      <c r="O126" s="809"/>
      <c r="P126" s="809"/>
      <c r="Q126" s="809"/>
      <c r="R126" s="809"/>
      <c r="S126" s="809"/>
      <c r="T126" s="809"/>
      <c r="U126" s="809"/>
      <c r="V126" s="809"/>
      <c r="W126" s="809"/>
      <c r="X126" s="809"/>
      <c r="Y126" s="809"/>
      <c r="Z126" s="809"/>
      <c r="AA126" s="809"/>
      <c r="AB126" s="809"/>
      <c r="AC126" s="809"/>
      <c r="AD126" s="809"/>
      <c r="AE126" s="827"/>
      <c r="AF126" s="809"/>
      <c r="AG126" s="960"/>
      <c r="AH126" s="873"/>
      <c r="AI126" s="839">
        <f t="shared" si="4"/>
        <v>0</v>
      </c>
      <c r="AJ126" s="777">
        <v>0</v>
      </c>
      <c r="AK126" s="778">
        <f t="shared" si="5"/>
        <v>0</v>
      </c>
      <c r="AL126" s="780" t="s">
        <v>1498</v>
      </c>
      <c r="AM126" s="781">
        <f t="shared" si="6"/>
        <v>35.44</v>
      </c>
    </row>
    <row r="127" spans="1:39" s="782" customFormat="1">
      <c r="A127" s="772" t="s">
        <v>630</v>
      </c>
      <c r="B127" s="772" t="s">
        <v>1183</v>
      </c>
      <c r="C127" s="876" t="s">
        <v>47</v>
      </c>
      <c r="D127" s="795"/>
      <c r="E127" s="778"/>
      <c r="F127" s="778"/>
      <c r="G127" s="778"/>
      <c r="H127" s="778"/>
      <c r="I127" s="777"/>
      <c r="J127" s="777"/>
      <c r="K127" s="777"/>
      <c r="L127" s="809"/>
      <c r="M127" s="809"/>
      <c r="N127" s="809"/>
      <c r="O127" s="809"/>
      <c r="P127" s="809"/>
      <c r="Q127" s="809"/>
      <c r="R127" s="809"/>
      <c r="S127" s="809"/>
      <c r="T127" s="809"/>
      <c r="U127" s="809"/>
      <c r="V127" s="809"/>
      <c r="W127" s="809"/>
      <c r="X127" s="809"/>
      <c r="Y127" s="809"/>
      <c r="Z127" s="809"/>
      <c r="AA127" s="809"/>
      <c r="AB127" s="809"/>
      <c r="AC127" s="809"/>
      <c r="AD127" s="809"/>
      <c r="AE127" s="827"/>
      <c r="AF127" s="809"/>
      <c r="AG127" s="960"/>
      <c r="AH127" s="873"/>
      <c r="AI127" s="839">
        <f t="shared" si="4"/>
        <v>0</v>
      </c>
      <c r="AJ127" s="777">
        <v>0</v>
      </c>
      <c r="AK127" s="778">
        <f t="shared" si="5"/>
        <v>0</v>
      </c>
      <c r="AL127" s="780" t="s">
        <v>1508</v>
      </c>
      <c r="AM127" s="781">
        <f t="shared" si="6"/>
        <v>179.59</v>
      </c>
    </row>
    <row r="128" spans="1:39" s="782" customFormat="1">
      <c r="A128" s="885" t="s">
        <v>631</v>
      </c>
      <c r="B128" s="885" t="s">
        <v>1184</v>
      </c>
      <c r="C128" s="880"/>
      <c r="D128" s="795"/>
      <c r="E128" s="778"/>
      <c r="F128" s="778"/>
      <c r="G128" s="778"/>
      <c r="H128" s="778"/>
      <c r="I128" s="777"/>
      <c r="J128" s="777"/>
      <c r="K128" s="777"/>
      <c r="L128" s="809"/>
      <c r="M128" s="809"/>
      <c r="N128" s="809"/>
      <c r="O128" s="809"/>
      <c r="P128" s="809"/>
      <c r="Q128" s="809"/>
      <c r="R128" s="809"/>
      <c r="S128" s="809"/>
      <c r="T128" s="809"/>
      <c r="U128" s="809"/>
      <c r="V128" s="809"/>
      <c r="W128" s="809"/>
      <c r="X128" s="809"/>
      <c r="Y128" s="809"/>
      <c r="Z128" s="809"/>
      <c r="AA128" s="809"/>
      <c r="AB128" s="809"/>
      <c r="AC128" s="809"/>
      <c r="AD128" s="809"/>
      <c r="AE128" s="827"/>
      <c r="AF128" s="809"/>
      <c r="AG128" s="960"/>
      <c r="AH128" s="873"/>
      <c r="AI128" s="839">
        <f t="shared" si="4"/>
        <v>0</v>
      </c>
      <c r="AJ128" s="777">
        <v>0</v>
      </c>
      <c r="AK128" s="778">
        <f t="shared" si="5"/>
        <v>0</v>
      </c>
      <c r="AL128" s="780"/>
      <c r="AM128" s="781">
        <f t="shared" si="6"/>
        <v>0</v>
      </c>
    </row>
    <row r="129" spans="1:39" s="782" customFormat="1">
      <c r="A129" s="772" t="s">
        <v>632</v>
      </c>
      <c r="B129" s="772" t="s">
        <v>1185</v>
      </c>
      <c r="C129" s="876" t="s">
        <v>37</v>
      </c>
      <c r="D129" s="795"/>
      <c r="E129" s="778"/>
      <c r="F129" s="778"/>
      <c r="G129" s="778"/>
      <c r="H129" s="778"/>
      <c r="I129" s="777"/>
      <c r="J129" s="777"/>
      <c r="K129" s="777"/>
      <c r="L129" s="809"/>
      <c r="M129" s="809"/>
      <c r="N129" s="809"/>
      <c r="O129" s="809"/>
      <c r="P129" s="809"/>
      <c r="Q129" s="809"/>
      <c r="R129" s="809"/>
      <c r="S129" s="809"/>
      <c r="T129" s="809"/>
      <c r="U129" s="809"/>
      <c r="V129" s="809"/>
      <c r="W129" s="809"/>
      <c r="X129" s="809"/>
      <c r="Y129" s="809"/>
      <c r="Z129" s="809"/>
      <c r="AA129" s="809"/>
      <c r="AB129" s="809"/>
      <c r="AC129" s="809"/>
      <c r="AD129" s="809"/>
      <c r="AE129" s="827"/>
      <c r="AF129" s="809"/>
      <c r="AG129" s="960"/>
      <c r="AH129" s="873"/>
      <c r="AI129" s="839">
        <f t="shared" si="4"/>
        <v>0</v>
      </c>
      <c r="AJ129" s="777">
        <v>0</v>
      </c>
      <c r="AK129" s="778">
        <f t="shared" si="5"/>
        <v>0</v>
      </c>
      <c r="AL129" s="780" t="s">
        <v>1509</v>
      </c>
      <c r="AM129" s="781">
        <f t="shared" si="6"/>
        <v>158.4</v>
      </c>
    </row>
    <row r="130" spans="1:39" s="785" customFormat="1">
      <c r="A130" s="885" t="s">
        <v>633</v>
      </c>
      <c r="B130" s="885" t="s">
        <v>1186</v>
      </c>
      <c r="C130" s="898"/>
      <c r="D130" s="881"/>
      <c r="E130" s="783"/>
      <c r="F130" s="783"/>
      <c r="G130" s="783"/>
      <c r="H130" s="783"/>
      <c r="I130" s="779"/>
      <c r="J130" s="779"/>
      <c r="K130" s="779"/>
      <c r="L130" s="809"/>
      <c r="M130" s="809"/>
      <c r="N130" s="809"/>
      <c r="O130" s="809"/>
      <c r="P130" s="809"/>
      <c r="Q130" s="809"/>
      <c r="R130" s="809"/>
      <c r="S130" s="809"/>
      <c r="T130" s="809"/>
      <c r="U130" s="809"/>
      <c r="V130" s="809"/>
      <c r="W130" s="809"/>
      <c r="X130" s="809"/>
      <c r="Y130" s="809"/>
      <c r="Z130" s="809"/>
      <c r="AA130" s="809"/>
      <c r="AB130" s="809"/>
      <c r="AC130" s="809"/>
      <c r="AD130" s="809"/>
      <c r="AE130" s="827"/>
      <c r="AF130" s="809"/>
      <c r="AG130" s="960"/>
      <c r="AH130" s="873"/>
      <c r="AI130" s="839">
        <f t="shared" si="4"/>
        <v>0</v>
      </c>
      <c r="AJ130" s="777">
        <v>0</v>
      </c>
      <c r="AK130" s="778">
        <f t="shared" si="5"/>
        <v>0</v>
      </c>
      <c r="AL130" s="784"/>
      <c r="AM130" s="781">
        <f t="shared" si="6"/>
        <v>0</v>
      </c>
    </row>
    <row r="131" spans="1:39" s="785" customFormat="1">
      <c r="A131" s="772" t="s">
        <v>634</v>
      </c>
      <c r="B131" s="772" t="s">
        <v>1187</v>
      </c>
      <c r="C131" s="876" t="s">
        <v>37</v>
      </c>
      <c r="D131" s="881"/>
      <c r="E131" s="783"/>
      <c r="F131" s="783"/>
      <c r="G131" s="783"/>
      <c r="H131" s="783"/>
      <c r="I131" s="779"/>
      <c r="J131" s="779"/>
      <c r="K131" s="779"/>
      <c r="L131" s="809"/>
      <c r="M131" s="809"/>
      <c r="N131" s="809"/>
      <c r="O131" s="809"/>
      <c r="P131" s="809"/>
      <c r="Q131" s="809"/>
      <c r="R131" s="809"/>
      <c r="S131" s="809"/>
      <c r="T131" s="809"/>
      <c r="U131" s="809"/>
      <c r="V131" s="809"/>
      <c r="W131" s="809"/>
      <c r="X131" s="809"/>
      <c r="Y131" s="809"/>
      <c r="Z131" s="809"/>
      <c r="AA131" s="809"/>
      <c r="AB131" s="809"/>
      <c r="AC131" s="809"/>
      <c r="AD131" s="809"/>
      <c r="AE131" s="827"/>
      <c r="AF131" s="809"/>
      <c r="AG131" s="960"/>
      <c r="AH131" s="873"/>
      <c r="AI131" s="839">
        <f t="shared" si="4"/>
        <v>0</v>
      </c>
      <c r="AJ131" s="777">
        <v>0</v>
      </c>
      <c r="AK131" s="778">
        <f t="shared" si="5"/>
        <v>0</v>
      </c>
      <c r="AL131" s="784" t="s">
        <v>1510</v>
      </c>
      <c r="AM131" s="781">
        <f t="shared" si="6"/>
        <v>83.2</v>
      </c>
    </row>
    <row r="132" spans="1:39" s="782" customFormat="1">
      <c r="A132" s="772" t="s">
        <v>635</v>
      </c>
      <c r="B132" s="772" t="s">
        <v>224</v>
      </c>
      <c r="C132" s="876" t="s">
        <v>1436</v>
      </c>
      <c r="D132" s="795"/>
      <c r="E132" s="778"/>
      <c r="F132" s="778"/>
      <c r="G132" s="778"/>
      <c r="H132" s="778"/>
      <c r="I132" s="777"/>
      <c r="J132" s="777"/>
      <c r="K132" s="777"/>
      <c r="L132" s="809"/>
      <c r="M132" s="809"/>
      <c r="N132" s="809"/>
      <c r="O132" s="809"/>
      <c r="P132" s="809"/>
      <c r="Q132" s="809"/>
      <c r="R132" s="809"/>
      <c r="S132" s="809"/>
      <c r="T132" s="809"/>
      <c r="U132" s="809"/>
      <c r="V132" s="809"/>
      <c r="W132" s="809"/>
      <c r="X132" s="809"/>
      <c r="Y132" s="809"/>
      <c r="Z132" s="809"/>
      <c r="AA132" s="809"/>
      <c r="AB132" s="809"/>
      <c r="AC132" s="809"/>
      <c r="AD132" s="809"/>
      <c r="AE132" s="827"/>
      <c r="AF132" s="809"/>
      <c r="AG132" s="960"/>
      <c r="AH132" s="873"/>
      <c r="AI132" s="839">
        <f t="shared" si="4"/>
        <v>0</v>
      </c>
      <c r="AJ132" s="777">
        <v>0</v>
      </c>
      <c r="AK132" s="778">
        <f t="shared" si="5"/>
        <v>0</v>
      </c>
      <c r="AL132" s="780" t="s">
        <v>1479</v>
      </c>
      <c r="AM132" s="781">
        <f t="shared" si="6"/>
        <v>15</v>
      </c>
    </row>
    <row r="133" spans="1:39" s="782" customFormat="1">
      <c r="A133" s="868" t="s">
        <v>51</v>
      </c>
      <c r="B133" s="869" t="s">
        <v>1195</v>
      </c>
      <c r="C133" s="880"/>
      <c r="D133" s="795"/>
      <c r="E133" s="778"/>
      <c r="F133" s="778"/>
      <c r="G133" s="778"/>
      <c r="H133" s="778"/>
      <c r="I133" s="777"/>
      <c r="J133" s="777"/>
      <c r="K133" s="777"/>
      <c r="L133" s="809"/>
      <c r="M133" s="809"/>
      <c r="N133" s="809"/>
      <c r="O133" s="809"/>
      <c r="P133" s="809"/>
      <c r="Q133" s="809"/>
      <c r="R133" s="809"/>
      <c r="S133" s="809"/>
      <c r="T133" s="809"/>
      <c r="U133" s="809"/>
      <c r="V133" s="809"/>
      <c r="W133" s="809"/>
      <c r="X133" s="809"/>
      <c r="Y133" s="809"/>
      <c r="Z133" s="809"/>
      <c r="AA133" s="809"/>
      <c r="AB133" s="809"/>
      <c r="AC133" s="809"/>
      <c r="AD133" s="809"/>
      <c r="AE133" s="827"/>
      <c r="AF133" s="809"/>
      <c r="AG133" s="960"/>
      <c r="AH133" s="873"/>
      <c r="AI133" s="839">
        <f t="shared" si="4"/>
        <v>0</v>
      </c>
      <c r="AJ133" s="777">
        <v>0</v>
      </c>
      <c r="AK133" s="778">
        <f t="shared" si="5"/>
        <v>0</v>
      </c>
      <c r="AL133" s="780"/>
      <c r="AM133" s="781">
        <f t="shared" si="6"/>
        <v>0</v>
      </c>
    </row>
    <row r="134" spans="1:39" s="782" customFormat="1">
      <c r="A134" s="885" t="s">
        <v>55</v>
      </c>
      <c r="B134" s="885" t="s">
        <v>45</v>
      </c>
      <c r="C134" s="898"/>
      <c r="D134" s="795"/>
      <c r="E134" s="778"/>
      <c r="F134" s="778"/>
      <c r="G134" s="778"/>
      <c r="H134" s="778"/>
      <c r="I134" s="777"/>
      <c r="J134" s="777"/>
      <c r="K134" s="777"/>
      <c r="L134" s="797"/>
      <c r="M134" s="797"/>
      <c r="N134" s="797"/>
      <c r="O134" s="797"/>
      <c r="P134" s="797"/>
      <c r="Q134" s="797"/>
      <c r="R134" s="797"/>
      <c r="S134" s="797"/>
      <c r="T134" s="797"/>
      <c r="U134" s="797"/>
      <c r="V134" s="797"/>
      <c r="W134" s="797"/>
      <c r="X134" s="797"/>
      <c r="Y134" s="797"/>
      <c r="Z134" s="797"/>
      <c r="AA134" s="797"/>
      <c r="AB134" s="797"/>
      <c r="AC134" s="797"/>
      <c r="AD134" s="797"/>
      <c r="AE134" s="827"/>
      <c r="AF134" s="797"/>
      <c r="AG134" s="962"/>
      <c r="AH134" s="899"/>
      <c r="AI134" s="839">
        <f t="shared" si="4"/>
        <v>0</v>
      </c>
      <c r="AJ134" s="777">
        <v>0</v>
      </c>
      <c r="AK134" s="778">
        <f t="shared" si="5"/>
        <v>0</v>
      </c>
      <c r="AL134" s="780" t="s">
        <v>1511</v>
      </c>
      <c r="AM134" s="781">
        <f t="shared" si="6"/>
        <v>28.51</v>
      </c>
    </row>
    <row r="135" spans="1:39" s="560" customFormat="1" hidden="1">
      <c r="A135" s="604" t="s">
        <v>636</v>
      </c>
      <c r="B135" s="604" t="s">
        <v>1142</v>
      </c>
      <c r="C135" s="614" t="s">
        <v>39</v>
      </c>
      <c r="D135" s="580"/>
      <c r="E135" s="778"/>
      <c r="F135" s="581"/>
      <c r="G135" s="581"/>
      <c r="H135" s="581"/>
      <c r="I135" s="949"/>
      <c r="J135" s="949"/>
      <c r="K135" s="949"/>
      <c r="L135" s="797"/>
      <c r="M135" s="583"/>
      <c r="N135" s="583"/>
      <c r="O135" s="583"/>
      <c r="P135" s="583"/>
      <c r="Q135" s="583"/>
      <c r="R135" s="583"/>
      <c r="S135" s="797"/>
      <c r="T135" s="583"/>
      <c r="U135" s="583"/>
      <c r="V135" s="583"/>
      <c r="W135" s="583"/>
      <c r="X135" s="583"/>
      <c r="Y135" s="583"/>
      <c r="Z135" s="797"/>
      <c r="AA135" s="583"/>
      <c r="AB135" s="583"/>
      <c r="AC135" s="583"/>
      <c r="AD135" s="583"/>
      <c r="AE135" s="827"/>
      <c r="AF135" s="583"/>
      <c r="AG135" s="962"/>
      <c r="AH135" s="843"/>
      <c r="AI135" s="738">
        <f t="shared" si="4"/>
        <v>0</v>
      </c>
      <c r="AJ135" s="949">
        <v>0</v>
      </c>
      <c r="AK135" s="581">
        <f t="shared" si="5"/>
        <v>0</v>
      </c>
      <c r="AL135" s="746" t="s">
        <v>1512</v>
      </c>
      <c r="AM135" s="743">
        <f t="shared" si="6"/>
        <v>19.8</v>
      </c>
    </row>
    <row r="136" spans="1:39" s="579" customFormat="1" hidden="1">
      <c r="A136" s="604" t="s">
        <v>637</v>
      </c>
      <c r="B136" s="604" t="s">
        <v>1143</v>
      </c>
      <c r="C136" s="614" t="s">
        <v>39</v>
      </c>
      <c r="D136" s="586"/>
      <c r="E136" s="783"/>
      <c r="F136" s="587"/>
      <c r="G136" s="587"/>
      <c r="H136" s="587"/>
      <c r="I136" s="588"/>
      <c r="J136" s="588"/>
      <c r="K136" s="588"/>
      <c r="L136" s="797"/>
      <c r="M136" s="583"/>
      <c r="N136" s="583"/>
      <c r="O136" s="583"/>
      <c r="P136" s="583"/>
      <c r="Q136" s="583"/>
      <c r="R136" s="583"/>
      <c r="S136" s="797"/>
      <c r="T136" s="583"/>
      <c r="U136" s="583"/>
      <c r="V136" s="583"/>
      <c r="W136" s="583"/>
      <c r="X136" s="583"/>
      <c r="Y136" s="583"/>
      <c r="Z136" s="797"/>
      <c r="AA136" s="583"/>
      <c r="AB136" s="583"/>
      <c r="AC136" s="583"/>
      <c r="AD136" s="583"/>
      <c r="AE136" s="827"/>
      <c r="AF136" s="583"/>
      <c r="AG136" s="962"/>
      <c r="AH136" s="843"/>
      <c r="AI136" s="738">
        <f t="shared" si="4"/>
        <v>0</v>
      </c>
      <c r="AJ136" s="949">
        <v>0</v>
      </c>
      <c r="AK136" s="581">
        <f t="shared" si="5"/>
        <v>0</v>
      </c>
      <c r="AL136" s="747" t="s">
        <v>1513</v>
      </c>
      <c r="AM136" s="743">
        <f t="shared" si="6"/>
        <v>34.56</v>
      </c>
    </row>
    <row r="137" spans="1:39" s="782" customFormat="1">
      <c r="A137" s="772" t="s">
        <v>638</v>
      </c>
      <c r="B137" s="772" t="s">
        <v>1144</v>
      </c>
      <c r="C137" s="877" t="s">
        <v>39</v>
      </c>
      <c r="D137" s="795"/>
      <c r="E137" s="778"/>
      <c r="F137" s="778"/>
      <c r="G137" s="778"/>
      <c r="H137" s="922"/>
      <c r="I137" s="777"/>
      <c r="J137" s="777"/>
      <c r="K137" s="777"/>
      <c r="L137" s="797"/>
      <c r="M137" s="797"/>
      <c r="N137" s="797"/>
      <c r="O137" s="797"/>
      <c r="P137" s="797"/>
      <c r="Q137" s="797"/>
      <c r="R137" s="797"/>
      <c r="S137" s="797"/>
      <c r="T137" s="797"/>
      <c r="U137" s="797"/>
      <c r="V137" s="797"/>
      <c r="W137" s="797"/>
      <c r="X137" s="797"/>
      <c r="Y137" s="797"/>
      <c r="Z137" s="797"/>
      <c r="AA137" s="797"/>
      <c r="AB137" s="797"/>
      <c r="AC137" s="797"/>
      <c r="AD137" s="797"/>
      <c r="AE137" s="827"/>
      <c r="AF137" s="797"/>
      <c r="AG137" s="962"/>
      <c r="AH137" s="899"/>
      <c r="AI137" s="839">
        <f t="shared" si="4"/>
        <v>0</v>
      </c>
      <c r="AJ137" s="777">
        <v>0</v>
      </c>
      <c r="AK137" s="778">
        <f t="shared" si="5"/>
        <v>0</v>
      </c>
      <c r="AL137" s="780" t="s">
        <v>1514</v>
      </c>
      <c r="AM137" s="781">
        <f t="shared" si="6"/>
        <v>72.33</v>
      </c>
    </row>
    <row r="138" spans="1:39" s="782" customFormat="1">
      <c r="A138" s="772" t="s">
        <v>639</v>
      </c>
      <c r="B138" s="772" t="s">
        <v>1145</v>
      </c>
      <c r="C138" s="877" t="s">
        <v>36</v>
      </c>
      <c r="D138" s="795"/>
      <c r="E138" s="778"/>
      <c r="F138" s="778"/>
      <c r="G138" s="778"/>
      <c r="H138" s="922"/>
      <c r="I138" s="777"/>
      <c r="J138" s="777"/>
      <c r="K138" s="777"/>
      <c r="L138" s="797"/>
      <c r="M138" s="797"/>
      <c r="N138" s="797"/>
      <c r="O138" s="797"/>
      <c r="P138" s="797"/>
      <c r="Q138" s="797"/>
      <c r="R138" s="797"/>
      <c r="S138" s="797"/>
      <c r="T138" s="797"/>
      <c r="U138" s="797"/>
      <c r="V138" s="797"/>
      <c r="W138" s="797"/>
      <c r="X138" s="797"/>
      <c r="Y138" s="797"/>
      <c r="Z138" s="797"/>
      <c r="AA138" s="797"/>
      <c r="AB138" s="797"/>
      <c r="AC138" s="797"/>
      <c r="AD138" s="797"/>
      <c r="AE138" s="827"/>
      <c r="AF138" s="797"/>
      <c r="AG138" s="962"/>
      <c r="AH138" s="899"/>
      <c r="AI138" s="839">
        <f t="shared" si="4"/>
        <v>0</v>
      </c>
      <c r="AJ138" s="777">
        <v>0</v>
      </c>
      <c r="AK138" s="778">
        <f t="shared" si="5"/>
        <v>0</v>
      </c>
      <c r="AL138" s="780" t="s">
        <v>1515</v>
      </c>
      <c r="AM138" s="781">
        <f t="shared" si="6"/>
        <v>17.190000000000001</v>
      </c>
    </row>
    <row r="139" spans="1:39" s="782" customFormat="1">
      <c r="A139" s="772" t="s">
        <v>640</v>
      </c>
      <c r="B139" s="772" t="s">
        <v>1146</v>
      </c>
      <c r="C139" s="877" t="s">
        <v>39</v>
      </c>
      <c r="D139" s="795"/>
      <c r="E139" s="778"/>
      <c r="F139" s="778"/>
      <c r="G139" s="778"/>
      <c r="H139" s="922"/>
      <c r="I139" s="777"/>
      <c r="J139" s="777"/>
      <c r="K139" s="777"/>
      <c r="L139" s="809"/>
      <c r="M139" s="809"/>
      <c r="N139" s="809"/>
      <c r="O139" s="809"/>
      <c r="P139" s="809"/>
      <c r="Q139" s="809"/>
      <c r="R139" s="809"/>
      <c r="S139" s="809"/>
      <c r="T139" s="809"/>
      <c r="U139" s="809"/>
      <c r="V139" s="809"/>
      <c r="W139" s="809"/>
      <c r="X139" s="809"/>
      <c r="Y139" s="809"/>
      <c r="Z139" s="809"/>
      <c r="AA139" s="809"/>
      <c r="AB139" s="809"/>
      <c r="AC139" s="809"/>
      <c r="AD139" s="809"/>
      <c r="AE139" s="827"/>
      <c r="AF139" s="809"/>
      <c r="AG139" s="960"/>
      <c r="AH139" s="873"/>
      <c r="AI139" s="839">
        <f t="shared" ref="AI139:AI202" si="7">ROUND((SUM(D139:AG139)),2)</f>
        <v>0</v>
      </c>
      <c r="AJ139" s="777">
        <v>0</v>
      </c>
      <c r="AK139" s="778">
        <f t="shared" si="5"/>
        <v>0</v>
      </c>
      <c r="AL139" s="780" t="s">
        <v>1515</v>
      </c>
      <c r="AM139" s="781">
        <f t="shared" si="6"/>
        <v>17.190000000000001</v>
      </c>
    </row>
    <row r="140" spans="1:39" s="897" customFormat="1">
      <c r="A140" s="886" t="s">
        <v>641</v>
      </c>
      <c r="B140" s="886" t="s">
        <v>1147</v>
      </c>
      <c r="C140" s="900" t="s">
        <v>39</v>
      </c>
      <c r="D140" s="888"/>
      <c r="E140" s="889"/>
      <c r="F140" s="889"/>
      <c r="G140" s="889"/>
      <c r="H140" s="889"/>
      <c r="I140" s="890"/>
      <c r="J140" s="890"/>
      <c r="K140" s="890"/>
      <c r="L140" s="891"/>
      <c r="M140" s="891"/>
      <c r="N140" s="891"/>
      <c r="O140" s="891"/>
      <c r="P140" s="891"/>
      <c r="Q140" s="891"/>
      <c r="R140" s="891"/>
      <c r="S140" s="891"/>
      <c r="T140" s="891"/>
      <c r="U140" s="891"/>
      <c r="V140" s="891"/>
      <c r="W140" s="891"/>
      <c r="X140" s="891"/>
      <c r="Y140" s="891"/>
      <c r="Z140" s="891"/>
      <c r="AA140" s="891"/>
      <c r="AB140" s="891"/>
      <c r="AC140" s="891"/>
      <c r="AD140" s="891"/>
      <c r="AE140" s="827"/>
      <c r="AF140" s="891"/>
      <c r="AG140" s="960"/>
      <c r="AH140" s="893"/>
      <c r="AI140" s="894">
        <f t="shared" si="7"/>
        <v>0</v>
      </c>
      <c r="AJ140" s="890">
        <v>0</v>
      </c>
      <c r="AK140" s="889">
        <f t="shared" si="5"/>
        <v>0</v>
      </c>
      <c r="AL140" s="895"/>
      <c r="AM140" s="896">
        <f t="shared" si="6"/>
        <v>0</v>
      </c>
    </row>
    <row r="141" spans="1:39" s="785" customFormat="1">
      <c r="A141" s="885" t="s">
        <v>56</v>
      </c>
      <c r="B141" s="885" t="s">
        <v>1148</v>
      </c>
      <c r="C141" s="898"/>
      <c r="D141" s="881"/>
      <c r="E141" s="783"/>
      <c r="F141" s="783"/>
      <c r="G141" s="783"/>
      <c r="H141" s="783"/>
      <c r="I141" s="779"/>
      <c r="J141" s="779"/>
      <c r="K141" s="779"/>
      <c r="L141" s="809"/>
      <c r="M141" s="809"/>
      <c r="N141" s="809"/>
      <c r="O141" s="809"/>
      <c r="P141" s="809"/>
      <c r="Q141" s="809"/>
      <c r="R141" s="809"/>
      <c r="S141" s="809"/>
      <c r="T141" s="809"/>
      <c r="U141" s="809"/>
      <c r="V141" s="809"/>
      <c r="W141" s="809"/>
      <c r="X141" s="809"/>
      <c r="Y141" s="809"/>
      <c r="Z141" s="809"/>
      <c r="AA141" s="809"/>
      <c r="AB141" s="809"/>
      <c r="AC141" s="809"/>
      <c r="AD141" s="850"/>
      <c r="AE141" s="827"/>
      <c r="AF141" s="809"/>
      <c r="AG141" s="960"/>
      <c r="AH141" s="873"/>
      <c r="AI141" s="839">
        <f t="shared" si="7"/>
        <v>0</v>
      </c>
      <c r="AJ141" s="777">
        <v>0</v>
      </c>
      <c r="AK141" s="778">
        <f t="shared" si="5"/>
        <v>0</v>
      </c>
      <c r="AL141" s="784" t="s">
        <v>1516</v>
      </c>
      <c r="AM141" s="781">
        <f t="shared" si="6"/>
        <v>23.07</v>
      </c>
    </row>
    <row r="142" spans="1:39" s="560" customFormat="1" hidden="1">
      <c r="A142" s="604" t="s">
        <v>642</v>
      </c>
      <c r="B142" s="604" t="s">
        <v>1189</v>
      </c>
      <c r="C142" s="614" t="s">
        <v>36</v>
      </c>
      <c r="D142" s="580"/>
      <c r="E142" s="778"/>
      <c r="F142" s="581"/>
      <c r="G142" s="581"/>
      <c r="H142" s="581"/>
      <c r="I142" s="949"/>
      <c r="J142" s="949"/>
      <c r="K142" s="949"/>
      <c r="L142" s="809"/>
      <c r="M142" s="575"/>
      <c r="N142" s="575"/>
      <c r="O142" s="575"/>
      <c r="P142" s="575"/>
      <c r="Q142" s="575"/>
      <c r="R142" s="575"/>
      <c r="S142" s="809"/>
      <c r="T142" s="575"/>
      <c r="U142" s="575"/>
      <c r="V142" s="575"/>
      <c r="W142" s="575"/>
      <c r="X142" s="575"/>
      <c r="Y142" s="575"/>
      <c r="Z142" s="809"/>
      <c r="AA142" s="575"/>
      <c r="AB142" s="575"/>
      <c r="AC142" s="575"/>
      <c r="AD142" s="575"/>
      <c r="AE142" s="827"/>
      <c r="AF142" s="575"/>
      <c r="AG142" s="960"/>
      <c r="AH142" s="842"/>
      <c r="AI142" s="738">
        <f t="shared" si="7"/>
        <v>0</v>
      </c>
      <c r="AJ142" s="949">
        <v>0</v>
      </c>
      <c r="AK142" s="581">
        <f t="shared" ref="AK142:AK205" si="8">AI142+AJ142</f>
        <v>0</v>
      </c>
      <c r="AL142" s="746" t="s">
        <v>1517</v>
      </c>
      <c r="AM142" s="743">
        <f t="shared" ref="AM142:AM205" si="9">AL142-AK142</f>
        <v>10.4</v>
      </c>
    </row>
    <row r="143" spans="1:39" s="897" customFormat="1">
      <c r="A143" s="886" t="s">
        <v>643</v>
      </c>
      <c r="B143" s="886" t="s">
        <v>1190</v>
      </c>
      <c r="C143" s="900" t="s">
        <v>39</v>
      </c>
      <c r="D143" s="888"/>
      <c r="E143" s="889"/>
      <c r="F143" s="889"/>
      <c r="G143" s="889"/>
      <c r="H143" s="889"/>
      <c r="I143" s="890"/>
      <c r="J143" s="890"/>
      <c r="K143" s="890"/>
      <c r="L143" s="891"/>
      <c r="M143" s="891"/>
      <c r="N143" s="891"/>
      <c r="O143" s="891"/>
      <c r="P143" s="891"/>
      <c r="Q143" s="891"/>
      <c r="R143" s="891"/>
      <c r="S143" s="891"/>
      <c r="T143" s="891"/>
      <c r="U143" s="891"/>
      <c r="V143" s="891"/>
      <c r="W143" s="891"/>
      <c r="X143" s="891"/>
      <c r="Y143" s="891"/>
      <c r="Z143" s="891"/>
      <c r="AA143" s="891"/>
      <c r="AB143" s="891"/>
      <c r="AC143" s="891"/>
      <c r="AD143" s="891"/>
      <c r="AE143" s="827"/>
      <c r="AF143" s="891"/>
      <c r="AG143" s="960"/>
      <c r="AH143" s="893"/>
      <c r="AI143" s="894">
        <f t="shared" si="7"/>
        <v>0</v>
      </c>
      <c r="AJ143" s="890">
        <v>0</v>
      </c>
      <c r="AK143" s="889">
        <f t="shared" si="8"/>
        <v>0</v>
      </c>
      <c r="AL143" s="895" t="s">
        <v>1518</v>
      </c>
      <c r="AM143" s="896">
        <f t="shared" si="9"/>
        <v>2.1800000000000002</v>
      </c>
    </row>
    <row r="144" spans="1:39" s="897" customFormat="1">
      <c r="A144" s="886" t="s">
        <v>644</v>
      </c>
      <c r="B144" s="886" t="s">
        <v>1191</v>
      </c>
      <c r="C144" s="900" t="s">
        <v>39</v>
      </c>
      <c r="D144" s="888"/>
      <c r="E144" s="889"/>
      <c r="F144" s="889"/>
      <c r="G144" s="889"/>
      <c r="H144" s="889"/>
      <c r="I144" s="890"/>
      <c r="J144" s="890"/>
      <c r="K144" s="890"/>
      <c r="L144" s="891"/>
      <c r="M144" s="891"/>
      <c r="N144" s="891"/>
      <c r="O144" s="891"/>
      <c r="P144" s="891"/>
      <c r="Q144" s="891"/>
      <c r="R144" s="891"/>
      <c r="S144" s="891"/>
      <c r="T144" s="891"/>
      <c r="U144" s="891"/>
      <c r="V144" s="891"/>
      <c r="W144" s="891"/>
      <c r="X144" s="891"/>
      <c r="Y144" s="891"/>
      <c r="Z144" s="891"/>
      <c r="AA144" s="891"/>
      <c r="AB144" s="891"/>
      <c r="AC144" s="891"/>
      <c r="AD144" s="891"/>
      <c r="AE144" s="827"/>
      <c r="AF144" s="891"/>
      <c r="AG144" s="960"/>
      <c r="AH144" s="893"/>
      <c r="AI144" s="894">
        <f t="shared" si="7"/>
        <v>0</v>
      </c>
      <c r="AJ144" s="890">
        <v>0</v>
      </c>
      <c r="AK144" s="889">
        <f t="shared" si="8"/>
        <v>0</v>
      </c>
      <c r="AL144" s="895" t="s">
        <v>1519</v>
      </c>
      <c r="AM144" s="896">
        <f t="shared" si="9"/>
        <v>29.03</v>
      </c>
    </row>
    <row r="145" spans="1:39" s="782" customFormat="1">
      <c r="A145" s="772" t="s">
        <v>645</v>
      </c>
      <c r="B145" s="772" t="s">
        <v>1153</v>
      </c>
      <c r="C145" s="877" t="s">
        <v>36</v>
      </c>
      <c r="D145" s="795"/>
      <c r="E145" s="778"/>
      <c r="F145" s="778"/>
      <c r="G145" s="778"/>
      <c r="H145" s="778"/>
      <c r="I145" s="777"/>
      <c r="J145" s="777"/>
      <c r="K145" s="777"/>
      <c r="L145" s="809"/>
      <c r="M145" s="809"/>
      <c r="N145" s="809"/>
      <c r="O145" s="809"/>
      <c r="P145" s="809"/>
      <c r="Q145" s="809"/>
      <c r="R145" s="809"/>
      <c r="S145" s="809"/>
      <c r="T145" s="809"/>
      <c r="U145" s="809"/>
      <c r="V145" s="809"/>
      <c r="W145" s="809"/>
      <c r="X145" s="809"/>
      <c r="Y145" s="809"/>
      <c r="Z145" s="809"/>
      <c r="AA145" s="809"/>
      <c r="AB145" s="809"/>
      <c r="AC145" s="809"/>
      <c r="AD145" s="809"/>
      <c r="AE145" s="827"/>
      <c r="AF145" s="809"/>
      <c r="AG145" s="960"/>
      <c r="AH145" s="873"/>
      <c r="AI145" s="839">
        <f t="shared" si="7"/>
        <v>0</v>
      </c>
      <c r="AJ145" s="777">
        <v>0</v>
      </c>
      <c r="AK145" s="778">
        <f t="shared" si="8"/>
        <v>0</v>
      </c>
      <c r="AL145" s="780" t="s">
        <v>1514</v>
      </c>
      <c r="AM145" s="781">
        <f t="shared" si="9"/>
        <v>72.33</v>
      </c>
    </row>
    <row r="146" spans="1:39" s="782" customFormat="1">
      <c r="A146" s="772" t="s">
        <v>646</v>
      </c>
      <c r="B146" s="772" t="s">
        <v>1154</v>
      </c>
      <c r="C146" s="877" t="s">
        <v>36</v>
      </c>
      <c r="D146" s="795"/>
      <c r="E146" s="778"/>
      <c r="F146" s="778"/>
      <c r="G146" s="778"/>
      <c r="H146" s="778"/>
      <c r="I146" s="777"/>
      <c r="J146" s="777"/>
      <c r="K146" s="777"/>
      <c r="L146" s="809"/>
      <c r="M146" s="809"/>
      <c r="N146" s="809"/>
      <c r="O146" s="809"/>
      <c r="P146" s="809"/>
      <c r="Q146" s="809"/>
      <c r="R146" s="809"/>
      <c r="S146" s="809"/>
      <c r="T146" s="809"/>
      <c r="U146" s="809"/>
      <c r="V146" s="809"/>
      <c r="W146" s="809"/>
      <c r="X146" s="809"/>
      <c r="Y146" s="809"/>
      <c r="Z146" s="809"/>
      <c r="AA146" s="809"/>
      <c r="AB146" s="809"/>
      <c r="AC146" s="809"/>
      <c r="AD146" s="809"/>
      <c r="AE146" s="827"/>
      <c r="AF146" s="809"/>
      <c r="AG146" s="960"/>
      <c r="AH146" s="873"/>
      <c r="AI146" s="839">
        <f t="shared" si="7"/>
        <v>0</v>
      </c>
      <c r="AJ146" s="777">
        <v>0</v>
      </c>
      <c r="AK146" s="778">
        <f t="shared" si="8"/>
        <v>0</v>
      </c>
      <c r="AL146" s="780"/>
      <c r="AM146" s="781">
        <f t="shared" si="9"/>
        <v>0</v>
      </c>
    </row>
    <row r="147" spans="1:39" s="782" customFormat="1">
      <c r="A147" s="885" t="s">
        <v>647</v>
      </c>
      <c r="B147" s="885" t="s">
        <v>1155</v>
      </c>
      <c r="C147" s="898"/>
      <c r="D147" s="795"/>
      <c r="E147" s="778"/>
      <c r="F147" s="778"/>
      <c r="G147" s="778"/>
      <c r="H147" s="778"/>
      <c r="I147" s="777"/>
      <c r="J147" s="777"/>
      <c r="K147" s="777"/>
      <c r="L147" s="809"/>
      <c r="M147" s="809"/>
      <c r="N147" s="809"/>
      <c r="O147" s="809"/>
      <c r="P147" s="809"/>
      <c r="Q147" s="809"/>
      <c r="R147" s="809"/>
      <c r="S147" s="809"/>
      <c r="T147" s="809"/>
      <c r="U147" s="809"/>
      <c r="V147" s="809"/>
      <c r="W147" s="809"/>
      <c r="X147" s="809"/>
      <c r="Y147" s="809"/>
      <c r="Z147" s="809"/>
      <c r="AA147" s="809"/>
      <c r="AB147" s="809"/>
      <c r="AC147" s="809"/>
      <c r="AD147" s="809"/>
      <c r="AE147" s="827"/>
      <c r="AF147" s="809"/>
      <c r="AG147" s="960"/>
      <c r="AH147" s="873"/>
      <c r="AI147" s="839">
        <f t="shared" si="7"/>
        <v>0</v>
      </c>
      <c r="AJ147" s="777">
        <v>0</v>
      </c>
      <c r="AK147" s="778">
        <f t="shared" si="8"/>
        <v>0</v>
      </c>
      <c r="AL147" s="780"/>
      <c r="AM147" s="781">
        <f t="shared" si="9"/>
        <v>0</v>
      </c>
    </row>
    <row r="148" spans="1:39" s="782" customFormat="1">
      <c r="A148" s="772" t="s">
        <v>648</v>
      </c>
      <c r="B148" s="772" t="s">
        <v>1156</v>
      </c>
      <c r="C148" s="898"/>
      <c r="D148" s="795"/>
      <c r="E148" s="778"/>
      <c r="F148" s="778"/>
      <c r="G148" s="778"/>
      <c r="H148" s="778"/>
      <c r="I148" s="777"/>
      <c r="J148" s="777"/>
      <c r="K148" s="777"/>
      <c r="L148" s="809"/>
      <c r="M148" s="809"/>
      <c r="N148" s="809"/>
      <c r="O148" s="809"/>
      <c r="P148" s="809"/>
      <c r="Q148" s="809"/>
      <c r="R148" s="809"/>
      <c r="S148" s="809"/>
      <c r="T148" s="809"/>
      <c r="U148" s="809"/>
      <c r="V148" s="809"/>
      <c r="W148" s="809"/>
      <c r="X148" s="809"/>
      <c r="Y148" s="809"/>
      <c r="Z148" s="809"/>
      <c r="AA148" s="809"/>
      <c r="AB148" s="809"/>
      <c r="AC148" s="797"/>
      <c r="AD148" s="809"/>
      <c r="AE148" s="827"/>
      <c r="AF148" s="809"/>
      <c r="AG148" s="960"/>
      <c r="AH148" s="873"/>
      <c r="AI148" s="839">
        <f t="shared" si="7"/>
        <v>0</v>
      </c>
      <c r="AJ148" s="777">
        <v>0</v>
      </c>
      <c r="AK148" s="778">
        <f t="shared" si="8"/>
        <v>0</v>
      </c>
      <c r="AL148" s="780" t="s">
        <v>1520</v>
      </c>
      <c r="AM148" s="781">
        <f t="shared" si="9"/>
        <v>6.34</v>
      </c>
    </row>
    <row r="149" spans="1:39" s="560" customFormat="1" hidden="1">
      <c r="A149" s="604" t="s">
        <v>649</v>
      </c>
      <c r="B149" s="604" t="s">
        <v>1192</v>
      </c>
      <c r="C149" s="614" t="s">
        <v>39</v>
      </c>
      <c r="D149" s="580"/>
      <c r="E149" s="778"/>
      <c r="F149" s="581"/>
      <c r="G149" s="581"/>
      <c r="H149" s="581"/>
      <c r="I149" s="949"/>
      <c r="J149" s="949"/>
      <c r="K149" s="949"/>
      <c r="L149" s="809"/>
      <c r="M149" s="575"/>
      <c r="N149" s="575"/>
      <c r="O149" s="575"/>
      <c r="P149" s="575"/>
      <c r="Q149" s="575"/>
      <c r="R149" s="575"/>
      <c r="S149" s="809"/>
      <c r="T149" s="575"/>
      <c r="U149" s="575"/>
      <c r="V149" s="575"/>
      <c r="W149" s="575"/>
      <c r="X149" s="575"/>
      <c r="Y149" s="575"/>
      <c r="Z149" s="850"/>
      <c r="AA149" s="575"/>
      <c r="AB149" s="575"/>
      <c r="AC149" s="575"/>
      <c r="AD149" s="575"/>
      <c r="AE149" s="827"/>
      <c r="AF149" s="575"/>
      <c r="AG149" s="960"/>
      <c r="AH149" s="842"/>
      <c r="AI149" s="738">
        <f t="shared" si="7"/>
        <v>0</v>
      </c>
      <c r="AJ149" s="949">
        <v>0</v>
      </c>
      <c r="AK149" s="581">
        <f t="shared" si="8"/>
        <v>0</v>
      </c>
      <c r="AL149" s="746" t="s">
        <v>1521</v>
      </c>
      <c r="AM149" s="743">
        <f t="shared" si="9"/>
        <v>264.95999999999998</v>
      </c>
    </row>
    <row r="150" spans="1:39" s="560" customFormat="1" hidden="1">
      <c r="A150" s="604" t="s">
        <v>650</v>
      </c>
      <c r="B150" s="604" t="s">
        <v>1158</v>
      </c>
      <c r="C150" s="614" t="s">
        <v>47</v>
      </c>
      <c r="D150" s="580"/>
      <c r="E150" s="778"/>
      <c r="F150" s="581"/>
      <c r="G150" s="581"/>
      <c r="H150" s="581"/>
      <c r="I150" s="949"/>
      <c r="J150" s="949"/>
      <c r="K150" s="949"/>
      <c r="L150" s="809"/>
      <c r="M150" s="575"/>
      <c r="N150" s="575"/>
      <c r="O150" s="575"/>
      <c r="P150" s="575"/>
      <c r="Q150" s="575"/>
      <c r="R150" s="575"/>
      <c r="S150" s="809"/>
      <c r="T150" s="575"/>
      <c r="U150" s="575"/>
      <c r="V150" s="575"/>
      <c r="W150" s="575"/>
      <c r="X150" s="575"/>
      <c r="Y150" s="575"/>
      <c r="Z150" s="809"/>
      <c r="AA150" s="575"/>
      <c r="AB150" s="575"/>
      <c r="AC150" s="575"/>
      <c r="AD150" s="575"/>
      <c r="AE150" s="827"/>
      <c r="AF150" s="575"/>
      <c r="AG150" s="960"/>
      <c r="AH150" s="842"/>
      <c r="AI150" s="738">
        <f t="shared" si="7"/>
        <v>0</v>
      </c>
      <c r="AJ150" s="949">
        <v>0</v>
      </c>
      <c r="AK150" s="581">
        <f t="shared" si="8"/>
        <v>0</v>
      </c>
      <c r="AL150" s="746"/>
      <c r="AM150" s="743">
        <f t="shared" si="9"/>
        <v>0</v>
      </c>
    </row>
    <row r="151" spans="1:39" s="782" customFormat="1">
      <c r="A151" s="772" t="s">
        <v>651</v>
      </c>
      <c r="B151" s="772" t="s">
        <v>1159</v>
      </c>
      <c r="C151" s="898"/>
      <c r="D151" s="795"/>
      <c r="E151" s="778"/>
      <c r="F151" s="778"/>
      <c r="G151" s="778"/>
      <c r="H151" s="778"/>
      <c r="I151" s="777"/>
      <c r="J151" s="777"/>
      <c r="K151" s="777"/>
      <c r="L151" s="809"/>
      <c r="M151" s="809"/>
      <c r="N151" s="809"/>
      <c r="O151" s="809"/>
      <c r="P151" s="809"/>
      <c r="Q151" s="809"/>
      <c r="R151" s="809"/>
      <c r="S151" s="809"/>
      <c r="T151" s="809"/>
      <c r="U151" s="809"/>
      <c r="V151" s="809"/>
      <c r="W151" s="809"/>
      <c r="X151" s="809"/>
      <c r="Y151" s="809"/>
      <c r="Z151" s="809"/>
      <c r="AA151" s="809"/>
      <c r="AB151" s="809"/>
      <c r="AC151" s="809"/>
      <c r="AD151" s="809"/>
      <c r="AE151" s="827"/>
      <c r="AF151" s="809"/>
      <c r="AG151" s="960"/>
      <c r="AH151" s="873"/>
      <c r="AI151" s="839">
        <f t="shared" si="7"/>
        <v>0</v>
      </c>
      <c r="AJ151" s="777">
        <v>0</v>
      </c>
      <c r="AK151" s="778">
        <f t="shared" si="8"/>
        <v>0</v>
      </c>
      <c r="AL151" s="780" t="s">
        <v>1522</v>
      </c>
      <c r="AM151" s="781">
        <f t="shared" si="9"/>
        <v>3.77</v>
      </c>
    </row>
    <row r="152" spans="1:39" s="782" customFormat="1">
      <c r="A152" s="772" t="s">
        <v>652</v>
      </c>
      <c r="B152" s="772" t="s">
        <v>1193</v>
      </c>
      <c r="C152" s="877" t="s">
        <v>39</v>
      </c>
      <c r="D152" s="795"/>
      <c r="E152" s="778"/>
      <c r="G152" s="922">
        <f>40.27*0.3747*0.25</f>
        <v>3.77229225</v>
      </c>
      <c r="H152" s="778"/>
      <c r="I152" s="777"/>
      <c r="J152" s="777"/>
      <c r="K152" s="777"/>
      <c r="L152" s="809"/>
      <c r="M152" s="809"/>
      <c r="N152" s="809"/>
      <c r="O152" s="809"/>
      <c r="P152" s="809"/>
      <c r="Q152" s="809"/>
      <c r="R152" s="809"/>
      <c r="S152" s="809"/>
      <c r="T152" s="809"/>
      <c r="U152" s="809"/>
      <c r="V152" s="809"/>
      <c r="W152" s="809"/>
      <c r="X152" s="809"/>
      <c r="Y152" s="809"/>
      <c r="Z152" s="809"/>
      <c r="AA152" s="809"/>
      <c r="AB152" s="809"/>
      <c r="AC152" s="809"/>
      <c r="AD152" s="809"/>
      <c r="AE152" s="827"/>
      <c r="AF152" s="809"/>
      <c r="AG152" s="960"/>
      <c r="AH152" s="873"/>
      <c r="AI152" s="839">
        <f t="shared" si="7"/>
        <v>3.77</v>
      </c>
      <c r="AJ152" s="777">
        <v>0</v>
      </c>
      <c r="AK152" s="778">
        <f t="shared" si="8"/>
        <v>3.77</v>
      </c>
      <c r="AL152" s="780" t="s">
        <v>1523</v>
      </c>
      <c r="AM152" s="781">
        <f t="shared" si="9"/>
        <v>26.41</v>
      </c>
    </row>
    <row r="153" spans="1:39" s="782" customFormat="1">
      <c r="A153" s="772" t="s">
        <v>653</v>
      </c>
      <c r="B153" s="772" t="s">
        <v>1161</v>
      </c>
      <c r="C153" s="877" t="s">
        <v>36</v>
      </c>
      <c r="D153" s="795"/>
      <c r="E153" s="778"/>
      <c r="F153" s="922">
        <f>40.27*0.3747*2</f>
        <v>30.178338</v>
      </c>
      <c r="G153" s="778"/>
      <c r="H153" s="778"/>
      <c r="I153" s="777"/>
      <c r="J153" s="777"/>
      <c r="K153" s="777"/>
      <c r="L153" s="809"/>
      <c r="M153" s="809"/>
      <c r="N153" s="809"/>
      <c r="O153" s="809"/>
      <c r="P153" s="809"/>
      <c r="Q153" s="809"/>
      <c r="R153" s="809"/>
      <c r="S153" s="809"/>
      <c r="T153" s="809"/>
      <c r="U153" s="809"/>
      <c r="V153" s="809"/>
      <c r="W153" s="809"/>
      <c r="X153" s="809"/>
      <c r="Y153" s="809"/>
      <c r="Z153" s="809"/>
      <c r="AA153" s="809"/>
      <c r="AB153" s="809"/>
      <c r="AC153" s="779"/>
      <c r="AD153" s="828"/>
      <c r="AE153" s="827"/>
      <c r="AF153" s="809"/>
      <c r="AG153" s="960"/>
      <c r="AH153" s="873"/>
      <c r="AI153" s="839">
        <f t="shared" si="7"/>
        <v>30.18</v>
      </c>
      <c r="AJ153" s="777">
        <v>0</v>
      </c>
      <c r="AK153" s="778">
        <f t="shared" si="8"/>
        <v>30.18</v>
      </c>
      <c r="AL153" s="780" t="s">
        <v>1524</v>
      </c>
      <c r="AM153" s="781">
        <f t="shared" si="9"/>
        <v>335.15</v>
      </c>
    </row>
    <row r="154" spans="1:39" s="560" customFormat="1" hidden="1">
      <c r="A154" s="604" t="s">
        <v>654</v>
      </c>
      <c r="B154" s="604" t="s">
        <v>1162</v>
      </c>
      <c r="C154" s="614" t="s">
        <v>47</v>
      </c>
      <c r="D154" s="580"/>
      <c r="E154" s="778"/>
      <c r="F154" s="581"/>
      <c r="G154" s="581"/>
      <c r="H154" s="581"/>
      <c r="I154" s="949"/>
      <c r="J154" s="949"/>
      <c r="K154" s="949"/>
      <c r="L154" s="809"/>
      <c r="M154" s="575"/>
      <c r="N154" s="575"/>
      <c r="O154" s="575"/>
      <c r="P154" s="575"/>
      <c r="Q154" s="575"/>
      <c r="R154" s="575"/>
      <c r="S154" s="809"/>
      <c r="T154" s="575"/>
      <c r="U154" s="575"/>
      <c r="V154" s="575"/>
      <c r="W154" s="575"/>
      <c r="X154" s="575"/>
      <c r="Y154" s="575"/>
      <c r="Z154" s="809"/>
      <c r="AA154" s="575"/>
      <c r="AB154" s="575"/>
      <c r="AC154" s="575"/>
      <c r="AD154" s="575"/>
      <c r="AE154" s="827"/>
      <c r="AF154" s="575"/>
      <c r="AG154" s="960"/>
      <c r="AH154" s="842"/>
      <c r="AI154" s="738">
        <f t="shared" si="7"/>
        <v>0</v>
      </c>
      <c r="AJ154" s="949">
        <v>0</v>
      </c>
      <c r="AK154" s="581">
        <f t="shared" si="8"/>
        <v>0</v>
      </c>
      <c r="AL154" s="746"/>
      <c r="AM154" s="743">
        <f t="shared" si="9"/>
        <v>0</v>
      </c>
    </row>
    <row r="155" spans="1:39" s="782" customFormat="1">
      <c r="A155" s="772" t="s">
        <v>655</v>
      </c>
      <c r="B155" s="772" t="s">
        <v>1163</v>
      </c>
      <c r="C155" s="877"/>
      <c r="D155" s="795"/>
      <c r="E155" s="778"/>
      <c r="F155" s="778"/>
      <c r="G155" s="778"/>
      <c r="H155" s="778"/>
      <c r="I155" s="777"/>
      <c r="J155" s="777"/>
      <c r="K155" s="777"/>
      <c r="L155" s="809"/>
      <c r="M155" s="809"/>
      <c r="N155" s="809"/>
      <c r="O155" s="809"/>
      <c r="P155" s="809"/>
      <c r="Q155" s="809"/>
      <c r="R155" s="809"/>
      <c r="S155" s="809"/>
      <c r="T155" s="809"/>
      <c r="U155" s="809"/>
      <c r="V155" s="809"/>
      <c r="W155" s="809"/>
      <c r="X155" s="809"/>
      <c r="Y155" s="809"/>
      <c r="Z155" s="809"/>
      <c r="AA155" s="809"/>
      <c r="AB155" s="809"/>
      <c r="AC155" s="809"/>
      <c r="AD155" s="809"/>
      <c r="AE155" s="827"/>
      <c r="AF155" s="809"/>
      <c r="AG155" s="960"/>
      <c r="AH155" s="873"/>
      <c r="AI155" s="839">
        <f t="shared" si="7"/>
        <v>0</v>
      </c>
      <c r="AJ155" s="777">
        <v>0</v>
      </c>
      <c r="AK155" s="778">
        <f t="shared" si="8"/>
        <v>0</v>
      </c>
      <c r="AL155" s="780" t="s">
        <v>1525</v>
      </c>
      <c r="AM155" s="781">
        <f t="shared" si="9"/>
        <v>6.4</v>
      </c>
    </row>
    <row r="156" spans="1:39" s="782" customFormat="1">
      <c r="A156" s="772" t="s">
        <v>656</v>
      </c>
      <c r="B156" s="772" t="s">
        <v>1194</v>
      </c>
      <c r="C156" s="877" t="s">
        <v>39</v>
      </c>
      <c r="D156" s="795"/>
      <c r="E156" s="778"/>
      <c r="F156" s="778"/>
      <c r="G156" s="778"/>
      <c r="H156" s="778"/>
      <c r="I156" s="777"/>
      <c r="J156" s="777"/>
      <c r="K156" s="777"/>
      <c r="L156" s="809"/>
      <c r="M156" s="809"/>
      <c r="N156" s="809"/>
      <c r="O156" s="797"/>
      <c r="P156" s="945">
        <f>3*0.25*0.4*4.35+0.25*0.4*5.39+3*0.25*0.5*4.35</f>
        <v>3.47525</v>
      </c>
      <c r="Q156" s="945">
        <f>3*0.25*0.4*4.35</f>
        <v>1.3050000000000002</v>
      </c>
      <c r="R156" s="797"/>
      <c r="S156" s="809"/>
      <c r="T156" s="809"/>
      <c r="U156" s="809"/>
      <c r="V156" s="809"/>
      <c r="W156" s="809"/>
      <c r="X156" s="809"/>
      <c r="Y156" s="809"/>
      <c r="Z156" s="809"/>
      <c r="AA156" s="797"/>
      <c r="AB156" s="809"/>
      <c r="AC156" s="809"/>
      <c r="AD156" s="809"/>
      <c r="AE156" s="827"/>
      <c r="AF156" s="809"/>
      <c r="AG156" s="960"/>
      <c r="AH156" s="873"/>
      <c r="AI156" s="839">
        <f t="shared" si="7"/>
        <v>4.78</v>
      </c>
      <c r="AJ156" s="777">
        <v>0</v>
      </c>
      <c r="AK156" s="778">
        <f t="shared" si="8"/>
        <v>4.78</v>
      </c>
      <c r="AL156" s="780" t="s">
        <v>1526</v>
      </c>
      <c r="AM156" s="781">
        <f t="shared" si="9"/>
        <v>71.92</v>
      </c>
    </row>
    <row r="157" spans="1:39" s="782" customFormat="1">
      <c r="A157" s="772" t="s">
        <v>657</v>
      </c>
      <c r="B157" s="772" t="s">
        <v>1165</v>
      </c>
      <c r="C157" s="877" t="s">
        <v>36</v>
      </c>
      <c r="D157" s="795"/>
      <c r="E157" s="778"/>
      <c r="F157" s="778"/>
      <c r="G157" s="778"/>
      <c r="H157" s="778"/>
      <c r="I157" s="777"/>
      <c r="J157" s="777"/>
      <c r="K157" s="777"/>
      <c r="L157" s="809"/>
      <c r="M157" s="809"/>
      <c r="N157" s="809"/>
      <c r="O157" s="945">
        <f>3*2*(0.25+0.4)*4.35+2*(0.25+0.4)*5.39</f>
        <v>23.972000000000001</v>
      </c>
      <c r="P157" s="945">
        <f>4*2*(0.25+0.5)*4.35</f>
        <v>26.099999999999998</v>
      </c>
      <c r="Q157" s="945">
        <f>3*2*(0.25+0.4)*4.35</f>
        <v>16.965</v>
      </c>
      <c r="R157" s="797"/>
      <c r="S157" s="809"/>
      <c r="T157" s="809"/>
      <c r="U157" s="809"/>
      <c r="V157" s="809"/>
      <c r="W157" s="809"/>
      <c r="X157" s="809"/>
      <c r="Y157" s="809"/>
      <c r="Z157" s="797"/>
      <c r="AA157" s="797"/>
      <c r="AB157" s="809"/>
      <c r="AC157" s="809"/>
      <c r="AD157" s="809"/>
      <c r="AE157" s="827"/>
      <c r="AF157" s="809"/>
      <c r="AG157" s="960"/>
      <c r="AH157" s="873"/>
      <c r="AI157" s="839">
        <f t="shared" si="7"/>
        <v>67.040000000000006</v>
      </c>
      <c r="AJ157" s="777">
        <v>0</v>
      </c>
      <c r="AK157" s="778">
        <f t="shared" si="8"/>
        <v>67.040000000000006</v>
      </c>
      <c r="AL157" s="780" t="s">
        <v>1527</v>
      </c>
      <c r="AM157" s="781">
        <f t="shared" si="9"/>
        <v>1862.14</v>
      </c>
    </row>
    <row r="158" spans="1:39" s="560" customFormat="1" hidden="1">
      <c r="A158" s="604" t="s">
        <v>658</v>
      </c>
      <c r="B158" s="604" t="s">
        <v>1166</v>
      </c>
      <c r="C158" s="614" t="s">
        <v>47</v>
      </c>
      <c r="D158" s="580"/>
      <c r="E158" s="778"/>
      <c r="F158" s="581"/>
      <c r="G158" s="581"/>
      <c r="H158" s="581"/>
      <c r="I158" s="949"/>
      <c r="J158" s="949"/>
      <c r="K158" s="949"/>
      <c r="L158" s="809"/>
      <c r="M158" s="575"/>
      <c r="N158" s="575"/>
      <c r="O158" s="575"/>
      <c r="P158" s="575"/>
      <c r="Q158" s="575"/>
      <c r="R158" s="575"/>
      <c r="S158" s="809"/>
      <c r="T158" s="575"/>
      <c r="U158" s="575"/>
      <c r="V158" s="575"/>
      <c r="W158" s="575"/>
      <c r="X158" s="575"/>
      <c r="Y158" s="575"/>
      <c r="Z158" s="809"/>
      <c r="AA158" s="575"/>
      <c r="AB158" s="575"/>
      <c r="AC158" s="575"/>
      <c r="AD158" s="575"/>
      <c r="AE158" s="827"/>
      <c r="AF158" s="575"/>
      <c r="AG158" s="960"/>
      <c r="AH158" s="842"/>
      <c r="AI158" s="738">
        <f t="shared" si="7"/>
        <v>0</v>
      </c>
      <c r="AJ158" s="949">
        <v>0</v>
      </c>
      <c r="AK158" s="581">
        <f t="shared" si="8"/>
        <v>0</v>
      </c>
      <c r="AL158" s="746"/>
      <c r="AM158" s="743">
        <f t="shared" si="9"/>
        <v>0</v>
      </c>
    </row>
    <row r="159" spans="1:39" s="782" customFormat="1">
      <c r="A159" s="772" t="s">
        <v>659</v>
      </c>
      <c r="B159" s="772" t="s">
        <v>1167</v>
      </c>
      <c r="C159" s="898"/>
      <c r="D159" s="795"/>
      <c r="E159" s="778"/>
      <c r="F159" s="778"/>
      <c r="G159" s="778"/>
      <c r="H159" s="778"/>
      <c r="I159" s="777"/>
      <c r="J159" s="777"/>
      <c r="K159" s="777"/>
      <c r="L159" s="809"/>
      <c r="M159" s="809"/>
      <c r="N159" s="809"/>
      <c r="P159" s="809"/>
      <c r="Q159" s="809"/>
      <c r="R159" s="809"/>
      <c r="S159" s="809"/>
      <c r="T159" s="809"/>
      <c r="U159" s="809"/>
      <c r="V159" s="809"/>
      <c r="W159" s="809"/>
      <c r="X159" s="809"/>
      <c r="Y159" s="809"/>
      <c r="Z159" s="809"/>
      <c r="AA159" s="809"/>
      <c r="AB159" s="809"/>
      <c r="AC159" s="809"/>
      <c r="AD159" s="809"/>
      <c r="AE159" s="827"/>
      <c r="AF159" s="809"/>
      <c r="AG159" s="960"/>
      <c r="AH159" s="873"/>
      <c r="AI159" s="839">
        <f t="shared" si="7"/>
        <v>0</v>
      </c>
      <c r="AJ159" s="777">
        <v>0</v>
      </c>
      <c r="AK159" s="778">
        <f t="shared" si="8"/>
        <v>0</v>
      </c>
      <c r="AL159" s="780" t="s">
        <v>1528</v>
      </c>
      <c r="AM159" s="781">
        <f t="shared" si="9"/>
        <v>3.44</v>
      </c>
    </row>
    <row r="160" spans="1:39" s="782" customFormat="1">
      <c r="A160" s="772" t="s">
        <v>660</v>
      </c>
      <c r="B160" s="772" t="s">
        <v>1168</v>
      </c>
      <c r="C160" s="877" t="s">
        <v>39</v>
      </c>
      <c r="D160" s="795"/>
      <c r="E160" s="778"/>
      <c r="F160" s="778"/>
      <c r="G160" s="778"/>
      <c r="H160" s="778"/>
      <c r="I160" s="777"/>
      <c r="J160" s="777"/>
      <c r="K160" s="777"/>
      <c r="L160" s="809"/>
      <c r="M160" s="809"/>
      <c r="N160" s="809"/>
      <c r="O160" s="809"/>
      <c r="P160" s="809"/>
      <c r="Q160" s="809"/>
      <c r="R160" s="809"/>
      <c r="S160" s="809"/>
      <c r="T160" s="809"/>
      <c r="U160" s="809"/>
      <c r="V160" s="809"/>
      <c r="W160" s="809"/>
      <c r="X160" s="809"/>
      <c r="Y160" s="809"/>
      <c r="Z160" s="809"/>
      <c r="AA160" s="809"/>
      <c r="AB160" s="809"/>
      <c r="AC160" s="809"/>
      <c r="AD160" s="809"/>
      <c r="AE160" s="827"/>
      <c r="AF160" s="809"/>
      <c r="AG160" s="960"/>
      <c r="AH160" s="873"/>
      <c r="AI160" s="839">
        <f t="shared" si="7"/>
        <v>0</v>
      </c>
      <c r="AJ160" s="777">
        <v>0</v>
      </c>
      <c r="AK160" s="778">
        <f t="shared" si="8"/>
        <v>0</v>
      </c>
      <c r="AL160" s="780" t="s">
        <v>1529</v>
      </c>
      <c r="AM160" s="781">
        <f t="shared" si="9"/>
        <v>21.46</v>
      </c>
    </row>
    <row r="161" spans="1:39" s="782" customFormat="1">
      <c r="A161" s="772" t="s">
        <v>661</v>
      </c>
      <c r="B161" s="772" t="s">
        <v>1169</v>
      </c>
      <c r="C161" s="877" t="s">
        <v>36</v>
      </c>
      <c r="D161" s="795"/>
      <c r="E161" s="778"/>
      <c r="F161" s="778"/>
      <c r="G161" s="778"/>
      <c r="H161" s="778"/>
      <c r="I161" s="777"/>
      <c r="J161" s="777"/>
      <c r="K161" s="777"/>
      <c r="L161" s="809"/>
      <c r="M161" s="809"/>
      <c r="N161" s="809"/>
      <c r="O161" s="809"/>
      <c r="P161" s="809"/>
      <c r="Q161" s="809"/>
      <c r="R161" s="809"/>
      <c r="S161" s="809"/>
      <c r="T161" s="809"/>
      <c r="U161" s="809"/>
      <c r="V161" s="809"/>
      <c r="W161" s="809"/>
      <c r="X161" s="809"/>
      <c r="Y161" s="809"/>
      <c r="Z161" s="809"/>
      <c r="AA161" s="809"/>
      <c r="AB161" s="809"/>
      <c r="AC161" s="809"/>
      <c r="AD161" s="809"/>
      <c r="AE161" s="827"/>
      <c r="AF161" s="809"/>
      <c r="AG161" s="960"/>
      <c r="AH161" s="873"/>
      <c r="AI161" s="839">
        <f t="shared" si="7"/>
        <v>0</v>
      </c>
      <c r="AJ161" s="777">
        <v>0</v>
      </c>
      <c r="AK161" s="778">
        <f t="shared" si="8"/>
        <v>0</v>
      </c>
      <c r="AL161" s="780" t="s">
        <v>1530</v>
      </c>
      <c r="AM161" s="781">
        <f t="shared" si="9"/>
        <v>302.89999999999998</v>
      </c>
    </row>
    <row r="162" spans="1:39" s="782" customFormat="1">
      <c r="A162" s="772" t="s">
        <v>662</v>
      </c>
      <c r="B162" s="772" t="s">
        <v>1170</v>
      </c>
      <c r="C162" s="877" t="s">
        <v>47</v>
      </c>
      <c r="D162" s="795"/>
      <c r="E162" s="778"/>
      <c r="F162" s="778"/>
      <c r="G162" s="778"/>
      <c r="H162" s="778"/>
      <c r="I162" s="777"/>
      <c r="J162" s="777"/>
      <c r="K162" s="777"/>
      <c r="L162" s="809"/>
      <c r="M162" s="809"/>
      <c r="N162" s="809"/>
      <c r="O162" s="809"/>
      <c r="P162" s="809"/>
      <c r="Q162" s="809"/>
      <c r="R162" s="809"/>
      <c r="S162" s="809"/>
      <c r="T162" s="809"/>
      <c r="U162" s="809"/>
      <c r="V162" s="809"/>
      <c r="W162" s="809"/>
      <c r="X162" s="809"/>
      <c r="Y162" s="809"/>
      <c r="Z162" s="809"/>
      <c r="AA162" s="809"/>
      <c r="AB162" s="809"/>
      <c r="AC162" s="809"/>
      <c r="AD162" s="809"/>
      <c r="AE162" s="827"/>
      <c r="AF162" s="809"/>
      <c r="AG162" s="960"/>
      <c r="AH162" s="873"/>
      <c r="AI162" s="839">
        <f t="shared" si="7"/>
        <v>0</v>
      </c>
      <c r="AJ162" s="777">
        <v>0</v>
      </c>
      <c r="AK162" s="778">
        <f t="shared" si="8"/>
        <v>0</v>
      </c>
      <c r="AL162" s="780"/>
      <c r="AM162" s="781">
        <f t="shared" si="9"/>
        <v>0</v>
      </c>
    </row>
    <row r="163" spans="1:39" s="782" customFormat="1">
      <c r="A163" s="772" t="s">
        <v>663</v>
      </c>
      <c r="B163" s="772" t="s">
        <v>1171</v>
      </c>
      <c r="C163" s="898"/>
      <c r="D163" s="795"/>
      <c r="E163" s="778"/>
      <c r="F163" s="778"/>
      <c r="G163" s="778"/>
      <c r="H163" s="778"/>
      <c r="I163" s="777"/>
      <c r="J163" s="777"/>
      <c r="K163" s="777"/>
      <c r="L163" s="809"/>
      <c r="M163" s="809"/>
      <c r="N163" s="809"/>
      <c r="O163" s="809"/>
      <c r="P163" s="809"/>
      <c r="Q163" s="809"/>
      <c r="R163" s="809"/>
      <c r="S163" s="809"/>
      <c r="T163" s="809"/>
      <c r="U163" s="809"/>
      <c r="V163" s="809"/>
      <c r="W163" s="809"/>
      <c r="X163" s="809"/>
      <c r="Y163" s="809"/>
      <c r="Z163" s="809"/>
      <c r="AA163" s="809"/>
      <c r="AB163" s="809"/>
      <c r="AC163" s="809"/>
      <c r="AD163" s="809"/>
      <c r="AE163" s="827"/>
      <c r="AF163" s="809"/>
      <c r="AG163" s="960"/>
      <c r="AH163" s="873"/>
      <c r="AI163" s="839">
        <f t="shared" si="7"/>
        <v>0</v>
      </c>
      <c r="AJ163" s="777">
        <v>0</v>
      </c>
      <c r="AK163" s="778">
        <f t="shared" si="8"/>
        <v>0</v>
      </c>
      <c r="AL163" s="780" t="s">
        <v>1531</v>
      </c>
      <c r="AM163" s="781">
        <f t="shared" si="9"/>
        <v>11.56</v>
      </c>
    </row>
    <row r="164" spans="1:39" s="782" customFormat="1">
      <c r="A164" s="772" t="s">
        <v>664</v>
      </c>
      <c r="B164" s="772" t="s">
        <v>1172</v>
      </c>
      <c r="C164" s="877" t="s">
        <v>39</v>
      </c>
      <c r="D164" s="795"/>
      <c r="E164" s="778"/>
      <c r="F164" s="778"/>
      <c r="G164" s="778"/>
      <c r="H164" s="778"/>
      <c r="I164" s="777"/>
      <c r="J164" s="777"/>
      <c r="K164" s="777"/>
      <c r="L164" s="809"/>
      <c r="M164" s="809"/>
      <c r="N164" s="809"/>
      <c r="O164" s="809"/>
      <c r="P164" s="809"/>
      <c r="Q164" s="809"/>
      <c r="R164" s="809"/>
      <c r="S164" s="809"/>
      <c r="T164" s="809"/>
      <c r="U164" s="809"/>
      <c r="V164" s="809"/>
      <c r="W164" s="809"/>
      <c r="X164" s="809"/>
      <c r="Y164" s="809"/>
      <c r="Z164" s="809"/>
      <c r="AA164" s="809"/>
      <c r="AB164" s="809"/>
      <c r="AC164" s="809"/>
      <c r="AD164" s="809"/>
      <c r="AE164" s="827"/>
      <c r="AF164" s="809"/>
      <c r="AG164" s="960"/>
      <c r="AH164" s="873"/>
      <c r="AI164" s="839">
        <f t="shared" si="7"/>
        <v>0</v>
      </c>
      <c r="AJ164" s="777">
        <v>0</v>
      </c>
      <c r="AK164" s="778">
        <f t="shared" si="8"/>
        <v>0</v>
      </c>
      <c r="AL164" s="780" t="s">
        <v>1532</v>
      </c>
      <c r="AM164" s="781">
        <f t="shared" si="9"/>
        <v>101.84</v>
      </c>
    </row>
    <row r="165" spans="1:39" s="782" customFormat="1">
      <c r="A165" s="772" t="s">
        <v>665</v>
      </c>
      <c r="B165" s="772" t="s">
        <v>1173</v>
      </c>
      <c r="C165" s="877" t="s">
        <v>36</v>
      </c>
      <c r="D165" s="795"/>
      <c r="E165" s="778"/>
      <c r="F165" s="778"/>
      <c r="G165" s="778"/>
      <c r="H165" s="778"/>
      <c r="I165" s="777"/>
      <c r="J165" s="777"/>
      <c r="K165" s="777"/>
      <c r="L165" s="809"/>
      <c r="M165" s="809"/>
      <c r="N165" s="809"/>
      <c r="O165" s="809"/>
      <c r="P165" s="809"/>
      <c r="Q165" s="809"/>
      <c r="R165" s="809"/>
      <c r="S165" s="809"/>
      <c r="T165" s="809"/>
      <c r="U165" s="945">
        <f>3.12*2*0.25+3.12*2*0.25</f>
        <v>3.12</v>
      </c>
      <c r="V165" s="809"/>
      <c r="W165" s="945">
        <f>(2.365*2+5.2)*2*0.25+7.36*0.25*2+((2.365*2+5.2)*2*0.4+7.36*0.4*2)*2</f>
        <v>36.308999999999997</v>
      </c>
      <c r="X165" s="945">
        <f>9.44*2*0.5</f>
        <v>9.44</v>
      </c>
      <c r="Y165" s="945">
        <f>+(12.33+8.09)*0.2*2+(12.33+8.09)*0.2*2+12*0.4*0.2*3</f>
        <v>19.216000000000001</v>
      </c>
      <c r="Z165" s="809"/>
      <c r="AA165" s="809"/>
      <c r="AB165" s="809"/>
      <c r="AC165" s="809"/>
      <c r="AD165" s="809"/>
      <c r="AE165" s="827"/>
      <c r="AF165" s="809"/>
      <c r="AG165" s="960"/>
      <c r="AH165" s="873"/>
      <c r="AI165" s="839">
        <f t="shared" si="7"/>
        <v>68.09</v>
      </c>
      <c r="AJ165" s="777">
        <v>0</v>
      </c>
      <c r="AK165" s="778">
        <f t="shared" si="8"/>
        <v>68.09</v>
      </c>
      <c r="AL165" s="780" t="s">
        <v>1533</v>
      </c>
      <c r="AM165" s="781">
        <f t="shared" si="9"/>
        <v>1265.4100000000001</v>
      </c>
    </row>
    <row r="166" spans="1:39" s="782" customFormat="1">
      <c r="A166" s="772" t="s">
        <v>666</v>
      </c>
      <c r="B166" s="772" t="s">
        <v>1174</v>
      </c>
      <c r="C166" s="877" t="s">
        <v>47</v>
      </c>
      <c r="D166" s="795"/>
      <c r="E166" s="778"/>
      <c r="F166" s="778"/>
      <c r="G166" s="778"/>
      <c r="H166" s="778"/>
      <c r="I166" s="777"/>
      <c r="J166" s="777"/>
      <c r="K166" s="777"/>
      <c r="L166" s="809"/>
      <c r="M166" s="809"/>
      <c r="N166" s="809"/>
      <c r="O166" s="809"/>
      <c r="P166" s="809"/>
      <c r="Q166" s="809"/>
      <c r="R166" s="809"/>
      <c r="S166" s="809"/>
      <c r="T166" s="809"/>
      <c r="U166" s="809"/>
      <c r="V166" s="809"/>
      <c r="W166" s="809"/>
      <c r="X166" s="809"/>
      <c r="Y166" s="809"/>
      <c r="Z166" s="809"/>
      <c r="AA166" s="809"/>
      <c r="AB166" s="809"/>
      <c r="AC166" s="809"/>
      <c r="AD166" s="809"/>
      <c r="AE166" s="827"/>
      <c r="AF166" s="809"/>
      <c r="AG166" s="960"/>
      <c r="AH166" s="873"/>
      <c r="AI166" s="839">
        <f t="shared" si="7"/>
        <v>0</v>
      </c>
      <c r="AJ166" s="777">
        <v>0</v>
      </c>
      <c r="AK166" s="778">
        <f t="shared" si="8"/>
        <v>0</v>
      </c>
      <c r="AL166" s="780"/>
      <c r="AM166" s="781">
        <f t="shared" si="9"/>
        <v>0</v>
      </c>
    </row>
    <row r="167" spans="1:39" s="782" customFormat="1">
      <c r="A167" s="772" t="s">
        <v>667</v>
      </c>
      <c r="B167" s="772" t="s">
        <v>1175</v>
      </c>
      <c r="C167" s="898"/>
      <c r="D167" s="795"/>
      <c r="E167" s="778"/>
      <c r="F167" s="778"/>
      <c r="G167" s="778"/>
      <c r="H167" s="778"/>
      <c r="I167" s="777"/>
      <c r="J167" s="777"/>
      <c r="K167" s="777"/>
      <c r="L167" s="809"/>
      <c r="M167" s="809"/>
      <c r="N167" s="809"/>
      <c r="O167" s="809"/>
      <c r="P167" s="809"/>
      <c r="Q167" s="809"/>
      <c r="R167" s="809"/>
      <c r="S167" s="809"/>
      <c r="T167" s="809"/>
      <c r="U167" s="809"/>
      <c r="V167" s="809"/>
      <c r="W167" s="809"/>
      <c r="X167" s="809"/>
      <c r="Y167" s="809"/>
      <c r="Z167" s="809"/>
      <c r="AA167" s="809"/>
      <c r="AB167" s="809"/>
      <c r="AC167" s="809"/>
      <c r="AD167" s="809"/>
      <c r="AE167" s="827"/>
      <c r="AF167" s="809"/>
      <c r="AG167" s="960"/>
      <c r="AH167" s="873"/>
      <c r="AI167" s="839">
        <f t="shared" si="7"/>
        <v>0</v>
      </c>
      <c r="AJ167" s="777">
        <v>0</v>
      </c>
      <c r="AK167" s="778">
        <f t="shared" si="8"/>
        <v>0</v>
      </c>
      <c r="AL167" s="780" t="s">
        <v>1534</v>
      </c>
      <c r="AM167" s="781">
        <f t="shared" si="9"/>
        <v>13.47</v>
      </c>
    </row>
    <row r="168" spans="1:39" s="782" customFormat="1">
      <c r="A168" s="772" t="s">
        <v>668</v>
      </c>
      <c r="B168" s="772" t="s">
        <v>1176</v>
      </c>
      <c r="C168" s="877" t="s">
        <v>39</v>
      </c>
      <c r="D168" s="795"/>
      <c r="E168" s="778"/>
      <c r="F168" s="778"/>
      <c r="G168" s="778"/>
      <c r="H168" s="778"/>
      <c r="I168" s="777"/>
      <c r="J168" s="777"/>
      <c r="K168" s="777"/>
      <c r="L168" s="809"/>
      <c r="M168" s="809"/>
      <c r="N168" s="809"/>
      <c r="O168" s="809"/>
      <c r="P168" s="809"/>
      <c r="Q168" s="809"/>
      <c r="R168" s="809"/>
      <c r="S168" s="809"/>
      <c r="T168" s="809"/>
      <c r="U168" s="809"/>
      <c r="V168" s="809"/>
      <c r="W168" s="809"/>
      <c r="X168" s="809"/>
      <c r="Y168" s="809"/>
      <c r="Z168" s="809"/>
      <c r="AA168" s="809"/>
      <c r="AB168" s="809"/>
      <c r="AC168" s="809"/>
      <c r="AD168" s="809"/>
      <c r="AE168" s="827"/>
      <c r="AF168" s="809"/>
      <c r="AG168" s="960"/>
      <c r="AH168" s="873"/>
      <c r="AI168" s="839">
        <f t="shared" si="7"/>
        <v>0</v>
      </c>
      <c r="AJ168" s="777">
        <v>0</v>
      </c>
      <c r="AK168" s="778">
        <f t="shared" si="8"/>
        <v>0</v>
      </c>
      <c r="AL168" s="780" t="s">
        <v>1535</v>
      </c>
      <c r="AM168" s="781">
        <f t="shared" si="9"/>
        <v>153.93</v>
      </c>
    </row>
    <row r="169" spans="1:39" s="782" customFormat="1">
      <c r="A169" s="772" t="s">
        <v>669</v>
      </c>
      <c r="B169" s="772" t="s">
        <v>1177</v>
      </c>
      <c r="C169" s="877" t="s">
        <v>36</v>
      </c>
      <c r="D169" s="795"/>
      <c r="E169" s="778"/>
      <c r="F169" s="778"/>
      <c r="G169" s="778"/>
      <c r="H169" s="778"/>
      <c r="I169" s="777"/>
      <c r="J169" s="777"/>
      <c r="K169" s="777"/>
      <c r="L169" s="809"/>
      <c r="M169" s="809"/>
      <c r="N169" s="809"/>
      <c r="O169" s="809"/>
      <c r="P169" s="809"/>
      <c r="Q169" s="809"/>
      <c r="R169" s="809"/>
      <c r="S169" s="809"/>
      <c r="T169" s="809"/>
      <c r="U169" s="809"/>
      <c r="V169" s="809"/>
      <c r="W169" s="809"/>
      <c r="X169" s="809"/>
      <c r="Y169" s="809"/>
      <c r="Z169" s="809"/>
      <c r="AA169" s="809"/>
      <c r="AB169" s="797">
        <f>2*3*0.25*3.53+(2.05+2.54+2.54+2.05)*2</f>
        <v>23.655000000000001</v>
      </c>
      <c r="AC169" s="797">
        <f>2*3*0.25*3.53+(1.76+2.02+2.02+1.76)*2</f>
        <v>20.414999999999999</v>
      </c>
      <c r="AD169" s="797">
        <f>2*3*0.25*3.53+(1.44+1.5+1.5+1.44)*2</f>
        <v>17.055</v>
      </c>
      <c r="AE169" s="797"/>
      <c r="AF169" s="797">
        <f>2*3*0.25*3.53+(1.14+0.99+0.99+1.14)*2</f>
        <v>13.815</v>
      </c>
      <c r="AG169" s="777"/>
      <c r="AH169" s="797">
        <f>2*2*0.25*3.53+(0.83+0.46+0.46+0.83)*2+(0.52+0.14+0.14+0.52)*2</f>
        <v>11.33</v>
      </c>
      <c r="AI169" s="839">
        <f t="shared" si="7"/>
        <v>74.94</v>
      </c>
      <c r="AJ169" s="777">
        <v>0</v>
      </c>
      <c r="AK169" s="778">
        <f t="shared" si="8"/>
        <v>74.94</v>
      </c>
      <c r="AL169" s="780" t="s">
        <v>1536</v>
      </c>
      <c r="AM169" s="781">
        <f t="shared" si="9"/>
        <v>1706.52</v>
      </c>
    </row>
    <row r="170" spans="1:39" s="782" customFormat="1">
      <c r="A170" s="772" t="s">
        <v>670</v>
      </c>
      <c r="B170" s="772" t="s">
        <v>1178</v>
      </c>
      <c r="C170" s="877" t="s">
        <v>47</v>
      </c>
      <c r="D170" s="795"/>
      <c r="E170" s="778"/>
      <c r="F170" s="778"/>
      <c r="G170" s="778"/>
      <c r="H170" s="778"/>
      <c r="I170" s="777"/>
      <c r="J170" s="777"/>
      <c r="K170" s="777"/>
      <c r="L170" s="809"/>
      <c r="M170" s="809"/>
      <c r="N170" s="809"/>
      <c r="O170" s="809"/>
      <c r="P170" s="809"/>
      <c r="Q170" s="809"/>
      <c r="R170" s="809"/>
      <c r="S170" s="809"/>
      <c r="T170" s="809"/>
      <c r="U170" s="809"/>
      <c r="V170" s="809"/>
      <c r="W170" s="809"/>
      <c r="X170" s="809"/>
      <c r="Y170" s="809"/>
      <c r="Z170" s="809"/>
      <c r="AA170" s="809"/>
      <c r="AB170" s="809"/>
      <c r="AC170" s="809"/>
      <c r="AD170" s="809"/>
      <c r="AE170" s="827"/>
      <c r="AF170" s="809"/>
      <c r="AG170" s="960"/>
      <c r="AH170" s="873"/>
      <c r="AI170" s="839">
        <f t="shared" si="7"/>
        <v>0</v>
      </c>
      <c r="AJ170" s="777">
        <v>0</v>
      </c>
      <c r="AK170" s="778">
        <f t="shared" si="8"/>
        <v>0</v>
      </c>
      <c r="AL170" s="780" t="s">
        <v>1537</v>
      </c>
      <c r="AM170" s="781">
        <f t="shared" si="9"/>
        <v>1146.1400000000001</v>
      </c>
    </row>
    <row r="171" spans="1:39" s="782" customFormat="1">
      <c r="A171" s="772" t="s">
        <v>671</v>
      </c>
      <c r="B171" s="772" t="s">
        <v>1179</v>
      </c>
      <c r="C171" s="877" t="s">
        <v>1436</v>
      </c>
      <c r="D171" s="795"/>
      <c r="E171" s="778"/>
      <c r="F171" s="778"/>
      <c r="G171" s="778"/>
      <c r="H171" s="778"/>
      <c r="I171" s="777"/>
      <c r="J171" s="777"/>
      <c r="K171" s="777"/>
      <c r="L171" s="809"/>
      <c r="M171" s="809"/>
      <c r="N171" s="809"/>
      <c r="O171" s="809"/>
      <c r="P171" s="809"/>
      <c r="Q171" s="809"/>
      <c r="R171" s="809"/>
      <c r="S171" s="809"/>
      <c r="T171" s="809"/>
      <c r="U171" s="809"/>
      <c r="V171" s="809"/>
      <c r="W171" s="809"/>
      <c r="X171" s="809"/>
      <c r="Y171" s="809"/>
      <c r="Z171" s="809"/>
      <c r="AA171" s="809"/>
      <c r="AB171" s="809"/>
      <c r="AC171" s="809"/>
      <c r="AD171" s="809"/>
      <c r="AE171" s="827"/>
      <c r="AF171" s="809"/>
      <c r="AG171" s="960"/>
      <c r="AH171" s="873"/>
      <c r="AI171" s="839">
        <f t="shared" si="7"/>
        <v>0</v>
      </c>
      <c r="AJ171" s="777">
        <v>0</v>
      </c>
      <c r="AK171" s="778">
        <f t="shared" si="8"/>
        <v>0</v>
      </c>
      <c r="AL171" s="780"/>
      <c r="AM171" s="781">
        <f t="shared" si="9"/>
        <v>0</v>
      </c>
    </row>
    <row r="172" spans="1:39" s="782" customFormat="1">
      <c r="A172" s="772" t="s">
        <v>672</v>
      </c>
      <c r="B172" s="772" t="s">
        <v>1180</v>
      </c>
      <c r="C172" s="898"/>
      <c r="D172" s="795"/>
      <c r="E172" s="778"/>
      <c r="F172" s="778"/>
      <c r="G172" s="778"/>
      <c r="H172" s="778"/>
      <c r="I172" s="777"/>
      <c r="J172" s="777"/>
      <c r="K172" s="777"/>
      <c r="L172" s="809"/>
      <c r="M172" s="809"/>
      <c r="N172" s="809"/>
      <c r="O172" s="809"/>
      <c r="P172" s="809"/>
      <c r="Q172" s="809"/>
      <c r="R172" s="809"/>
      <c r="S172" s="809"/>
      <c r="T172" s="809"/>
      <c r="U172" s="809"/>
      <c r="V172" s="809"/>
      <c r="W172" s="809"/>
      <c r="X172" s="809"/>
      <c r="Y172" s="809"/>
      <c r="Z172" s="809"/>
      <c r="AA172" s="809"/>
      <c r="AB172" s="809"/>
      <c r="AC172" s="809"/>
      <c r="AD172" s="809"/>
      <c r="AE172" s="827"/>
      <c r="AF172" s="809"/>
      <c r="AG172" s="960"/>
      <c r="AH172" s="873"/>
      <c r="AI172" s="839">
        <f t="shared" si="7"/>
        <v>0</v>
      </c>
      <c r="AJ172" s="777">
        <v>0</v>
      </c>
      <c r="AK172" s="778">
        <f t="shared" si="8"/>
        <v>0</v>
      </c>
      <c r="AL172" s="780" t="s">
        <v>1538</v>
      </c>
      <c r="AM172" s="781">
        <f t="shared" si="9"/>
        <v>2.57</v>
      </c>
    </row>
    <row r="173" spans="1:39" s="782" customFormat="1">
      <c r="A173" s="772" t="s">
        <v>673</v>
      </c>
      <c r="B173" s="772" t="s">
        <v>1181</v>
      </c>
      <c r="C173" s="877" t="s">
        <v>39</v>
      </c>
      <c r="D173" s="795"/>
      <c r="E173" s="778"/>
      <c r="F173" s="778"/>
      <c r="G173" s="778"/>
      <c r="H173" s="778"/>
      <c r="I173" s="777"/>
      <c r="J173" s="777"/>
      <c r="K173" s="777"/>
      <c r="L173" s="809"/>
      <c r="M173" s="809"/>
      <c r="N173" s="809"/>
      <c r="O173" s="809"/>
      <c r="P173" s="809"/>
      <c r="Q173" s="809"/>
      <c r="R173" s="809"/>
      <c r="S173" s="809"/>
      <c r="T173" s="809"/>
      <c r="U173" s="809"/>
      <c r="V173" s="809"/>
      <c r="W173" s="809"/>
      <c r="X173" s="809"/>
      <c r="Y173" s="809"/>
      <c r="Z173" s="809"/>
      <c r="AA173" s="809"/>
      <c r="AB173" s="809"/>
      <c r="AC173" s="809"/>
      <c r="AD173" s="809"/>
      <c r="AE173" s="827"/>
      <c r="AF173" s="809"/>
      <c r="AG173" s="960"/>
      <c r="AH173" s="873"/>
      <c r="AI173" s="839">
        <f t="shared" si="7"/>
        <v>0</v>
      </c>
      <c r="AJ173" s="777">
        <v>0</v>
      </c>
      <c r="AK173" s="778">
        <f t="shared" si="8"/>
        <v>0</v>
      </c>
      <c r="AL173" s="780" t="s">
        <v>1480</v>
      </c>
      <c r="AM173" s="781">
        <f t="shared" si="9"/>
        <v>34.270000000000003</v>
      </c>
    </row>
    <row r="174" spans="1:39" s="782" customFormat="1">
      <c r="A174" s="772" t="s">
        <v>674</v>
      </c>
      <c r="B174" s="772" t="s">
        <v>1182</v>
      </c>
      <c r="C174" s="877" t="s">
        <v>36</v>
      </c>
      <c r="D174" s="795"/>
      <c r="E174" s="778"/>
      <c r="F174" s="778"/>
      <c r="G174" s="778"/>
      <c r="H174" s="778"/>
      <c r="I174" s="777"/>
      <c r="J174" s="777"/>
      <c r="K174" s="777"/>
      <c r="L174" s="809"/>
      <c r="M174" s="809"/>
      <c r="N174" s="809"/>
      <c r="O174" s="809"/>
      <c r="P174" s="809"/>
      <c r="Q174" s="809"/>
      <c r="R174" s="809"/>
      <c r="S174" s="809"/>
      <c r="T174" s="809"/>
      <c r="U174" s="809"/>
      <c r="V174" s="809"/>
      <c r="W174" s="809"/>
      <c r="X174" s="809"/>
      <c r="Y174" s="809"/>
      <c r="Z174" s="809"/>
      <c r="AA174" s="809"/>
      <c r="AB174" s="809"/>
      <c r="AC174" s="809"/>
      <c r="AD174" s="809"/>
      <c r="AE174" s="827"/>
      <c r="AF174" s="809"/>
      <c r="AG174" s="960"/>
      <c r="AH174" s="873"/>
      <c r="AI174" s="839">
        <f t="shared" si="7"/>
        <v>0</v>
      </c>
      <c r="AJ174" s="777">
        <v>0</v>
      </c>
      <c r="AK174" s="778">
        <f t="shared" si="8"/>
        <v>0</v>
      </c>
      <c r="AL174" s="780" t="s">
        <v>1539</v>
      </c>
      <c r="AM174" s="781">
        <f t="shared" si="9"/>
        <v>178.66</v>
      </c>
    </row>
    <row r="175" spans="1:39" s="782" customFormat="1">
      <c r="A175" s="772" t="s">
        <v>675</v>
      </c>
      <c r="B175" s="772" t="s">
        <v>1183</v>
      </c>
      <c r="C175" s="877" t="s">
        <v>47</v>
      </c>
      <c r="D175" s="795"/>
      <c r="E175" s="778"/>
      <c r="F175" s="778"/>
      <c r="G175" s="778"/>
      <c r="H175" s="778"/>
      <c r="I175" s="777"/>
      <c r="J175" s="777"/>
      <c r="K175" s="777"/>
      <c r="L175" s="809"/>
      <c r="M175" s="809"/>
      <c r="N175" s="809"/>
      <c r="O175" s="809"/>
      <c r="P175" s="809"/>
      <c r="Q175" s="809"/>
      <c r="R175" s="809"/>
      <c r="S175" s="809"/>
      <c r="T175" s="809"/>
      <c r="U175" s="809"/>
      <c r="V175" s="809"/>
      <c r="W175" s="809"/>
      <c r="X175" s="809"/>
      <c r="Y175" s="809"/>
      <c r="Z175" s="809"/>
      <c r="AA175" s="809"/>
      <c r="AB175" s="809"/>
      <c r="AC175" s="809"/>
      <c r="AD175" s="809"/>
      <c r="AE175" s="827"/>
      <c r="AF175" s="809"/>
      <c r="AG175" s="960"/>
      <c r="AH175" s="873"/>
      <c r="AI175" s="839">
        <f t="shared" si="7"/>
        <v>0</v>
      </c>
      <c r="AJ175" s="777">
        <v>0</v>
      </c>
      <c r="AK175" s="778">
        <f t="shared" si="8"/>
        <v>0</v>
      </c>
      <c r="AL175" s="780"/>
      <c r="AM175" s="781">
        <f t="shared" si="9"/>
        <v>0</v>
      </c>
    </row>
    <row r="176" spans="1:39" s="782" customFormat="1">
      <c r="A176" s="885" t="s">
        <v>676</v>
      </c>
      <c r="B176" s="885" t="s">
        <v>1184</v>
      </c>
      <c r="C176" s="898"/>
      <c r="D176" s="795"/>
      <c r="E176" s="778"/>
      <c r="F176" s="778"/>
      <c r="G176" s="778"/>
      <c r="H176" s="778"/>
      <c r="I176" s="777"/>
      <c r="J176" s="777"/>
      <c r="K176" s="777"/>
      <c r="L176" s="809"/>
      <c r="M176" s="809"/>
      <c r="N176" s="809"/>
      <c r="O176" s="809"/>
      <c r="P176" s="809"/>
      <c r="Q176" s="809"/>
      <c r="R176" s="809"/>
      <c r="S176" s="809"/>
      <c r="T176" s="809"/>
      <c r="U176" s="809"/>
      <c r="V176" s="809"/>
      <c r="W176" s="809"/>
      <c r="X176" s="809"/>
      <c r="Y176" s="809"/>
      <c r="Z176" s="809"/>
      <c r="AA176" s="809"/>
      <c r="AB176" s="809"/>
      <c r="AC176" s="809"/>
      <c r="AD176" s="809"/>
      <c r="AE176" s="827"/>
      <c r="AF176" s="809"/>
      <c r="AG176" s="960"/>
      <c r="AH176" s="873"/>
      <c r="AI176" s="839">
        <f t="shared" si="7"/>
        <v>0</v>
      </c>
      <c r="AJ176" s="777">
        <v>0</v>
      </c>
      <c r="AK176" s="778">
        <f t="shared" si="8"/>
        <v>0</v>
      </c>
      <c r="AL176" s="780" t="s">
        <v>1540</v>
      </c>
      <c r="AM176" s="781">
        <f t="shared" si="9"/>
        <v>377.52</v>
      </c>
    </row>
    <row r="177" spans="1:39" s="782" customFormat="1">
      <c r="A177" s="772" t="s">
        <v>677</v>
      </c>
      <c r="B177" s="772" t="s">
        <v>1185</v>
      </c>
      <c r="C177" s="877" t="s">
        <v>37</v>
      </c>
      <c r="D177" s="795"/>
      <c r="E177" s="778"/>
      <c r="F177" s="778"/>
      <c r="G177" s="778"/>
      <c r="H177" s="778"/>
      <c r="I177" s="777"/>
      <c r="J177" s="777"/>
      <c r="K177" s="777"/>
      <c r="L177" s="809"/>
      <c r="M177" s="809"/>
      <c r="N177" s="809"/>
      <c r="O177" s="809"/>
      <c r="P177" s="809"/>
      <c r="Q177" s="809"/>
      <c r="R177" s="809"/>
      <c r="S177" s="809"/>
      <c r="T177" s="809"/>
      <c r="U177" s="809"/>
      <c r="V177" s="809"/>
      <c r="W177" s="809"/>
      <c r="X177" s="809"/>
      <c r="Y177" s="809"/>
      <c r="Z177" s="809"/>
      <c r="AA177" s="809"/>
      <c r="AB177" s="809"/>
      <c r="AC177" s="809"/>
      <c r="AD177" s="809"/>
      <c r="AE177" s="827"/>
      <c r="AF177" s="809"/>
      <c r="AG177" s="960"/>
      <c r="AH177" s="873"/>
      <c r="AI177" s="839">
        <f t="shared" si="7"/>
        <v>0</v>
      </c>
      <c r="AJ177" s="777">
        <v>0</v>
      </c>
      <c r="AK177" s="778">
        <f t="shared" si="8"/>
        <v>0</v>
      </c>
      <c r="AL177" s="780"/>
      <c r="AM177" s="781">
        <f t="shared" si="9"/>
        <v>0</v>
      </c>
    </row>
    <row r="178" spans="1:39" s="782" customFormat="1">
      <c r="A178" s="885" t="s">
        <v>678</v>
      </c>
      <c r="B178" s="885" t="s">
        <v>1186</v>
      </c>
      <c r="C178" s="877"/>
      <c r="D178" s="795"/>
      <c r="E178" s="778"/>
      <c r="F178" s="778"/>
      <c r="G178" s="778"/>
      <c r="H178" s="778"/>
      <c r="I178" s="777"/>
      <c r="J178" s="777"/>
      <c r="K178" s="777"/>
      <c r="L178" s="809"/>
      <c r="M178" s="809"/>
      <c r="N178" s="809"/>
      <c r="O178" s="809"/>
      <c r="P178" s="809"/>
      <c r="Q178" s="809"/>
      <c r="R178" s="809"/>
      <c r="S178" s="809"/>
      <c r="T178" s="809"/>
      <c r="U178" s="809"/>
      <c r="V178" s="809"/>
      <c r="W178" s="809"/>
      <c r="X178" s="809"/>
      <c r="Y178" s="809"/>
      <c r="Z178" s="809"/>
      <c r="AA178" s="809"/>
      <c r="AB178" s="809"/>
      <c r="AC178" s="809"/>
      <c r="AD178" s="809"/>
      <c r="AE178" s="827"/>
      <c r="AF178" s="809"/>
      <c r="AG178" s="960"/>
      <c r="AH178" s="873"/>
      <c r="AI178" s="839">
        <f t="shared" si="7"/>
        <v>0</v>
      </c>
      <c r="AJ178" s="777">
        <v>0</v>
      </c>
      <c r="AK178" s="778">
        <f t="shared" si="8"/>
        <v>0</v>
      </c>
      <c r="AL178" s="780" t="s">
        <v>1541</v>
      </c>
      <c r="AM178" s="781">
        <f t="shared" si="9"/>
        <v>75.400000000000006</v>
      </c>
    </row>
    <row r="179" spans="1:39" s="782" customFormat="1">
      <c r="A179" s="772" t="s">
        <v>679</v>
      </c>
      <c r="B179" s="772" t="s">
        <v>1187</v>
      </c>
      <c r="C179" s="877" t="s">
        <v>37</v>
      </c>
      <c r="D179" s="795"/>
      <c r="E179" s="778"/>
      <c r="F179" s="778"/>
      <c r="G179" s="778"/>
      <c r="H179" s="778"/>
      <c r="I179" s="777"/>
      <c r="J179" s="777"/>
      <c r="K179" s="777"/>
      <c r="L179" s="809"/>
      <c r="M179" s="809"/>
      <c r="N179" s="809"/>
      <c r="O179" s="809"/>
      <c r="P179" s="809"/>
      <c r="Q179" s="809"/>
      <c r="R179" s="809"/>
      <c r="S179" s="809"/>
      <c r="T179" s="809"/>
      <c r="U179" s="809"/>
      <c r="V179" s="809"/>
      <c r="W179" s="809"/>
      <c r="X179" s="809"/>
      <c r="Y179" s="809"/>
      <c r="Z179" s="809"/>
      <c r="AA179" s="809"/>
      <c r="AB179" s="809"/>
      <c r="AC179" s="809"/>
      <c r="AD179" s="809"/>
      <c r="AE179" s="827"/>
      <c r="AF179" s="809"/>
      <c r="AG179" s="960"/>
      <c r="AH179" s="873"/>
      <c r="AI179" s="839">
        <f t="shared" si="7"/>
        <v>0</v>
      </c>
      <c r="AJ179" s="777">
        <v>0</v>
      </c>
      <c r="AK179" s="778">
        <f t="shared" si="8"/>
        <v>0</v>
      </c>
      <c r="AL179" s="780" t="s">
        <v>1479</v>
      </c>
      <c r="AM179" s="781">
        <f t="shared" si="9"/>
        <v>15</v>
      </c>
    </row>
    <row r="180" spans="1:39" s="782" customFormat="1">
      <c r="A180" s="772" t="s">
        <v>680</v>
      </c>
      <c r="B180" s="772" t="s">
        <v>224</v>
      </c>
      <c r="C180" s="877" t="s">
        <v>1436</v>
      </c>
      <c r="D180" s="795"/>
      <c r="E180" s="778"/>
      <c r="F180" s="778"/>
      <c r="G180" s="778"/>
      <c r="H180" s="778"/>
      <c r="I180" s="777"/>
      <c r="J180" s="777"/>
      <c r="K180" s="777"/>
      <c r="L180" s="809"/>
      <c r="M180" s="809"/>
      <c r="N180" s="809"/>
      <c r="O180" s="809"/>
      <c r="P180" s="809"/>
      <c r="Q180" s="809"/>
      <c r="R180" s="809"/>
      <c r="S180" s="809"/>
      <c r="T180" s="809"/>
      <c r="U180" s="809"/>
      <c r="V180" s="809"/>
      <c r="W180" s="809"/>
      <c r="X180" s="809"/>
      <c r="Y180" s="809"/>
      <c r="Z180" s="809"/>
      <c r="AA180" s="809"/>
      <c r="AB180" s="809"/>
      <c r="AC180" s="809"/>
      <c r="AD180" s="809"/>
      <c r="AE180" s="827"/>
      <c r="AF180" s="809"/>
      <c r="AG180" s="960"/>
      <c r="AH180" s="873"/>
      <c r="AI180" s="839">
        <f t="shared" si="7"/>
        <v>0</v>
      </c>
      <c r="AJ180" s="777">
        <v>0</v>
      </c>
      <c r="AK180" s="778">
        <f t="shared" si="8"/>
        <v>0</v>
      </c>
      <c r="AL180" s="780"/>
      <c r="AM180" s="781">
        <f t="shared" si="9"/>
        <v>0</v>
      </c>
    </row>
    <row r="181" spans="1:39" s="560" customFormat="1">
      <c r="A181" s="492" t="s">
        <v>502</v>
      </c>
      <c r="B181" s="608" t="s">
        <v>1196</v>
      </c>
      <c r="C181" s="690"/>
      <c r="D181" s="580"/>
      <c r="E181" s="778"/>
      <c r="F181" s="581"/>
      <c r="G181" s="581"/>
      <c r="H181" s="581"/>
      <c r="I181" s="949"/>
      <c r="J181" s="949"/>
      <c r="K181" s="949"/>
      <c r="L181" s="809"/>
      <c r="M181" s="575"/>
      <c r="N181" s="575"/>
      <c r="O181" s="575"/>
      <c r="P181" s="575"/>
      <c r="Q181" s="575"/>
      <c r="R181" s="575"/>
      <c r="S181" s="809"/>
      <c r="T181" s="575"/>
      <c r="U181" s="575"/>
      <c r="V181" s="575"/>
      <c r="W181" s="575"/>
      <c r="X181" s="575"/>
      <c r="Y181" s="575"/>
      <c r="Z181" s="809"/>
      <c r="AA181" s="575"/>
      <c r="AB181" s="575"/>
      <c r="AC181" s="575"/>
      <c r="AD181" s="575"/>
      <c r="AE181" s="827"/>
      <c r="AF181" s="575"/>
      <c r="AG181" s="960"/>
      <c r="AH181" s="842"/>
      <c r="AI181" s="738">
        <f t="shared" si="7"/>
        <v>0</v>
      </c>
      <c r="AJ181" s="949">
        <v>0</v>
      </c>
      <c r="AK181" s="581">
        <f t="shared" si="8"/>
        <v>0</v>
      </c>
      <c r="AL181" s="746"/>
      <c r="AM181" s="743">
        <f t="shared" si="9"/>
        <v>0</v>
      </c>
    </row>
    <row r="182" spans="1:39" s="560" customFormat="1">
      <c r="A182" s="607" t="s">
        <v>503</v>
      </c>
      <c r="B182" s="607" t="s">
        <v>45</v>
      </c>
      <c r="C182" s="690"/>
      <c r="D182" s="580"/>
      <c r="E182" s="778"/>
      <c r="F182" s="581"/>
      <c r="G182" s="581"/>
      <c r="H182" s="581"/>
      <c r="I182" s="949"/>
      <c r="J182" s="949"/>
      <c r="K182" s="949"/>
      <c r="L182" s="809"/>
      <c r="M182" s="575"/>
      <c r="N182" s="575"/>
      <c r="O182" s="575"/>
      <c r="P182" s="575"/>
      <c r="Q182" s="575"/>
      <c r="R182" s="575"/>
      <c r="S182" s="809"/>
      <c r="T182" s="575"/>
      <c r="U182" s="575"/>
      <c r="V182" s="575"/>
      <c r="W182" s="575"/>
      <c r="X182" s="575"/>
      <c r="Y182" s="575"/>
      <c r="Z182" s="809"/>
      <c r="AA182" s="575"/>
      <c r="AB182" s="575"/>
      <c r="AC182" s="575"/>
      <c r="AD182" s="575"/>
      <c r="AE182" s="827"/>
      <c r="AF182" s="575"/>
      <c r="AG182" s="960"/>
      <c r="AH182" s="842"/>
      <c r="AI182" s="738">
        <f t="shared" si="7"/>
        <v>0</v>
      </c>
      <c r="AJ182" s="949">
        <v>0</v>
      </c>
      <c r="AK182" s="581">
        <f t="shared" si="8"/>
        <v>0</v>
      </c>
      <c r="AL182" s="746" t="s">
        <v>1542</v>
      </c>
      <c r="AM182" s="743">
        <f t="shared" si="9"/>
        <v>39.86</v>
      </c>
    </row>
    <row r="183" spans="1:39" s="560" customFormat="1">
      <c r="A183" s="604" t="s">
        <v>681</v>
      </c>
      <c r="B183" s="604" t="s">
        <v>1142</v>
      </c>
      <c r="C183" s="614" t="s">
        <v>39</v>
      </c>
      <c r="D183" s="580"/>
      <c r="E183" s="778"/>
      <c r="F183" s="581"/>
      <c r="G183" s="581"/>
      <c r="H183" s="581"/>
      <c r="I183" s="949"/>
      <c r="J183" s="949"/>
      <c r="K183" s="949"/>
      <c r="L183" s="809"/>
      <c r="M183" s="575"/>
      <c r="N183" s="575"/>
      <c r="O183" s="575"/>
      <c r="P183" s="575"/>
      <c r="Q183" s="575"/>
      <c r="R183" s="575"/>
      <c r="S183" s="809"/>
      <c r="T183" s="575"/>
      <c r="U183" s="575"/>
      <c r="V183" s="575"/>
      <c r="W183" s="575"/>
      <c r="X183" s="575"/>
      <c r="Y183" s="575"/>
      <c r="Z183" s="809"/>
      <c r="AA183" s="575"/>
      <c r="AB183" s="575"/>
      <c r="AC183" s="575"/>
      <c r="AD183" s="575"/>
      <c r="AE183" s="827"/>
      <c r="AF183" s="575"/>
      <c r="AG183" s="960"/>
      <c r="AH183" s="842"/>
      <c r="AI183" s="738">
        <f t="shared" si="7"/>
        <v>0</v>
      </c>
      <c r="AJ183" s="949">
        <v>0</v>
      </c>
      <c r="AK183" s="581">
        <f t="shared" si="8"/>
        <v>0</v>
      </c>
      <c r="AL183" s="746" t="s">
        <v>1543</v>
      </c>
      <c r="AM183" s="743">
        <f t="shared" si="9"/>
        <v>9.1</v>
      </c>
    </row>
    <row r="184" spans="1:39" s="560" customFormat="1">
      <c r="A184" s="604" t="s">
        <v>682</v>
      </c>
      <c r="B184" s="604" t="s">
        <v>1143</v>
      </c>
      <c r="C184" s="614" t="s">
        <v>39</v>
      </c>
      <c r="D184" s="580"/>
      <c r="E184" s="778"/>
      <c r="F184" s="581"/>
      <c r="G184" s="581"/>
      <c r="H184" s="581"/>
      <c r="I184" s="949"/>
      <c r="J184" s="949"/>
      <c r="K184" s="949"/>
      <c r="L184" s="809"/>
      <c r="M184" s="575"/>
      <c r="N184" s="575"/>
      <c r="O184" s="575"/>
      <c r="P184" s="575"/>
      <c r="Q184" s="575"/>
      <c r="R184" s="575"/>
      <c r="S184" s="809"/>
      <c r="T184" s="575"/>
      <c r="U184" s="575"/>
      <c r="V184" s="575"/>
      <c r="W184" s="575"/>
      <c r="X184" s="575"/>
      <c r="Y184" s="575"/>
      <c r="Z184" s="809"/>
      <c r="AA184" s="575"/>
      <c r="AB184" s="575"/>
      <c r="AC184" s="575"/>
      <c r="AD184" s="575"/>
      <c r="AE184" s="827"/>
      <c r="AF184" s="575"/>
      <c r="AG184" s="960"/>
      <c r="AH184" s="842"/>
      <c r="AI184" s="738">
        <f t="shared" si="7"/>
        <v>0</v>
      </c>
      <c r="AJ184" s="949">
        <v>0</v>
      </c>
      <c r="AK184" s="581">
        <f t="shared" si="8"/>
        <v>0</v>
      </c>
      <c r="AL184" s="746" t="s">
        <v>1544</v>
      </c>
      <c r="AM184" s="743">
        <f t="shared" si="9"/>
        <v>15.72</v>
      </c>
    </row>
    <row r="185" spans="1:39" s="560" customFormat="1">
      <c r="A185" s="604" t="s">
        <v>683</v>
      </c>
      <c r="B185" s="604" t="s">
        <v>1144</v>
      </c>
      <c r="C185" s="614" t="s">
        <v>39</v>
      </c>
      <c r="D185" s="580"/>
      <c r="E185" s="778"/>
      <c r="F185" s="581"/>
      <c r="G185" s="581"/>
      <c r="H185" s="581"/>
      <c r="I185" s="949"/>
      <c r="J185" s="949"/>
      <c r="K185" s="949"/>
      <c r="L185" s="809"/>
      <c r="M185" s="575"/>
      <c r="N185" s="575"/>
      <c r="O185" s="575"/>
      <c r="P185" s="575"/>
      <c r="Q185" s="575"/>
      <c r="R185" s="575"/>
      <c r="S185" s="809"/>
      <c r="T185" s="575"/>
      <c r="U185" s="575"/>
      <c r="V185" s="575"/>
      <c r="W185" s="575"/>
      <c r="X185" s="575"/>
      <c r="Y185" s="575"/>
      <c r="Z185" s="809"/>
      <c r="AA185" s="575"/>
      <c r="AB185" s="575"/>
      <c r="AC185" s="575"/>
      <c r="AD185" s="575"/>
      <c r="AE185" s="827"/>
      <c r="AF185" s="575"/>
      <c r="AG185" s="960"/>
      <c r="AH185" s="842"/>
      <c r="AI185" s="738">
        <f t="shared" si="7"/>
        <v>0</v>
      </c>
      <c r="AJ185" s="949">
        <v>0</v>
      </c>
      <c r="AK185" s="581">
        <f t="shared" si="8"/>
        <v>0</v>
      </c>
      <c r="AL185" s="746" t="s">
        <v>1545</v>
      </c>
      <c r="AM185" s="743">
        <f t="shared" si="9"/>
        <v>22.03</v>
      </c>
    </row>
    <row r="186" spans="1:39" s="560" customFormat="1">
      <c r="A186" s="604" t="s">
        <v>684</v>
      </c>
      <c r="B186" s="604" t="s">
        <v>1145</v>
      </c>
      <c r="C186" s="614" t="s">
        <v>36</v>
      </c>
      <c r="D186" s="580"/>
      <c r="E186" s="778"/>
      <c r="F186" s="581"/>
      <c r="G186" s="581"/>
      <c r="H186" s="581"/>
      <c r="I186" s="949"/>
      <c r="J186" s="949"/>
      <c r="K186" s="949"/>
      <c r="L186" s="809"/>
      <c r="M186" s="575"/>
      <c r="N186" s="575"/>
      <c r="O186" s="575"/>
      <c r="P186" s="575"/>
      <c r="Q186" s="575"/>
      <c r="R186" s="575"/>
      <c r="S186" s="809"/>
      <c r="T186" s="575"/>
      <c r="U186" s="575"/>
      <c r="V186" s="575"/>
      <c r="W186" s="575"/>
      <c r="X186" s="575"/>
      <c r="Y186" s="575"/>
      <c r="Z186" s="809"/>
      <c r="AA186" s="575"/>
      <c r="AB186" s="575"/>
      <c r="AC186" s="575"/>
      <c r="AD186" s="575"/>
      <c r="AE186" s="827"/>
      <c r="AF186" s="575"/>
      <c r="AG186" s="960"/>
      <c r="AH186" s="842"/>
      <c r="AI186" s="738">
        <f t="shared" si="7"/>
        <v>0</v>
      </c>
      <c r="AJ186" s="949">
        <v>0</v>
      </c>
      <c r="AK186" s="581">
        <f t="shared" si="8"/>
        <v>0</v>
      </c>
      <c r="AL186" s="746" t="s">
        <v>1546</v>
      </c>
      <c r="AM186" s="743">
        <f t="shared" si="9"/>
        <v>41.56</v>
      </c>
    </row>
    <row r="187" spans="1:39" s="560" customFormat="1">
      <c r="A187" s="604" t="s">
        <v>685</v>
      </c>
      <c r="B187" s="604" t="s">
        <v>1146</v>
      </c>
      <c r="C187" s="614" t="s">
        <v>39</v>
      </c>
      <c r="D187" s="580"/>
      <c r="E187" s="778"/>
      <c r="F187" s="581"/>
      <c r="G187" s="581"/>
      <c r="H187" s="581"/>
      <c r="I187" s="949"/>
      <c r="J187" s="949"/>
      <c r="K187" s="949"/>
      <c r="L187" s="809"/>
      <c r="M187" s="575"/>
      <c r="N187" s="575"/>
      <c r="O187" s="575"/>
      <c r="P187" s="575"/>
      <c r="Q187" s="575"/>
      <c r="R187" s="575"/>
      <c r="S187" s="809"/>
      <c r="T187" s="575"/>
      <c r="U187" s="575"/>
      <c r="V187" s="575"/>
      <c r="W187" s="575"/>
      <c r="X187" s="575"/>
      <c r="Y187" s="575"/>
      <c r="Z187" s="809"/>
      <c r="AA187" s="575"/>
      <c r="AB187" s="575"/>
      <c r="AC187" s="575"/>
      <c r="AD187" s="575"/>
      <c r="AE187" s="827"/>
      <c r="AF187" s="575"/>
      <c r="AG187" s="960"/>
      <c r="AH187" s="842"/>
      <c r="AI187" s="738">
        <f t="shared" si="7"/>
        <v>0</v>
      </c>
      <c r="AJ187" s="949">
        <v>0</v>
      </c>
      <c r="AK187" s="581">
        <f t="shared" si="8"/>
        <v>0</v>
      </c>
      <c r="AL187" s="746" t="s">
        <v>1546</v>
      </c>
      <c r="AM187" s="743">
        <f t="shared" si="9"/>
        <v>41.56</v>
      </c>
    </row>
    <row r="188" spans="1:39" s="560" customFormat="1">
      <c r="A188" s="604" t="s">
        <v>686</v>
      </c>
      <c r="B188" s="604" t="s">
        <v>1147</v>
      </c>
      <c r="C188" s="614" t="s">
        <v>39</v>
      </c>
      <c r="D188" s="580"/>
      <c r="E188" s="778"/>
      <c r="F188" s="581"/>
      <c r="G188" s="581"/>
      <c r="H188" s="581"/>
      <c r="I188" s="949"/>
      <c r="J188" s="949"/>
      <c r="K188" s="949"/>
      <c r="L188" s="809"/>
      <c r="M188" s="575"/>
      <c r="N188" s="575"/>
      <c r="O188" s="575"/>
      <c r="P188" s="575"/>
      <c r="Q188" s="575"/>
      <c r="R188" s="575"/>
      <c r="S188" s="809"/>
      <c r="T188" s="575"/>
      <c r="U188" s="575"/>
      <c r="V188" s="575"/>
      <c r="W188" s="575"/>
      <c r="X188" s="575"/>
      <c r="Y188" s="575"/>
      <c r="Z188" s="809"/>
      <c r="AA188" s="575"/>
      <c r="AB188" s="575"/>
      <c r="AC188" s="575"/>
      <c r="AD188" s="575"/>
      <c r="AE188" s="827"/>
      <c r="AF188" s="575"/>
      <c r="AG188" s="960"/>
      <c r="AH188" s="842"/>
      <c r="AI188" s="738">
        <f t="shared" si="7"/>
        <v>0</v>
      </c>
      <c r="AJ188" s="949">
        <v>0</v>
      </c>
      <c r="AK188" s="581">
        <f t="shared" si="8"/>
        <v>0</v>
      </c>
      <c r="AL188" s="746"/>
      <c r="AM188" s="743">
        <f t="shared" si="9"/>
        <v>0</v>
      </c>
    </row>
    <row r="189" spans="1:39" s="560" customFormat="1">
      <c r="A189" s="607" t="s">
        <v>687</v>
      </c>
      <c r="B189" s="607" t="s">
        <v>1148</v>
      </c>
      <c r="C189" s="690"/>
      <c r="D189" s="580"/>
      <c r="E189" s="778"/>
      <c r="F189" s="581"/>
      <c r="G189" s="581"/>
      <c r="H189" s="581"/>
      <c r="I189" s="949"/>
      <c r="J189" s="949"/>
      <c r="K189" s="949"/>
      <c r="L189" s="809"/>
      <c r="M189" s="575"/>
      <c r="N189" s="575"/>
      <c r="O189" s="575"/>
      <c r="P189" s="575"/>
      <c r="Q189" s="575"/>
      <c r="R189" s="575"/>
      <c r="S189" s="809"/>
      <c r="T189" s="575"/>
      <c r="U189" s="575"/>
      <c r="V189" s="575"/>
      <c r="W189" s="575"/>
      <c r="X189" s="575"/>
      <c r="Y189" s="575"/>
      <c r="Z189" s="809"/>
      <c r="AA189" s="575"/>
      <c r="AB189" s="575"/>
      <c r="AC189" s="575"/>
      <c r="AD189" s="575"/>
      <c r="AE189" s="827"/>
      <c r="AF189" s="575"/>
      <c r="AG189" s="960"/>
      <c r="AH189" s="842"/>
      <c r="AI189" s="738">
        <f t="shared" si="7"/>
        <v>0</v>
      </c>
      <c r="AJ189" s="949">
        <v>0</v>
      </c>
      <c r="AK189" s="581">
        <f t="shared" si="8"/>
        <v>0</v>
      </c>
      <c r="AL189" s="746" t="s">
        <v>1547</v>
      </c>
      <c r="AM189" s="743">
        <f t="shared" si="9"/>
        <v>20.28</v>
      </c>
    </row>
    <row r="190" spans="1:39" s="560" customFormat="1">
      <c r="A190" s="604" t="s">
        <v>688</v>
      </c>
      <c r="B190" s="604" t="s">
        <v>1149</v>
      </c>
      <c r="C190" s="614" t="s">
        <v>39</v>
      </c>
      <c r="D190" s="580"/>
      <c r="E190" s="778"/>
      <c r="F190" s="581"/>
      <c r="G190" s="581"/>
      <c r="H190" s="581"/>
      <c r="I190" s="949"/>
      <c r="J190" s="949"/>
      <c r="K190" s="949"/>
      <c r="L190" s="809"/>
      <c r="M190" s="575"/>
      <c r="N190" s="575"/>
      <c r="O190" s="575"/>
      <c r="P190" s="575"/>
      <c r="Q190" s="575"/>
      <c r="R190" s="575"/>
      <c r="S190" s="809"/>
      <c r="T190" s="575"/>
      <c r="U190" s="575"/>
      <c r="V190" s="575"/>
      <c r="W190" s="575"/>
      <c r="X190" s="575"/>
      <c r="Y190" s="575"/>
      <c r="Z190" s="809"/>
      <c r="AA190" s="575"/>
      <c r="AB190" s="575"/>
      <c r="AC190" s="575"/>
      <c r="AD190" s="575"/>
      <c r="AE190" s="827"/>
      <c r="AF190" s="575"/>
      <c r="AG190" s="960"/>
      <c r="AH190" s="842"/>
      <c r="AI190" s="738">
        <f t="shared" si="7"/>
        <v>0</v>
      </c>
      <c r="AJ190" s="949">
        <v>0</v>
      </c>
      <c r="AK190" s="581">
        <f t="shared" si="8"/>
        <v>0</v>
      </c>
      <c r="AL190" s="746" t="s">
        <v>1548</v>
      </c>
      <c r="AM190" s="743">
        <f t="shared" si="9"/>
        <v>14.79</v>
      </c>
    </row>
    <row r="191" spans="1:39" s="560" customFormat="1">
      <c r="A191" s="604" t="s">
        <v>689</v>
      </c>
      <c r="B191" s="604" t="s">
        <v>1189</v>
      </c>
      <c r="C191" s="614" t="s">
        <v>36</v>
      </c>
      <c r="D191" s="580"/>
      <c r="E191" s="778"/>
      <c r="F191" s="581"/>
      <c r="G191" s="581"/>
      <c r="H191" s="581"/>
      <c r="I191" s="949"/>
      <c r="J191" s="949"/>
      <c r="K191" s="949"/>
      <c r="L191" s="809"/>
      <c r="M191" s="575"/>
      <c r="N191" s="575"/>
      <c r="O191" s="575"/>
      <c r="P191" s="575"/>
      <c r="Q191" s="575"/>
      <c r="R191" s="575"/>
      <c r="S191" s="809"/>
      <c r="T191" s="575"/>
      <c r="U191" s="575"/>
      <c r="V191" s="575"/>
      <c r="W191" s="575"/>
      <c r="X191" s="575"/>
      <c r="Y191" s="575"/>
      <c r="Z191" s="809"/>
      <c r="AA191" s="575"/>
      <c r="AB191" s="575"/>
      <c r="AC191" s="575"/>
      <c r="AD191" s="575"/>
      <c r="AE191" s="827"/>
      <c r="AF191" s="575"/>
      <c r="AG191" s="960"/>
      <c r="AH191" s="842"/>
      <c r="AI191" s="738">
        <f t="shared" si="7"/>
        <v>0</v>
      </c>
      <c r="AJ191" s="949">
        <v>0</v>
      </c>
      <c r="AK191" s="581">
        <f t="shared" si="8"/>
        <v>0</v>
      </c>
      <c r="AL191" s="746" t="s">
        <v>1549</v>
      </c>
      <c r="AM191" s="743">
        <f t="shared" si="9"/>
        <v>3.22</v>
      </c>
    </row>
    <row r="192" spans="1:39" s="560" customFormat="1">
      <c r="A192" s="604" t="s">
        <v>690</v>
      </c>
      <c r="B192" s="604" t="s">
        <v>1190</v>
      </c>
      <c r="C192" s="614" t="s">
        <v>39</v>
      </c>
      <c r="D192" s="580"/>
      <c r="E192" s="778"/>
      <c r="F192" s="581"/>
      <c r="G192" s="581"/>
      <c r="H192" s="581"/>
      <c r="I192" s="949"/>
      <c r="J192" s="949"/>
      <c r="K192" s="949"/>
      <c r="L192" s="809"/>
      <c r="M192" s="575"/>
      <c r="N192" s="575"/>
      <c r="O192" s="575"/>
      <c r="P192" s="575"/>
      <c r="Q192" s="575"/>
      <c r="R192" s="575"/>
      <c r="S192" s="809"/>
      <c r="T192" s="575"/>
      <c r="U192" s="575"/>
      <c r="V192" s="575"/>
      <c r="W192" s="575"/>
      <c r="X192" s="575"/>
      <c r="Y192" s="575"/>
      <c r="Z192" s="809"/>
      <c r="AA192" s="575"/>
      <c r="AB192" s="575"/>
      <c r="AC192" s="575"/>
      <c r="AD192" s="575"/>
      <c r="AE192" s="827"/>
      <c r="AF192" s="575"/>
      <c r="AG192" s="960"/>
      <c r="AH192" s="842"/>
      <c r="AI192" s="738">
        <f t="shared" si="7"/>
        <v>0</v>
      </c>
      <c r="AJ192" s="949">
        <v>0</v>
      </c>
      <c r="AK192" s="581">
        <f t="shared" si="8"/>
        <v>0</v>
      </c>
      <c r="AL192" s="746" t="s">
        <v>1550</v>
      </c>
      <c r="AM192" s="743">
        <f t="shared" si="9"/>
        <v>1.61</v>
      </c>
    </row>
    <row r="193" spans="1:39" s="560" customFormat="1">
      <c r="A193" s="604" t="s">
        <v>691</v>
      </c>
      <c r="B193" s="604" t="s">
        <v>1191</v>
      </c>
      <c r="C193" s="614" t="s">
        <v>39</v>
      </c>
      <c r="D193" s="580"/>
      <c r="E193" s="778"/>
      <c r="F193" s="581"/>
      <c r="G193" s="581"/>
      <c r="H193" s="581"/>
      <c r="I193" s="949"/>
      <c r="J193" s="949"/>
      <c r="K193" s="949"/>
      <c r="L193" s="809"/>
      <c r="M193" s="575"/>
      <c r="N193" s="575"/>
      <c r="O193" s="575"/>
      <c r="P193" s="575"/>
      <c r="Q193" s="575"/>
      <c r="R193" s="575"/>
      <c r="S193" s="809"/>
      <c r="T193" s="575"/>
      <c r="U193" s="575"/>
      <c r="V193" s="575"/>
      <c r="W193" s="575"/>
      <c r="X193" s="575"/>
      <c r="Y193" s="575"/>
      <c r="Z193" s="809"/>
      <c r="AA193" s="575"/>
      <c r="AB193" s="575"/>
      <c r="AC193" s="575"/>
      <c r="AD193" s="575"/>
      <c r="AE193" s="827"/>
      <c r="AF193" s="575"/>
      <c r="AG193" s="960"/>
      <c r="AH193" s="842"/>
      <c r="AI193" s="738">
        <f t="shared" si="7"/>
        <v>0</v>
      </c>
      <c r="AJ193" s="949">
        <v>0</v>
      </c>
      <c r="AK193" s="581">
        <f t="shared" si="8"/>
        <v>0</v>
      </c>
      <c r="AL193" s="746" t="s">
        <v>1551</v>
      </c>
      <c r="AM193" s="743">
        <f t="shared" si="9"/>
        <v>42.4</v>
      </c>
    </row>
    <row r="194" spans="1:39" s="560" customFormat="1">
      <c r="A194" s="604" t="s">
        <v>692</v>
      </c>
      <c r="B194" s="604" t="s">
        <v>1153</v>
      </c>
      <c r="C194" s="614" t="s">
        <v>36</v>
      </c>
      <c r="D194" s="580"/>
      <c r="E194" s="778"/>
      <c r="F194" s="581"/>
      <c r="G194" s="581"/>
      <c r="H194" s="581"/>
      <c r="I194" s="949"/>
      <c r="J194" s="949"/>
      <c r="K194" s="949"/>
      <c r="L194" s="809"/>
      <c r="M194" s="575"/>
      <c r="N194" s="575"/>
      <c r="O194" s="575"/>
      <c r="P194" s="575"/>
      <c r="Q194" s="575"/>
      <c r="R194" s="575"/>
      <c r="S194" s="809"/>
      <c r="T194" s="575"/>
      <c r="U194" s="575"/>
      <c r="V194" s="575"/>
      <c r="W194" s="575"/>
      <c r="X194" s="575"/>
      <c r="Y194" s="575"/>
      <c r="Z194" s="809"/>
      <c r="AA194" s="575"/>
      <c r="AB194" s="575"/>
      <c r="AC194" s="575"/>
      <c r="AD194" s="575"/>
      <c r="AE194" s="827"/>
      <c r="AF194" s="575"/>
      <c r="AG194" s="960"/>
      <c r="AH194" s="842"/>
      <c r="AI194" s="738">
        <f t="shared" si="7"/>
        <v>0</v>
      </c>
      <c r="AJ194" s="949">
        <v>0</v>
      </c>
      <c r="AK194" s="581">
        <f t="shared" si="8"/>
        <v>0</v>
      </c>
      <c r="AL194" s="746" t="s">
        <v>1545</v>
      </c>
      <c r="AM194" s="743">
        <f t="shared" si="9"/>
        <v>22.03</v>
      </c>
    </row>
    <row r="195" spans="1:39" s="560" customFormat="1">
      <c r="A195" s="604" t="s">
        <v>693</v>
      </c>
      <c r="B195" s="604" t="s">
        <v>1154</v>
      </c>
      <c r="C195" s="614" t="s">
        <v>36</v>
      </c>
      <c r="D195" s="580"/>
      <c r="E195" s="778"/>
      <c r="F195" s="581"/>
      <c r="G195" s="581"/>
      <c r="H195" s="581"/>
      <c r="I195" s="949"/>
      <c r="J195" s="949"/>
      <c r="K195" s="949"/>
      <c r="L195" s="809"/>
      <c r="M195" s="575"/>
      <c r="N195" s="575"/>
      <c r="O195" s="575"/>
      <c r="P195" s="575"/>
      <c r="Q195" s="575"/>
      <c r="R195" s="575"/>
      <c r="S195" s="809"/>
      <c r="T195" s="575"/>
      <c r="U195" s="575"/>
      <c r="V195" s="575"/>
      <c r="W195" s="575"/>
      <c r="X195" s="575"/>
      <c r="Y195" s="575"/>
      <c r="Z195" s="809"/>
      <c r="AA195" s="575"/>
      <c r="AB195" s="575"/>
      <c r="AC195" s="575"/>
      <c r="AD195" s="575"/>
      <c r="AE195" s="827"/>
      <c r="AF195" s="575"/>
      <c r="AG195" s="960"/>
      <c r="AH195" s="842"/>
      <c r="AI195" s="738">
        <f t="shared" si="7"/>
        <v>0</v>
      </c>
      <c r="AJ195" s="949">
        <v>0</v>
      </c>
      <c r="AK195" s="581">
        <f t="shared" si="8"/>
        <v>0</v>
      </c>
      <c r="AL195" s="746"/>
      <c r="AM195" s="743">
        <f t="shared" si="9"/>
        <v>0</v>
      </c>
    </row>
    <row r="196" spans="1:39" s="560" customFormat="1">
      <c r="A196" s="607" t="s">
        <v>694</v>
      </c>
      <c r="B196" s="607" t="s">
        <v>1155</v>
      </c>
      <c r="C196" s="690"/>
      <c r="D196" s="580"/>
      <c r="E196" s="778"/>
      <c r="F196" s="581"/>
      <c r="G196" s="581"/>
      <c r="H196" s="581"/>
      <c r="I196" s="949"/>
      <c r="J196" s="949"/>
      <c r="K196" s="949"/>
      <c r="L196" s="809"/>
      <c r="M196" s="575"/>
      <c r="N196" s="575"/>
      <c r="O196" s="575"/>
      <c r="P196" s="575"/>
      <c r="Q196" s="575"/>
      <c r="R196" s="575"/>
      <c r="S196" s="809"/>
      <c r="T196" s="575"/>
      <c r="U196" s="575"/>
      <c r="V196" s="575"/>
      <c r="W196" s="575"/>
      <c r="X196" s="575"/>
      <c r="Y196" s="575"/>
      <c r="Z196" s="809"/>
      <c r="AA196" s="575"/>
      <c r="AB196" s="575"/>
      <c r="AC196" s="575"/>
      <c r="AD196" s="575"/>
      <c r="AE196" s="827"/>
      <c r="AF196" s="575"/>
      <c r="AG196" s="960"/>
      <c r="AH196" s="842"/>
      <c r="AI196" s="738">
        <f t="shared" si="7"/>
        <v>0</v>
      </c>
      <c r="AJ196" s="949">
        <v>0</v>
      </c>
      <c r="AK196" s="581">
        <f t="shared" si="8"/>
        <v>0</v>
      </c>
      <c r="AL196" s="746"/>
      <c r="AM196" s="743">
        <f t="shared" si="9"/>
        <v>0</v>
      </c>
    </row>
    <row r="197" spans="1:39" s="560" customFormat="1">
      <c r="A197" s="604" t="s">
        <v>695</v>
      </c>
      <c r="B197" s="604" t="s">
        <v>1156</v>
      </c>
      <c r="C197" s="690"/>
      <c r="D197" s="580"/>
      <c r="E197" s="778"/>
      <c r="F197" s="581"/>
      <c r="G197" s="581"/>
      <c r="H197" s="581"/>
      <c r="I197" s="949"/>
      <c r="J197" s="949"/>
      <c r="K197" s="949"/>
      <c r="L197" s="809"/>
      <c r="M197" s="575"/>
      <c r="N197" s="575"/>
      <c r="O197" s="575"/>
      <c r="P197" s="575"/>
      <c r="Q197" s="575"/>
      <c r="R197" s="575"/>
      <c r="S197" s="809"/>
      <c r="T197" s="575"/>
      <c r="U197" s="575"/>
      <c r="V197" s="575"/>
      <c r="W197" s="575"/>
      <c r="X197" s="575"/>
      <c r="Y197" s="575"/>
      <c r="Z197" s="809"/>
      <c r="AA197" s="575"/>
      <c r="AB197" s="575"/>
      <c r="AC197" s="575"/>
      <c r="AD197" s="575"/>
      <c r="AE197" s="827"/>
      <c r="AF197" s="575"/>
      <c r="AG197" s="960"/>
      <c r="AH197" s="842"/>
      <c r="AI197" s="738">
        <f t="shared" si="7"/>
        <v>0</v>
      </c>
      <c r="AJ197" s="949">
        <v>0</v>
      </c>
      <c r="AK197" s="581">
        <f t="shared" si="8"/>
        <v>0</v>
      </c>
      <c r="AL197" s="746" t="s">
        <v>1456</v>
      </c>
      <c r="AM197" s="743">
        <f t="shared" si="9"/>
        <v>4.6100000000000003</v>
      </c>
    </row>
    <row r="198" spans="1:39" s="560" customFormat="1">
      <c r="A198" s="604" t="s">
        <v>696</v>
      </c>
      <c r="B198" s="604" t="s">
        <v>1192</v>
      </c>
      <c r="C198" s="614" t="s">
        <v>39</v>
      </c>
      <c r="D198" s="580"/>
      <c r="E198" s="778"/>
      <c r="F198" s="581"/>
      <c r="G198" s="581"/>
      <c r="H198" s="581"/>
      <c r="I198" s="949"/>
      <c r="J198" s="949"/>
      <c r="K198" s="949"/>
      <c r="L198" s="809"/>
      <c r="M198" s="575"/>
      <c r="N198" s="575"/>
      <c r="O198" s="575"/>
      <c r="P198" s="575"/>
      <c r="Q198" s="575"/>
      <c r="R198" s="575"/>
      <c r="S198" s="809"/>
      <c r="T198" s="575"/>
      <c r="U198" s="575"/>
      <c r="V198" s="575"/>
      <c r="W198" s="575"/>
      <c r="X198" s="575"/>
      <c r="Y198" s="575"/>
      <c r="Z198" s="809"/>
      <c r="AA198" s="575"/>
      <c r="AB198" s="575"/>
      <c r="AC198" s="575"/>
      <c r="AD198" s="575"/>
      <c r="AE198" s="827"/>
      <c r="AF198" s="575"/>
      <c r="AG198" s="960"/>
      <c r="AH198" s="842"/>
      <c r="AI198" s="738">
        <f t="shared" si="7"/>
        <v>0</v>
      </c>
      <c r="AJ198" s="949">
        <v>0</v>
      </c>
      <c r="AK198" s="581">
        <f t="shared" si="8"/>
        <v>0</v>
      </c>
      <c r="AL198" s="746" t="s">
        <v>1457</v>
      </c>
      <c r="AM198" s="743">
        <f t="shared" si="9"/>
        <v>192.7</v>
      </c>
    </row>
    <row r="199" spans="1:39" s="560" customFormat="1">
      <c r="A199" s="604" t="s">
        <v>697</v>
      </c>
      <c r="B199" s="604" t="s">
        <v>1158</v>
      </c>
      <c r="C199" s="614" t="s">
        <v>47</v>
      </c>
      <c r="D199" s="580"/>
      <c r="E199" s="778"/>
      <c r="F199" s="581"/>
      <c r="G199" s="581"/>
      <c r="H199" s="581"/>
      <c r="I199" s="949"/>
      <c r="J199" s="949"/>
      <c r="K199" s="949"/>
      <c r="L199" s="809"/>
      <c r="M199" s="575"/>
      <c r="N199" s="575"/>
      <c r="O199" s="575"/>
      <c r="P199" s="575"/>
      <c r="Q199" s="575"/>
      <c r="R199" s="575"/>
      <c r="S199" s="809"/>
      <c r="T199" s="575"/>
      <c r="U199" s="575"/>
      <c r="V199" s="575"/>
      <c r="W199" s="575"/>
      <c r="X199" s="575"/>
      <c r="Y199" s="575"/>
      <c r="Z199" s="809"/>
      <c r="AA199" s="575"/>
      <c r="AB199" s="575"/>
      <c r="AC199" s="575"/>
      <c r="AD199" s="575"/>
      <c r="AE199" s="827"/>
      <c r="AF199" s="575"/>
      <c r="AG199" s="960"/>
      <c r="AH199" s="842"/>
      <c r="AI199" s="738">
        <f t="shared" si="7"/>
        <v>0</v>
      </c>
      <c r="AJ199" s="949">
        <v>0</v>
      </c>
      <c r="AK199" s="581">
        <f t="shared" si="8"/>
        <v>0</v>
      </c>
      <c r="AL199" s="746"/>
      <c r="AM199" s="743">
        <f t="shared" si="9"/>
        <v>0</v>
      </c>
    </row>
    <row r="200" spans="1:39" s="560" customFormat="1">
      <c r="A200" s="604" t="s">
        <v>698</v>
      </c>
      <c r="B200" s="604" t="s">
        <v>1159</v>
      </c>
      <c r="C200" s="690"/>
      <c r="D200" s="580"/>
      <c r="E200" s="778"/>
      <c r="F200" s="581"/>
      <c r="G200" s="581"/>
      <c r="H200" s="581"/>
      <c r="I200" s="949"/>
      <c r="J200" s="949"/>
      <c r="K200" s="949"/>
      <c r="L200" s="809"/>
      <c r="M200" s="575"/>
      <c r="N200" s="575"/>
      <c r="O200" s="575"/>
      <c r="P200" s="575"/>
      <c r="Q200" s="575"/>
      <c r="R200" s="575"/>
      <c r="S200" s="809"/>
      <c r="T200" s="575"/>
      <c r="U200" s="575"/>
      <c r="V200" s="575"/>
      <c r="W200" s="575"/>
      <c r="X200" s="575"/>
      <c r="Y200" s="575"/>
      <c r="Z200" s="809"/>
      <c r="AA200" s="575"/>
      <c r="AB200" s="575"/>
      <c r="AC200" s="575"/>
      <c r="AD200" s="575"/>
      <c r="AE200" s="827"/>
      <c r="AF200" s="575"/>
      <c r="AG200" s="960"/>
      <c r="AH200" s="842"/>
      <c r="AI200" s="738">
        <f t="shared" si="7"/>
        <v>0</v>
      </c>
      <c r="AJ200" s="949">
        <v>0</v>
      </c>
      <c r="AK200" s="581">
        <f t="shared" si="8"/>
        <v>0</v>
      </c>
      <c r="AL200" s="746" t="s">
        <v>1552</v>
      </c>
      <c r="AM200" s="743">
        <f t="shared" si="9"/>
        <v>2.19</v>
      </c>
    </row>
    <row r="201" spans="1:39" s="560" customFormat="1">
      <c r="A201" s="604" t="s">
        <v>699</v>
      </c>
      <c r="B201" s="604" t="s">
        <v>1193</v>
      </c>
      <c r="C201" s="614" t="s">
        <v>39</v>
      </c>
      <c r="D201" s="580"/>
      <c r="E201" s="778"/>
      <c r="F201" s="581"/>
      <c r="G201" s="581"/>
      <c r="H201" s="581"/>
      <c r="I201" s="949"/>
      <c r="J201" s="949"/>
      <c r="K201" s="949"/>
      <c r="L201" s="809"/>
      <c r="M201" s="575"/>
      <c r="N201" s="575"/>
      <c r="O201" s="575"/>
      <c r="P201" s="575"/>
      <c r="Q201" s="575"/>
      <c r="R201" s="575"/>
      <c r="S201" s="809"/>
      <c r="T201" s="575"/>
      <c r="U201" s="575"/>
      <c r="V201" s="575"/>
      <c r="W201" s="575"/>
      <c r="X201" s="575"/>
      <c r="Y201" s="575"/>
      <c r="Z201" s="809"/>
      <c r="AA201" s="575"/>
      <c r="AB201" s="575"/>
      <c r="AC201" s="575"/>
      <c r="AD201" s="575"/>
      <c r="AE201" s="827"/>
      <c r="AF201" s="575"/>
      <c r="AG201" s="960"/>
      <c r="AH201" s="842"/>
      <c r="AI201" s="738">
        <f t="shared" si="7"/>
        <v>0</v>
      </c>
      <c r="AJ201" s="949">
        <v>0</v>
      </c>
      <c r="AK201" s="581">
        <f t="shared" si="8"/>
        <v>0</v>
      </c>
      <c r="AL201" s="746" t="s">
        <v>1553</v>
      </c>
      <c r="AM201" s="743">
        <f t="shared" si="9"/>
        <v>17.489999999999998</v>
      </c>
    </row>
    <row r="202" spans="1:39" s="560" customFormat="1">
      <c r="A202" s="604" t="s">
        <v>700</v>
      </c>
      <c r="B202" s="604" t="s">
        <v>1161</v>
      </c>
      <c r="C202" s="614" t="s">
        <v>36</v>
      </c>
      <c r="D202" s="580"/>
      <c r="E202" s="778"/>
      <c r="F202" s="581"/>
      <c r="G202" s="581"/>
      <c r="H202" s="581"/>
      <c r="I202" s="949"/>
      <c r="J202" s="949"/>
      <c r="K202" s="949"/>
      <c r="L202" s="809"/>
      <c r="M202" s="575"/>
      <c r="N202" s="575"/>
      <c r="O202" s="575"/>
      <c r="P202" s="575"/>
      <c r="Q202" s="575"/>
      <c r="R202" s="575"/>
      <c r="S202" s="809"/>
      <c r="T202" s="575"/>
      <c r="U202" s="575"/>
      <c r="V202" s="575"/>
      <c r="W202" s="575"/>
      <c r="X202" s="575"/>
      <c r="Y202" s="575"/>
      <c r="Z202" s="809"/>
      <c r="AA202" s="575"/>
      <c r="AB202" s="575"/>
      <c r="AC202" s="575"/>
      <c r="AD202" s="575"/>
      <c r="AE202" s="827"/>
      <c r="AF202" s="575"/>
      <c r="AG202" s="960"/>
      <c r="AH202" s="842"/>
      <c r="AI202" s="738">
        <f t="shared" si="7"/>
        <v>0</v>
      </c>
      <c r="AJ202" s="949">
        <v>0</v>
      </c>
      <c r="AK202" s="581">
        <f t="shared" si="8"/>
        <v>0</v>
      </c>
      <c r="AL202" s="746" t="s">
        <v>1554</v>
      </c>
      <c r="AM202" s="743">
        <f t="shared" si="9"/>
        <v>179.25</v>
      </c>
    </row>
    <row r="203" spans="1:39" s="560" customFormat="1">
      <c r="A203" s="604" t="s">
        <v>701</v>
      </c>
      <c r="B203" s="604" t="s">
        <v>1162</v>
      </c>
      <c r="C203" s="614" t="s">
        <v>47</v>
      </c>
      <c r="D203" s="580"/>
      <c r="E203" s="778"/>
      <c r="F203" s="581"/>
      <c r="G203" s="581"/>
      <c r="H203" s="581"/>
      <c r="I203" s="949"/>
      <c r="J203" s="949"/>
      <c r="K203" s="949"/>
      <c r="L203" s="809"/>
      <c r="M203" s="575"/>
      <c r="N203" s="575"/>
      <c r="O203" s="575"/>
      <c r="P203" s="575"/>
      <c r="Q203" s="575"/>
      <c r="R203" s="575"/>
      <c r="S203" s="809"/>
      <c r="T203" s="575"/>
      <c r="U203" s="575"/>
      <c r="V203" s="575"/>
      <c r="W203" s="575"/>
      <c r="X203" s="575"/>
      <c r="Y203" s="575"/>
      <c r="Z203" s="809"/>
      <c r="AA203" s="575"/>
      <c r="AB203" s="575"/>
      <c r="AC203" s="575"/>
      <c r="AD203" s="575"/>
      <c r="AE203" s="827"/>
      <c r="AF203" s="575"/>
      <c r="AG203" s="960"/>
      <c r="AH203" s="842"/>
      <c r="AI203" s="738">
        <f t="shared" ref="AI203:AI234" si="10">ROUND((SUM(D203:AG203)),2)</f>
        <v>0</v>
      </c>
      <c r="AJ203" s="949">
        <v>0</v>
      </c>
      <c r="AK203" s="581">
        <f t="shared" si="8"/>
        <v>0</v>
      </c>
      <c r="AL203" s="746"/>
      <c r="AM203" s="743">
        <f t="shared" si="9"/>
        <v>0</v>
      </c>
    </row>
    <row r="204" spans="1:39" s="560" customFormat="1">
      <c r="A204" s="604" t="s">
        <v>702</v>
      </c>
      <c r="B204" s="604" t="s">
        <v>1163</v>
      </c>
      <c r="C204" s="690"/>
      <c r="D204" s="580"/>
      <c r="E204" s="778"/>
      <c r="F204" s="581"/>
      <c r="G204" s="581"/>
      <c r="H204" s="581"/>
      <c r="I204" s="949"/>
      <c r="J204" s="949"/>
      <c r="K204" s="949"/>
      <c r="L204" s="809"/>
      <c r="M204" s="575"/>
      <c r="N204" s="575"/>
      <c r="O204" s="575"/>
      <c r="P204" s="575"/>
      <c r="Q204" s="575"/>
      <c r="R204" s="575"/>
      <c r="S204" s="809"/>
      <c r="T204" s="575"/>
      <c r="U204" s="575"/>
      <c r="V204" s="575"/>
      <c r="W204" s="575"/>
      <c r="X204" s="575"/>
      <c r="Y204" s="575"/>
      <c r="Z204" s="809"/>
      <c r="AA204" s="575"/>
      <c r="AB204" s="575"/>
      <c r="AC204" s="575"/>
      <c r="AD204" s="575"/>
      <c r="AE204" s="827"/>
      <c r="AF204" s="575"/>
      <c r="AG204" s="960"/>
      <c r="AH204" s="842"/>
      <c r="AI204" s="738">
        <f t="shared" si="10"/>
        <v>0</v>
      </c>
      <c r="AJ204" s="949">
        <v>0</v>
      </c>
      <c r="AK204" s="581">
        <f t="shared" si="8"/>
        <v>0</v>
      </c>
      <c r="AL204" s="746" t="s">
        <v>1518</v>
      </c>
      <c r="AM204" s="743">
        <f t="shared" si="9"/>
        <v>2.1800000000000002</v>
      </c>
    </row>
    <row r="205" spans="1:39" s="560" customFormat="1">
      <c r="A205" s="604" t="s">
        <v>703</v>
      </c>
      <c r="B205" s="604" t="s">
        <v>1194</v>
      </c>
      <c r="C205" s="614" t="s">
        <v>39</v>
      </c>
      <c r="D205" s="580"/>
      <c r="E205" s="778"/>
      <c r="F205" s="581"/>
      <c r="G205" s="581"/>
      <c r="H205" s="581"/>
      <c r="I205" s="949"/>
      <c r="J205" s="949"/>
      <c r="K205" s="949"/>
      <c r="L205" s="809"/>
      <c r="M205" s="575"/>
      <c r="N205" s="575"/>
      <c r="O205" s="575"/>
      <c r="P205" s="575"/>
      <c r="Q205" s="575"/>
      <c r="R205" s="575"/>
      <c r="S205" s="809"/>
      <c r="T205" s="575"/>
      <c r="U205" s="575"/>
      <c r="V205" s="575"/>
      <c r="W205" s="575"/>
      <c r="X205" s="575"/>
      <c r="Y205" s="575"/>
      <c r="Z205" s="809"/>
      <c r="AA205" s="575"/>
      <c r="AB205" s="575"/>
      <c r="AC205" s="575"/>
      <c r="AD205" s="575"/>
      <c r="AE205" s="827"/>
      <c r="AF205" s="575"/>
      <c r="AG205" s="960"/>
      <c r="AH205" s="842"/>
      <c r="AI205" s="738">
        <f t="shared" si="10"/>
        <v>0</v>
      </c>
      <c r="AJ205" s="949">
        <v>0</v>
      </c>
      <c r="AK205" s="581">
        <f t="shared" si="8"/>
        <v>0</v>
      </c>
      <c r="AL205" s="746" t="s">
        <v>1555</v>
      </c>
      <c r="AM205" s="743">
        <f t="shared" si="9"/>
        <v>34.799999999999997</v>
      </c>
    </row>
    <row r="206" spans="1:39" s="560" customFormat="1">
      <c r="A206" s="604" t="s">
        <v>704</v>
      </c>
      <c r="B206" s="604" t="s">
        <v>1165</v>
      </c>
      <c r="C206" s="614" t="s">
        <v>36</v>
      </c>
      <c r="D206" s="580"/>
      <c r="E206" s="778"/>
      <c r="F206" s="581"/>
      <c r="G206" s="581"/>
      <c r="H206" s="581"/>
      <c r="I206" s="949"/>
      <c r="J206" s="949"/>
      <c r="K206" s="949"/>
      <c r="L206" s="809"/>
      <c r="M206" s="575"/>
      <c r="N206" s="575"/>
      <c r="O206" s="575"/>
      <c r="P206" s="575"/>
      <c r="Q206" s="575"/>
      <c r="R206" s="575"/>
      <c r="S206" s="809"/>
      <c r="T206" s="575"/>
      <c r="U206" s="575"/>
      <c r="V206" s="575"/>
      <c r="W206" s="575"/>
      <c r="X206" s="575"/>
      <c r="Y206" s="575"/>
      <c r="Z206" s="809"/>
      <c r="AA206" s="575"/>
      <c r="AB206" s="575"/>
      <c r="AC206" s="575"/>
      <c r="AD206" s="575"/>
      <c r="AE206" s="827"/>
      <c r="AF206" s="575"/>
      <c r="AG206" s="960"/>
      <c r="AH206" s="842"/>
      <c r="AI206" s="738">
        <f t="shared" si="10"/>
        <v>0</v>
      </c>
      <c r="AJ206" s="949">
        <v>0</v>
      </c>
      <c r="AK206" s="581">
        <f t="shared" ref="AK206:AK269" si="11">AI206+AJ206</f>
        <v>0</v>
      </c>
      <c r="AL206" s="746" t="s">
        <v>1556</v>
      </c>
      <c r="AM206" s="743">
        <f t="shared" ref="AM206:AM269" si="12">AL206-AK206</f>
        <v>314.66000000000003</v>
      </c>
    </row>
    <row r="207" spans="1:39" s="560" customFormat="1">
      <c r="A207" s="604" t="s">
        <v>705</v>
      </c>
      <c r="B207" s="604" t="s">
        <v>1166</v>
      </c>
      <c r="C207" s="614" t="s">
        <v>47</v>
      </c>
      <c r="D207" s="580"/>
      <c r="E207" s="778"/>
      <c r="F207" s="581"/>
      <c r="G207" s="581"/>
      <c r="H207" s="581"/>
      <c r="I207" s="949"/>
      <c r="J207" s="949"/>
      <c r="K207" s="949"/>
      <c r="L207" s="809"/>
      <c r="M207" s="575"/>
      <c r="N207" s="575"/>
      <c r="O207" s="575"/>
      <c r="P207" s="575"/>
      <c r="Q207" s="575"/>
      <c r="R207" s="575"/>
      <c r="S207" s="809"/>
      <c r="T207" s="575"/>
      <c r="U207" s="575"/>
      <c r="V207" s="575"/>
      <c r="W207" s="575"/>
      <c r="X207" s="575"/>
      <c r="Y207" s="575"/>
      <c r="Z207" s="809"/>
      <c r="AA207" s="575"/>
      <c r="AB207" s="575"/>
      <c r="AC207" s="575"/>
      <c r="AD207" s="575"/>
      <c r="AE207" s="827"/>
      <c r="AF207" s="575"/>
      <c r="AG207" s="960"/>
      <c r="AH207" s="842"/>
      <c r="AI207" s="738">
        <f t="shared" si="10"/>
        <v>0</v>
      </c>
      <c r="AJ207" s="949">
        <v>0</v>
      </c>
      <c r="AK207" s="581">
        <f t="shared" si="11"/>
        <v>0</v>
      </c>
      <c r="AL207" s="746"/>
      <c r="AM207" s="743">
        <f t="shared" si="12"/>
        <v>0</v>
      </c>
    </row>
    <row r="208" spans="1:39" s="560" customFormat="1">
      <c r="A208" s="604" t="s">
        <v>706</v>
      </c>
      <c r="B208" s="604" t="s">
        <v>1167</v>
      </c>
      <c r="C208" s="690"/>
      <c r="D208" s="580"/>
      <c r="E208" s="778"/>
      <c r="F208" s="581"/>
      <c r="G208" s="581"/>
      <c r="H208" s="581"/>
      <c r="I208" s="949"/>
      <c r="J208" s="949"/>
      <c r="K208" s="949"/>
      <c r="L208" s="809"/>
      <c r="M208" s="575"/>
      <c r="N208" s="575"/>
      <c r="O208" s="575"/>
      <c r="P208" s="575"/>
      <c r="Q208" s="575"/>
      <c r="R208" s="575"/>
      <c r="S208" s="809"/>
      <c r="T208" s="575"/>
      <c r="U208" s="575"/>
      <c r="V208" s="575"/>
      <c r="W208" s="575"/>
      <c r="X208" s="575"/>
      <c r="Y208" s="575"/>
      <c r="Z208" s="809"/>
      <c r="AA208" s="575"/>
      <c r="AB208" s="575"/>
      <c r="AC208" s="575"/>
      <c r="AD208" s="575"/>
      <c r="AE208" s="827"/>
      <c r="AF208" s="575"/>
      <c r="AG208" s="960"/>
      <c r="AH208" s="842"/>
      <c r="AI208" s="738">
        <f t="shared" si="10"/>
        <v>0</v>
      </c>
      <c r="AJ208" s="949">
        <v>0</v>
      </c>
      <c r="AK208" s="581">
        <f t="shared" si="11"/>
        <v>0</v>
      </c>
      <c r="AL208" s="746" t="s">
        <v>1464</v>
      </c>
      <c r="AM208" s="743">
        <f t="shared" si="12"/>
        <v>1.49</v>
      </c>
    </row>
    <row r="209" spans="1:39" s="560" customFormat="1">
      <c r="A209" s="604" t="s">
        <v>707</v>
      </c>
      <c r="B209" s="604" t="s">
        <v>1168</v>
      </c>
      <c r="C209" s="614" t="s">
        <v>39</v>
      </c>
      <c r="D209" s="580"/>
      <c r="E209" s="778"/>
      <c r="F209" s="581"/>
      <c r="G209" s="581"/>
      <c r="H209" s="581"/>
      <c r="I209" s="949"/>
      <c r="J209" s="949"/>
      <c r="K209" s="949"/>
      <c r="L209" s="809"/>
      <c r="M209" s="575"/>
      <c r="N209" s="575"/>
      <c r="O209" s="575"/>
      <c r="P209" s="575"/>
      <c r="Q209" s="575"/>
      <c r="R209" s="575"/>
      <c r="S209" s="809"/>
      <c r="T209" s="575"/>
      <c r="U209" s="575"/>
      <c r="V209" s="575"/>
      <c r="W209" s="575"/>
      <c r="X209" s="575"/>
      <c r="Y209" s="575"/>
      <c r="Z209" s="809"/>
      <c r="AA209" s="575"/>
      <c r="AB209" s="575"/>
      <c r="AC209" s="575"/>
      <c r="AD209" s="575"/>
      <c r="AE209" s="827"/>
      <c r="AF209" s="575"/>
      <c r="AG209" s="960"/>
      <c r="AH209" s="842"/>
      <c r="AI209" s="738">
        <f t="shared" si="10"/>
        <v>0</v>
      </c>
      <c r="AJ209" s="949">
        <v>0</v>
      </c>
      <c r="AK209" s="581">
        <f t="shared" si="11"/>
        <v>0</v>
      </c>
      <c r="AL209" s="746" t="s">
        <v>1465</v>
      </c>
      <c r="AM209" s="743">
        <f t="shared" si="12"/>
        <v>19.71</v>
      </c>
    </row>
    <row r="210" spans="1:39" s="560" customFormat="1">
      <c r="A210" s="604" t="s">
        <v>708</v>
      </c>
      <c r="B210" s="604" t="s">
        <v>1169</v>
      </c>
      <c r="C210" s="614" t="s">
        <v>36</v>
      </c>
      <c r="D210" s="580"/>
      <c r="E210" s="778"/>
      <c r="F210" s="581"/>
      <c r="G210" s="581"/>
      <c r="H210" s="581"/>
      <c r="I210" s="949"/>
      <c r="J210" s="949"/>
      <c r="K210" s="949"/>
      <c r="L210" s="809"/>
      <c r="M210" s="575"/>
      <c r="N210" s="575"/>
      <c r="O210" s="575"/>
      <c r="P210" s="575"/>
      <c r="Q210" s="575"/>
      <c r="R210" s="575"/>
      <c r="S210" s="809"/>
      <c r="T210" s="575"/>
      <c r="U210" s="575"/>
      <c r="V210" s="575"/>
      <c r="W210" s="575"/>
      <c r="X210" s="575"/>
      <c r="Y210" s="575"/>
      <c r="Z210" s="809"/>
      <c r="AA210" s="575"/>
      <c r="AB210" s="575"/>
      <c r="AC210" s="575"/>
      <c r="AD210" s="575"/>
      <c r="AE210" s="827"/>
      <c r="AF210" s="575"/>
      <c r="AG210" s="960"/>
      <c r="AH210" s="842"/>
      <c r="AI210" s="738">
        <f t="shared" si="10"/>
        <v>0</v>
      </c>
      <c r="AJ210" s="949">
        <v>0</v>
      </c>
      <c r="AK210" s="581">
        <f t="shared" si="11"/>
        <v>0</v>
      </c>
      <c r="AL210" s="746" t="s">
        <v>1466</v>
      </c>
      <c r="AM210" s="743">
        <f t="shared" si="12"/>
        <v>659.98</v>
      </c>
    </row>
    <row r="211" spans="1:39" s="560" customFormat="1">
      <c r="A211" s="604" t="s">
        <v>709</v>
      </c>
      <c r="B211" s="604" t="s">
        <v>1170</v>
      </c>
      <c r="C211" s="614" t="s">
        <v>47</v>
      </c>
      <c r="D211" s="580"/>
      <c r="E211" s="778"/>
      <c r="F211" s="581"/>
      <c r="G211" s="581"/>
      <c r="H211" s="581"/>
      <c r="I211" s="949"/>
      <c r="J211" s="949"/>
      <c r="K211" s="949"/>
      <c r="L211" s="809"/>
      <c r="M211" s="575"/>
      <c r="N211" s="575"/>
      <c r="O211" s="575"/>
      <c r="P211" s="575"/>
      <c r="Q211" s="575"/>
      <c r="R211" s="575"/>
      <c r="S211" s="809"/>
      <c r="T211" s="575"/>
      <c r="U211" s="575"/>
      <c r="V211" s="575"/>
      <c r="W211" s="575"/>
      <c r="X211" s="575"/>
      <c r="Y211" s="575"/>
      <c r="Z211" s="809"/>
      <c r="AA211" s="575"/>
      <c r="AB211" s="575"/>
      <c r="AC211" s="575"/>
      <c r="AD211" s="575"/>
      <c r="AE211" s="827"/>
      <c r="AF211" s="575"/>
      <c r="AG211" s="960"/>
      <c r="AH211" s="842"/>
      <c r="AI211" s="738">
        <f t="shared" si="10"/>
        <v>0</v>
      </c>
      <c r="AJ211" s="949">
        <v>0</v>
      </c>
      <c r="AK211" s="581">
        <f t="shared" si="11"/>
        <v>0</v>
      </c>
      <c r="AL211" s="746"/>
      <c r="AM211" s="743">
        <f t="shared" si="12"/>
        <v>0</v>
      </c>
    </row>
    <row r="212" spans="1:39" s="560" customFormat="1">
      <c r="A212" s="604" t="s">
        <v>710</v>
      </c>
      <c r="B212" s="604" t="s">
        <v>1171</v>
      </c>
      <c r="C212" s="690"/>
      <c r="D212" s="580"/>
      <c r="E212" s="778"/>
      <c r="F212" s="581"/>
      <c r="G212" s="581"/>
      <c r="H212" s="581"/>
      <c r="I212" s="949"/>
      <c r="J212" s="949"/>
      <c r="K212" s="949"/>
      <c r="L212" s="809"/>
      <c r="M212" s="575"/>
      <c r="N212" s="575"/>
      <c r="O212" s="575"/>
      <c r="P212" s="575"/>
      <c r="Q212" s="575"/>
      <c r="R212" s="575"/>
      <c r="S212" s="809"/>
      <c r="T212" s="575"/>
      <c r="U212" s="575"/>
      <c r="V212" s="575"/>
      <c r="W212" s="575"/>
      <c r="X212" s="575"/>
      <c r="Y212" s="575"/>
      <c r="Z212" s="809"/>
      <c r="AA212" s="575"/>
      <c r="AB212" s="575"/>
      <c r="AC212" s="575"/>
      <c r="AD212" s="575"/>
      <c r="AE212" s="827"/>
      <c r="AF212" s="575"/>
      <c r="AG212" s="960"/>
      <c r="AH212" s="842"/>
      <c r="AI212" s="738">
        <f t="shared" si="10"/>
        <v>0</v>
      </c>
      <c r="AJ212" s="949">
        <v>0</v>
      </c>
      <c r="AK212" s="581">
        <f t="shared" si="11"/>
        <v>0</v>
      </c>
      <c r="AL212" s="746" t="s">
        <v>1557</v>
      </c>
      <c r="AM212" s="743">
        <f t="shared" si="12"/>
        <v>5.6</v>
      </c>
    </row>
    <row r="213" spans="1:39" s="560" customFormat="1">
      <c r="A213" s="604" t="s">
        <v>711</v>
      </c>
      <c r="B213" s="604" t="s">
        <v>1172</v>
      </c>
      <c r="C213" s="614" t="s">
        <v>39</v>
      </c>
      <c r="D213" s="580"/>
      <c r="E213" s="778"/>
      <c r="F213" s="581"/>
      <c r="G213" s="581"/>
      <c r="H213" s="581"/>
      <c r="I213" s="949"/>
      <c r="J213" s="949"/>
      <c r="K213" s="949"/>
      <c r="L213" s="809"/>
      <c r="M213" s="575"/>
      <c r="N213" s="575"/>
      <c r="O213" s="575"/>
      <c r="P213" s="575"/>
      <c r="Q213" s="575"/>
      <c r="R213" s="575"/>
      <c r="S213" s="809"/>
      <c r="T213" s="575"/>
      <c r="U213" s="575"/>
      <c r="V213" s="575"/>
      <c r="W213" s="575"/>
      <c r="X213" s="575"/>
      <c r="Y213" s="575"/>
      <c r="Z213" s="809"/>
      <c r="AA213" s="575"/>
      <c r="AB213" s="575"/>
      <c r="AC213" s="575"/>
      <c r="AD213" s="575"/>
      <c r="AE213" s="827"/>
      <c r="AF213" s="575"/>
      <c r="AG213" s="960"/>
      <c r="AH213" s="842"/>
      <c r="AI213" s="738">
        <f t="shared" si="10"/>
        <v>0</v>
      </c>
      <c r="AJ213" s="949">
        <v>0</v>
      </c>
      <c r="AK213" s="581">
        <f t="shared" si="11"/>
        <v>0</v>
      </c>
      <c r="AL213" s="746" t="s">
        <v>1558</v>
      </c>
      <c r="AM213" s="743">
        <f t="shared" si="12"/>
        <v>48.75</v>
      </c>
    </row>
    <row r="214" spans="1:39" s="560" customFormat="1">
      <c r="A214" s="604" t="s">
        <v>712</v>
      </c>
      <c r="B214" s="604" t="s">
        <v>1173</v>
      </c>
      <c r="C214" s="614" t="s">
        <v>36</v>
      </c>
      <c r="D214" s="580"/>
      <c r="E214" s="778"/>
      <c r="F214" s="581"/>
      <c r="G214" s="581"/>
      <c r="H214" s="581"/>
      <c r="I214" s="949"/>
      <c r="J214" s="949"/>
      <c r="K214" s="949"/>
      <c r="L214" s="809"/>
      <c r="M214" s="575"/>
      <c r="N214" s="575"/>
      <c r="O214" s="575"/>
      <c r="P214" s="575"/>
      <c r="Q214" s="575"/>
      <c r="R214" s="575"/>
      <c r="S214" s="809"/>
      <c r="T214" s="575"/>
      <c r="U214" s="575"/>
      <c r="V214" s="575"/>
      <c r="W214" s="575"/>
      <c r="X214" s="575"/>
      <c r="Y214" s="575"/>
      <c r="Z214" s="809"/>
      <c r="AA214" s="575"/>
      <c r="AB214" s="575"/>
      <c r="AC214" s="575"/>
      <c r="AD214" s="575"/>
      <c r="AE214" s="827"/>
      <c r="AF214" s="575"/>
      <c r="AG214" s="960"/>
      <c r="AH214" s="842"/>
      <c r="AI214" s="738">
        <f t="shared" si="10"/>
        <v>0</v>
      </c>
      <c r="AJ214" s="949">
        <v>0</v>
      </c>
      <c r="AK214" s="581">
        <f t="shared" si="11"/>
        <v>0</v>
      </c>
      <c r="AL214" s="746" t="s">
        <v>1559</v>
      </c>
      <c r="AM214" s="743">
        <f t="shared" si="12"/>
        <v>642.09</v>
      </c>
    </row>
    <row r="215" spans="1:39" s="560" customFormat="1">
      <c r="A215" s="604" t="s">
        <v>713</v>
      </c>
      <c r="B215" s="604" t="s">
        <v>1174</v>
      </c>
      <c r="C215" s="614" t="s">
        <v>47</v>
      </c>
      <c r="D215" s="580"/>
      <c r="E215" s="778"/>
      <c r="F215" s="581"/>
      <c r="G215" s="581"/>
      <c r="H215" s="581"/>
      <c r="I215" s="949"/>
      <c r="J215" s="949"/>
      <c r="K215" s="949"/>
      <c r="L215" s="809"/>
      <c r="M215" s="575"/>
      <c r="N215" s="575"/>
      <c r="O215" s="575"/>
      <c r="P215" s="575"/>
      <c r="Q215" s="575"/>
      <c r="R215" s="575"/>
      <c r="S215" s="809"/>
      <c r="T215" s="575"/>
      <c r="U215" s="575"/>
      <c r="V215" s="575"/>
      <c r="W215" s="575"/>
      <c r="X215" s="575"/>
      <c r="Y215" s="575"/>
      <c r="Z215" s="809"/>
      <c r="AA215" s="575"/>
      <c r="AB215" s="575"/>
      <c r="AC215" s="575"/>
      <c r="AD215" s="575"/>
      <c r="AE215" s="827"/>
      <c r="AF215" s="575"/>
      <c r="AG215" s="960"/>
      <c r="AH215" s="842"/>
      <c r="AI215" s="738">
        <f t="shared" si="10"/>
        <v>0</v>
      </c>
      <c r="AJ215" s="949">
        <v>0</v>
      </c>
      <c r="AK215" s="581">
        <f t="shared" si="11"/>
        <v>0</v>
      </c>
      <c r="AL215" s="746"/>
      <c r="AM215" s="743">
        <f t="shared" si="12"/>
        <v>0</v>
      </c>
    </row>
    <row r="216" spans="1:39" s="560" customFormat="1">
      <c r="A216" s="604" t="s">
        <v>714</v>
      </c>
      <c r="B216" s="604" t="s">
        <v>1175</v>
      </c>
      <c r="C216" s="690"/>
      <c r="D216" s="580"/>
      <c r="E216" s="778"/>
      <c r="F216" s="581"/>
      <c r="G216" s="581"/>
      <c r="H216" s="581"/>
      <c r="I216" s="949"/>
      <c r="J216" s="949"/>
      <c r="K216" s="949"/>
      <c r="L216" s="809"/>
      <c r="M216" s="575"/>
      <c r="N216" s="575"/>
      <c r="O216" s="575"/>
      <c r="P216" s="575"/>
      <c r="Q216" s="575"/>
      <c r="R216" s="575"/>
      <c r="S216" s="809"/>
      <c r="T216" s="575"/>
      <c r="U216" s="575"/>
      <c r="V216" s="575"/>
      <c r="W216" s="575"/>
      <c r="X216" s="575"/>
      <c r="Y216" s="575"/>
      <c r="Z216" s="809"/>
      <c r="AA216" s="575"/>
      <c r="AB216" s="575"/>
      <c r="AC216" s="575"/>
      <c r="AD216" s="575"/>
      <c r="AE216" s="827"/>
      <c r="AF216" s="575"/>
      <c r="AG216" s="960"/>
      <c r="AH216" s="842"/>
      <c r="AI216" s="738">
        <f t="shared" si="10"/>
        <v>0</v>
      </c>
      <c r="AJ216" s="949">
        <v>0</v>
      </c>
      <c r="AK216" s="581">
        <f t="shared" si="11"/>
        <v>0</v>
      </c>
      <c r="AL216" s="746" t="s">
        <v>1560</v>
      </c>
      <c r="AM216" s="743">
        <f t="shared" si="12"/>
        <v>3.36</v>
      </c>
    </row>
    <row r="217" spans="1:39" s="560" customFormat="1">
      <c r="A217" s="604" t="s">
        <v>715</v>
      </c>
      <c r="B217" s="604" t="s">
        <v>1176</v>
      </c>
      <c r="C217" s="614" t="s">
        <v>39</v>
      </c>
      <c r="D217" s="580"/>
      <c r="E217" s="778"/>
      <c r="F217" s="581"/>
      <c r="G217" s="581"/>
      <c r="H217" s="581"/>
      <c r="I217" s="949"/>
      <c r="J217" s="949"/>
      <c r="K217" s="949"/>
      <c r="L217" s="809"/>
      <c r="M217" s="575"/>
      <c r="N217" s="575"/>
      <c r="O217" s="575"/>
      <c r="P217" s="575"/>
      <c r="Q217" s="575"/>
      <c r="R217" s="575"/>
      <c r="S217" s="809"/>
      <c r="T217" s="575"/>
      <c r="U217" s="575"/>
      <c r="V217" s="575"/>
      <c r="W217" s="575"/>
      <c r="X217" s="575"/>
      <c r="Y217" s="575"/>
      <c r="Z217" s="809"/>
      <c r="AA217" s="575"/>
      <c r="AB217" s="575"/>
      <c r="AC217" s="575"/>
      <c r="AD217" s="575"/>
      <c r="AE217" s="827"/>
      <c r="AF217" s="575"/>
      <c r="AG217" s="960"/>
      <c r="AH217" s="842"/>
      <c r="AI217" s="738">
        <f t="shared" si="10"/>
        <v>0</v>
      </c>
      <c r="AJ217" s="949">
        <v>0</v>
      </c>
      <c r="AK217" s="581">
        <f t="shared" si="11"/>
        <v>0</v>
      </c>
      <c r="AL217" s="746" t="s">
        <v>1561</v>
      </c>
      <c r="AM217" s="743">
        <f t="shared" si="12"/>
        <v>38.35</v>
      </c>
    </row>
    <row r="218" spans="1:39" s="560" customFormat="1">
      <c r="A218" s="604" t="s">
        <v>716</v>
      </c>
      <c r="B218" s="604" t="s">
        <v>1177</v>
      </c>
      <c r="C218" s="614" t="s">
        <v>36</v>
      </c>
      <c r="D218" s="580"/>
      <c r="E218" s="778"/>
      <c r="F218" s="581"/>
      <c r="G218" s="581"/>
      <c r="H218" s="581"/>
      <c r="I218" s="949"/>
      <c r="J218" s="949"/>
      <c r="K218" s="949"/>
      <c r="L218" s="809"/>
      <c r="M218" s="575"/>
      <c r="N218" s="575"/>
      <c r="O218" s="575"/>
      <c r="P218" s="575"/>
      <c r="Q218" s="575"/>
      <c r="R218" s="575"/>
      <c r="S218" s="809"/>
      <c r="T218" s="575"/>
      <c r="U218" s="575"/>
      <c r="V218" s="575"/>
      <c r="W218" s="575"/>
      <c r="X218" s="575"/>
      <c r="Y218" s="575"/>
      <c r="Z218" s="809"/>
      <c r="AA218" s="575"/>
      <c r="AB218" s="575"/>
      <c r="AC218" s="575"/>
      <c r="AD218" s="575"/>
      <c r="AE218" s="827"/>
      <c r="AF218" s="575"/>
      <c r="AG218" s="960"/>
      <c r="AH218" s="842"/>
      <c r="AI218" s="738">
        <f t="shared" si="10"/>
        <v>0</v>
      </c>
      <c r="AJ218" s="949">
        <v>0</v>
      </c>
      <c r="AK218" s="581">
        <f t="shared" si="11"/>
        <v>0</v>
      </c>
      <c r="AL218" s="746" t="s">
        <v>1562</v>
      </c>
      <c r="AM218" s="743">
        <f t="shared" si="12"/>
        <v>276.95999999999998</v>
      </c>
    </row>
    <row r="219" spans="1:39" s="560" customFormat="1">
      <c r="A219" s="604" t="s">
        <v>717</v>
      </c>
      <c r="B219" s="604" t="s">
        <v>1178</v>
      </c>
      <c r="C219" s="614" t="s">
        <v>47</v>
      </c>
      <c r="D219" s="580"/>
      <c r="E219" s="778"/>
      <c r="F219" s="581"/>
      <c r="G219" s="581"/>
      <c r="H219" s="581"/>
      <c r="I219" s="949"/>
      <c r="J219" s="949"/>
      <c r="K219" s="949"/>
      <c r="L219" s="809"/>
      <c r="M219" s="575"/>
      <c r="N219" s="575"/>
      <c r="O219" s="575"/>
      <c r="P219" s="575"/>
      <c r="Q219" s="575"/>
      <c r="R219" s="575"/>
      <c r="S219" s="809"/>
      <c r="T219" s="575"/>
      <c r="U219" s="575"/>
      <c r="V219" s="575"/>
      <c r="W219" s="575"/>
      <c r="X219" s="575"/>
      <c r="Y219" s="575"/>
      <c r="Z219" s="809"/>
      <c r="AA219" s="575"/>
      <c r="AB219" s="575"/>
      <c r="AC219" s="575"/>
      <c r="AD219" s="575"/>
      <c r="AE219" s="827"/>
      <c r="AF219" s="575"/>
      <c r="AG219" s="960"/>
      <c r="AH219" s="842"/>
      <c r="AI219" s="738">
        <f t="shared" si="10"/>
        <v>0</v>
      </c>
      <c r="AJ219" s="949">
        <v>0</v>
      </c>
      <c r="AK219" s="581">
        <f t="shared" si="11"/>
        <v>0</v>
      </c>
      <c r="AL219" s="746" t="s">
        <v>1563</v>
      </c>
      <c r="AM219" s="743">
        <f t="shared" si="12"/>
        <v>319.48</v>
      </c>
    </row>
    <row r="220" spans="1:39" s="560" customFormat="1">
      <c r="A220" s="604" t="s">
        <v>718</v>
      </c>
      <c r="B220" s="604" t="s">
        <v>1179</v>
      </c>
      <c r="C220" s="614" t="s">
        <v>1436</v>
      </c>
      <c r="D220" s="580"/>
      <c r="E220" s="778"/>
      <c r="F220" s="581"/>
      <c r="G220" s="581"/>
      <c r="H220" s="581"/>
      <c r="I220" s="949"/>
      <c r="J220" s="949"/>
      <c r="K220" s="949"/>
      <c r="L220" s="809"/>
      <c r="M220" s="575"/>
      <c r="N220" s="575"/>
      <c r="O220" s="575"/>
      <c r="P220" s="575"/>
      <c r="Q220" s="575"/>
      <c r="R220" s="575"/>
      <c r="S220" s="809"/>
      <c r="T220" s="575"/>
      <c r="U220" s="575"/>
      <c r="V220" s="575"/>
      <c r="W220" s="575"/>
      <c r="X220" s="575"/>
      <c r="Y220" s="575"/>
      <c r="Z220" s="809"/>
      <c r="AA220" s="575"/>
      <c r="AB220" s="575"/>
      <c r="AC220" s="575"/>
      <c r="AD220" s="575"/>
      <c r="AE220" s="827"/>
      <c r="AF220" s="575"/>
      <c r="AG220" s="960"/>
      <c r="AH220" s="842"/>
      <c r="AI220" s="738">
        <f t="shared" si="10"/>
        <v>0</v>
      </c>
      <c r="AJ220" s="949">
        <v>0</v>
      </c>
      <c r="AK220" s="581">
        <f t="shared" si="11"/>
        <v>0</v>
      </c>
      <c r="AL220" s="746"/>
      <c r="AM220" s="743">
        <f t="shared" si="12"/>
        <v>0</v>
      </c>
    </row>
    <row r="221" spans="1:39" s="560" customFormat="1">
      <c r="A221" s="604" t="s">
        <v>719</v>
      </c>
      <c r="B221" s="604" t="s">
        <v>1180</v>
      </c>
      <c r="C221" s="690"/>
      <c r="D221" s="580"/>
      <c r="E221" s="778"/>
      <c r="F221" s="581"/>
      <c r="G221" s="581"/>
      <c r="H221" s="581"/>
      <c r="I221" s="949"/>
      <c r="J221" s="949"/>
      <c r="K221" s="949"/>
      <c r="L221" s="809"/>
      <c r="M221" s="575"/>
      <c r="N221" s="575"/>
      <c r="O221" s="575"/>
      <c r="P221" s="575"/>
      <c r="Q221" s="575"/>
      <c r="R221" s="575"/>
      <c r="S221" s="809"/>
      <c r="T221" s="575"/>
      <c r="U221" s="575"/>
      <c r="V221" s="575"/>
      <c r="W221" s="575"/>
      <c r="X221" s="575"/>
      <c r="Y221" s="575"/>
      <c r="Z221" s="809"/>
      <c r="AA221" s="575"/>
      <c r="AB221" s="575"/>
      <c r="AC221" s="575"/>
      <c r="AD221" s="575"/>
      <c r="AE221" s="827"/>
      <c r="AF221" s="575"/>
      <c r="AG221" s="960"/>
      <c r="AH221" s="842"/>
      <c r="AI221" s="738">
        <f t="shared" si="10"/>
        <v>0</v>
      </c>
      <c r="AJ221" s="949">
        <v>0</v>
      </c>
      <c r="AK221" s="581">
        <f t="shared" si="11"/>
        <v>0</v>
      </c>
      <c r="AL221" s="746" t="s">
        <v>1564</v>
      </c>
      <c r="AM221" s="743">
        <f t="shared" si="12"/>
        <v>1.03</v>
      </c>
    </row>
    <row r="222" spans="1:39" s="560" customFormat="1">
      <c r="A222" s="604" t="s">
        <v>720</v>
      </c>
      <c r="B222" s="604" t="s">
        <v>1181</v>
      </c>
      <c r="C222" s="614" t="s">
        <v>39</v>
      </c>
      <c r="D222" s="580"/>
      <c r="E222" s="778"/>
      <c r="F222" s="581"/>
      <c r="G222" s="581"/>
      <c r="H222" s="581"/>
      <c r="I222" s="949"/>
      <c r="J222" s="949"/>
      <c r="K222" s="949"/>
      <c r="L222" s="809"/>
      <c r="M222" s="575"/>
      <c r="N222" s="575"/>
      <c r="O222" s="575"/>
      <c r="P222" s="575"/>
      <c r="Q222" s="575"/>
      <c r="R222" s="575"/>
      <c r="S222" s="809"/>
      <c r="T222" s="575"/>
      <c r="U222" s="575"/>
      <c r="V222" s="575"/>
      <c r="W222" s="575"/>
      <c r="X222" s="575"/>
      <c r="Y222" s="575"/>
      <c r="Z222" s="809"/>
      <c r="AA222" s="575"/>
      <c r="AB222" s="575"/>
      <c r="AC222" s="575"/>
      <c r="AD222" s="575"/>
      <c r="AE222" s="827"/>
      <c r="AF222" s="575"/>
      <c r="AG222" s="960"/>
      <c r="AH222" s="842"/>
      <c r="AI222" s="738">
        <f t="shared" si="10"/>
        <v>0</v>
      </c>
      <c r="AJ222" s="949">
        <v>0</v>
      </c>
      <c r="AK222" s="581">
        <f t="shared" si="11"/>
        <v>0</v>
      </c>
      <c r="AL222" s="746" t="s">
        <v>1565</v>
      </c>
      <c r="AM222" s="743">
        <f t="shared" si="12"/>
        <v>13.74</v>
      </c>
    </row>
    <row r="223" spans="1:39" s="560" customFormat="1">
      <c r="A223" s="604" t="s">
        <v>721</v>
      </c>
      <c r="B223" s="604" t="s">
        <v>1182</v>
      </c>
      <c r="C223" s="614" t="s">
        <v>36</v>
      </c>
      <c r="D223" s="580"/>
      <c r="E223" s="778"/>
      <c r="F223" s="581"/>
      <c r="G223" s="581"/>
      <c r="H223" s="581"/>
      <c r="I223" s="949"/>
      <c r="J223" s="949"/>
      <c r="K223" s="949"/>
      <c r="L223" s="809"/>
      <c r="M223" s="575"/>
      <c r="N223" s="575"/>
      <c r="O223" s="575"/>
      <c r="P223" s="575"/>
      <c r="Q223" s="575"/>
      <c r="R223" s="575"/>
      <c r="S223" s="809"/>
      <c r="T223" s="575"/>
      <c r="U223" s="575"/>
      <c r="V223" s="575"/>
      <c r="W223" s="575"/>
      <c r="X223" s="575"/>
      <c r="Y223" s="575"/>
      <c r="Z223" s="809"/>
      <c r="AA223" s="575"/>
      <c r="AB223" s="575"/>
      <c r="AC223" s="575"/>
      <c r="AD223" s="575"/>
      <c r="AE223" s="827"/>
      <c r="AF223" s="575"/>
      <c r="AG223" s="960"/>
      <c r="AH223" s="842"/>
      <c r="AI223" s="738">
        <f t="shared" si="10"/>
        <v>0</v>
      </c>
      <c r="AJ223" s="949">
        <v>0</v>
      </c>
      <c r="AK223" s="581">
        <f t="shared" si="11"/>
        <v>0</v>
      </c>
      <c r="AL223" s="746" t="s">
        <v>1566</v>
      </c>
      <c r="AM223" s="743">
        <f t="shared" si="12"/>
        <v>65.349999999999994</v>
      </c>
    </row>
    <row r="224" spans="1:39" s="560" customFormat="1">
      <c r="A224" s="604" t="s">
        <v>722</v>
      </c>
      <c r="B224" s="604" t="s">
        <v>1183</v>
      </c>
      <c r="C224" s="614" t="s">
        <v>47</v>
      </c>
      <c r="D224" s="580"/>
      <c r="E224" s="778"/>
      <c r="F224" s="581"/>
      <c r="G224" s="581"/>
      <c r="H224" s="581"/>
      <c r="I224" s="949"/>
      <c r="J224" s="949"/>
      <c r="K224" s="949"/>
      <c r="L224" s="809"/>
      <c r="M224" s="575"/>
      <c r="N224" s="575"/>
      <c r="O224" s="575"/>
      <c r="P224" s="575"/>
      <c r="Q224" s="575"/>
      <c r="R224" s="575"/>
      <c r="S224" s="809"/>
      <c r="T224" s="575"/>
      <c r="U224" s="575"/>
      <c r="V224" s="575"/>
      <c r="W224" s="575"/>
      <c r="X224" s="575"/>
      <c r="Y224" s="575"/>
      <c r="Z224" s="809"/>
      <c r="AA224" s="575"/>
      <c r="AB224" s="575"/>
      <c r="AC224" s="575"/>
      <c r="AD224" s="575"/>
      <c r="AE224" s="827"/>
      <c r="AF224" s="575"/>
      <c r="AG224" s="960"/>
      <c r="AH224" s="842"/>
      <c r="AI224" s="738">
        <f t="shared" si="10"/>
        <v>0</v>
      </c>
      <c r="AJ224" s="949">
        <v>0</v>
      </c>
      <c r="AK224" s="581">
        <f t="shared" si="11"/>
        <v>0</v>
      </c>
      <c r="AL224" s="746"/>
      <c r="AM224" s="743">
        <f t="shared" si="12"/>
        <v>0</v>
      </c>
    </row>
    <row r="225" spans="1:39" s="560" customFormat="1">
      <c r="A225" s="607" t="s">
        <v>723</v>
      </c>
      <c r="B225" s="607" t="s">
        <v>1184</v>
      </c>
      <c r="C225" s="690"/>
      <c r="D225" s="580"/>
      <c r="E225" s="778"/>
      <c r="F225" s="581"/>
      <c r="G225" s="581"/>
      <c r="H225" s="581"/>
      <c r="I225" s="949"/>
      <c r="J225" s="949"/>
      <c r="K225" s="949"/>
      <c r="L225" s="809"/>
      <c r="M225" s="575"/>
      <c r="N225" s="575"/>
      <c r="O225" s="575"/>
      <c r="P225" s="575"/>
      <c r="Q225" s="575"/>
      <c r="R225" s="575"/>
      <c r="S225" s="809"/>
      <c r="T225" s="575"/>
      <c r="U225" s="575"/>
      <c r="V225" s="575"/>
      <c r="W225" s="575"/>
      <c r="X225" s="575"/>
      <c r="Y225" s="575"/>
      <c r="Z225" s="809"/>
      <c r="AA225" s="575"/>
      <c r="AB225" s="575"/>
      <c r="AC225" s="575"/>
      <c r="AD225" s="575"/>
      <c r="AE225" s="827"/>
      <c r="AF225" s="575"/>
      <c r="AG225" s="960"/>
      <c r="AH225" s="842"/>
      <c r="AI225" s="738">
        <f t="shared" si="10"/>
        <v>0</v>
      </c>
      <c r="AJ225" s="949">
        <v>0</v>
      </c>
      <c r="AK225" s="581">
        <f t="shared" si="11"/>
        <v>0</v>
      </c>
      <c r="AL225" s="746" t="s">
        <v>1567</v>
      </c>
      <c r="AM225" s="743">
        <f t="shared" si="12"/>
        <v>110.7</v>
      </c>
    </row>
    <row r="226" spans="1:39" s="560" customFormat="1">
      <c r="A226" s="604" t="s">
        <v>724</v>
      </c>
      <c r="B226" s="604" t="s">
        <v>1185</v>
      </c>
      <c r="C226" s="614" t="s">
        <v>37</v>
      </c>
      <c r="D226" s="580"/>
      <c r="E226" s="778"/>
      <c r="F226" s="581"/>
      <c r="G226" s="581"/>
      <c r="H226" s="581"/>
      <c r="I226" s="949"/>
      <c r="J226" s="949"/>
      <c r="K226" s="949"/>
      <c r="L226" s="809"/>
      <c r="M226" s="575"/>
      <c r="N226" s="575"/>
      <c r="O226" s="575"/>
      <c r="P226" s="575"/>
      <c r="Q226" s="575"/>
      <c r="R226" s="575"/>
      <c r="S226" s="809"/>
      <c r="T226" s="575"/>
      <c r="U226" s="575"/>
      <c r="V226" s="575"/>
      <c r="W226" s="575"/>
      <c r="X226" s="575"/>
      <c r="Y226" s="575"/>
      <c r="Z226" s="809"/>
      <c r="AA226" s="575"/>
      <c r="AB226" s="575"/>
      <c r="AC226" s="575"/>
      <c r="AD226" s="575"/>
      <c r="AE226" s="827"/>
      <c r="AF226" s="575"/>
      <c r="AG226" s="960"/>
      <c r="AH226" s="842"/>
      <c r="AI226" s="738">
        <f t="shared" si="10"/>
        <v>0</v>
      </c>
      <c r="AJ226" s="949">
        <v>0</v>
      </c>
      <c r="AK226" s="581">
        <f t="shared" si="11"/>
        <v>0</v>
      </c>
      <c r="AL226" s="746"/>
      <c r="AM226" s="743">
        <f t="shared" si="12"/>
        <v>0</v>
      </c>
    </row>
    <row r="227" spans="1:39" s="560" customFormat="1">
      <c r="A227" s="607" t="s">
        <v>725</v>
      </c>
      <c r="B227" s="607" t="s">
        <v>1186</v>
      </c>
      <c r="C227" s="614"/>
      <c r="D227" s="580"/>
      <c r="E227" s="778"/>
      <c r="F227" s="581"/>
      <c r="G227" s="581"/>
      <c r="H227" s="581"/>
      <c r="I227" s="949"/>
      <c r="J227" s="949"/>
      <c r="K227" s="949"/>
      <c r="L227" s="809"/>
      <c r="M227" s="575"/>
      <c r="N227" s="575"/>
      <c r="O227" s="575"/>
      <c r="P227" s="575"/>
      <c r="Q227" s="575"/>
      <c r="R227" s="575"/>
      <c r="S227" s="809"/>
      <c r="T227" s="575"/>
      <c r="U227" s="575"/>
      <c r="V227" s="575"/>
      <c r="W227" s="575"/>
      <c r="X227" s="575"/>
      <c r="Y227" s="575"/>
      <c r="Z227" s="809"/>
      <c r="AA227" s="575"/>
      <c r="AB227" s="575"/>
      <c r="AC227" s="575"/>
      <c r="AD227" s="575"/>
      <c r="AE227" s="827"/>
      <c r="AF227" s="575"/>
      <c r="AG227" s="960"/>
      <c r="AH227" s="842"/>
      <c r="AI227" s="738">
        <f t="shared" si="10"/>
        <v>0</v>
      </c>
      <c r="AJ227" s="949">
        <v>0</v>
      </c>
      <c r="AK227" s="581">
        <f t="shared" si="11"/>
        <v>0</v>
      </c>
      <c r="AL227" s="746" t="s">
        <v>1568</v>
      </c>
      <c r="AM227" s="743">
        <f t="shared" si="12"/>
        <v>46</v>
      </c>
    </row>
    <row r="228" spans="1:39" s="560" customFormat="1">
      <c r="A228" s="604" t="s">
        <v>726</v>
      </c>
      <c r="B228" s="604" t="s">
        <v>1187</v>
      </c>
      <c r="C228" s="614" t="s">
        <v>37</v>
      </c>
      <c r="D228" s="580"/>
      <c r="E228" s="778"/>
      <c r="F228" s="581"/>
      <c r="G228" s="581"/>
      <c r="H228" s="581"/>
      <c r="I228" s="949"/>
      <c r="J228" s="949"/>
      <c r="K228" s="949"/>
      <c r="L228" s="809"/>
      <c r="M228" s="575"/>
      <c r="N228" s="575"/>
      <c r="O228" s="575"/>
      <c r="P228" s="575"/>
      <c r="Q228" s="575"/>
      <c r="R228" s="575"/>
      <c r="S228" s="809"/>
      <c r="T228" s="575"/>
      <c r="U228" s="575"/>
      <c r="V228" s="575"/>
      <c r="W228" s="575"/>
      <c r="X228" s="575"/>
      <c r="Y228" s="575"/>
      <c r="Z228" s="809"/>
      <c r="AA228" s="575"/>
      <c r="AB228" s="575"/>
      <c r="AC228" s="575"/>
      <c r="AD228" s="575"/>
      <c r="AE228" s="827"/>
      <c r="AF228" s="575"/>
      <c r="AG228" s="960"/>
      <c r="AH228" s="842"/>
      <c r="AI228" s="738">
        <f t="shared" si="10"/>
        <v>0</v>
      </c>
      <c r="AJ228" s="949">
        <v>0</v>
      </c>
      <c r="AK228" s="581">
        <f t="shared" si="11"/>
        <v>0</v>
      </c>
      <c r="AL228" s="746" t="s">
        <v>1479</v>
      </c>
      <c r="AM228" s="743">
        <f t="shared" si="12"/>
        <v>15</v>
      </c>
    </row>
    <row r="229" spans="1:39" s="560" customFormat="1">
      <c r="A229" s="604" t="s">
        <v>727</v>
      </c>
      <c r="B229" s="604" t="s">
        <v>224</v>
      </c>
      <c r="C229" s="614" t="s">
        <v>1436</v>
      </c>
      <c r="D229" s="580"/>
      <c r="E229" s="778"/>
      <c r="F229" s="581"/>
      <c r="G229" s="581"/>
      <c r="H229" s="581"/>
      <c r="I229" s="949"/>
      <c r="J229" s="949"/>
      <c r="K229" s="949"/>
      <c r="L229" s="809"/>
      <c r="M229" s="575"/>
      <c r="N229" s="575"/>
      <c r="O229" s="575"/>
      <c r="P229" s="575"/>
      <c r="Q229" s="575"/>
      <c r="R229" s="575"/>
      <c r="S229" s="809"/>
      <c r="T229" s="575"/>
      <c r="U229" s="575"/>
      <c r="V229" s="575"/>
      <c r="W229" s="575"/>
      <c r="X229" s="575"/>
      <c r="Y229" s="575"/>
      <c r="Z229" s="809"/>
      <c r="AA229" s="575"/>
      <c r="AB229" s="575"/>
      <c r="AC229" s="575"/>
      <c r="AD229" s="575"/>
      <c r="AE229" s="827"/>
      <c r="AF229" s="575"/>
      <c r="AG229" s="960"/>
      <c r="AH229" s="842"/>
      <c r="AI229" s="738">
        <f t="shared" si="10"/>
        <v>0</v>
      </c>
      <c r="AJ229" s="949">
        <v>0</v>
      </c>
      <c r="AK229" s="581">
        <f t="shared" si="11"/>
        <v>0</v>
      </c>
      <c r="AL229" s="746"/>
      <c r="AM229" s="743">
        <f t="shared" si="12"/>
        <v>0</v>
      </c>
    </row>
    <row r="230" spans="1:39" s="782" customFormat="1">
      <c r="A230" s="868" t="s">
        <v>728</v>
      </c>
      <c r="B230" s="869" t="s">
        <v>1197</v>
      </c>
      <c r="C230" s="898"/>
      <c r="D230" s="795"/>
      <c r="E230" s="778"/>
      <c r="F230" s="778"/>
      <c r="G230" s="778"/>
      <c r="H230" s="778"/>
      <c r="I230" s="777"/>
      <c r="J230" s="777"/>
      <c r="K230" s="777"/>
      <c r="L230" s="809"/>
      <c r="M230" s="809"/>
      <c r="N230" s="809"/>
      <c r="O230" s="809"/>
      <c r="P230" s="809"/>
      <c r="Q230" s="809"/>
      <c r="R230" s="809"/>
      <c r="S230" s="809"/>
      <c r="T230" s="809"/>
      <c r="U230" s="809"/>
      <c r="V230" s="809"/>
      <c r="W230" s="809"/>
      <c r="X230" s="809"/>
      <c r="Y230" s="809"/>
      <c r="Z230" s="809"/>
      <c r="AA230" s="809"/>
      <c r="AB230" s="809"/>
      <c r="AC230" s="809"/>
      <c r="AD230" s="809"/>
      <c r="AE230" s="827"/>
      <c r="AF230" s="809"/>
      <c r="AG230" s="960"/>
      <c r="AH230" s="873"/>
      <c r="AI230" s="839">
        <f t="shared" si="10"/>
        <v>0</v>
      </c>
      <c r="AJ230" s="777">
        <v>0</v>
      </c>
      <c r="AK230" s="778">
        <f t="shared" si="11"/>
        <v>0</v>
      </c>
      <c r="AL230" s="780"/>
      <c r="AM230" s="781">
        <f t="shared" si="12"/>
        <v>0</v>
      </c>
    </row>
    <row r="231" spans="1:39" s="782" customFormat="1">
      <c r="A231" s="885" t="s">
        <v>729</v>
      </c>
      <c r="B231" s="885" t="s">
        <v>45</v>
      </c>
      <c r="C231" s="898"/>
      <c r="D231" s="795"/>
      <c r="E231" s="778"/>
      <c r="F231" s="778"/>
      <c r="G231" s="778"/>
      <c r="H231" s="778"/>
      <c r="I231" s="777"/>
      <c r="J231" s="777"/>
      <c r="K231" s="777"/>
      <c r="L231" s="809"/>
      <c r="M231" s="809"/>
      <c r="N231" s="809"/>
      <c r="O231" s="809"/>
      <c r="P231" s="809"/>
      <c r="Q231" s="809"/>
      <c r="R231" s="809"/>
      <c r="S231" s="809"/>
      <c r="T231" s="809"/>
      <c r="U231" s="809"/>
      <c r="V231" s="809"/>
      <c r="W231" s="809"/>
      <c r="X231" s="809"/>
      <c r="Y231" s="809"/>
      <c r="Z231" s="809"/>
      <c r="AA231" s="809"/>
      <c r="AB231" s="809"/>
      <c r="AC231" s="809"/>
      <c r="AD231" s="809"/>
      <c r="AE231" s="827"/>
      <c r="AF231" s="809"/>
      <c r="AG231" s="960"/>
      <c r="AH231" s="873"/>
      <c r="AI231" s="839">
        <f t="shared" si="10"/>
        <v>0</v>
      </c>
      <c r="AJ231" s="777">
        <v>0</v>
      </c>
      <c r="AK231" s="778">
        <f t="shared" si="11"/>
        <v>0</v>
      </c>
      <c r="AL231" s="780" t="s">
        <v>1569</v>
      </c>
      <c r="AM231" s="781">
        <f t="shared" si="12"/>
        <v>467.39</v>
      </c>
    </row>
    <row r="232" spans="1:39" s="782" customFormat="1">
      <c r="A232" s="772" t="s">
        <v>730</v>
      </c>
      <c r="B232" s="772" t="s">
        <v>1198</v>
      </c>
      <c r="C232" s="877" t="s">
        <v>39</v>
      </c>
      <c r="D232" s="795"/>
      <c r="E232" s="778"/>
      <c r="F232" s="778"/>
      <c r="G232" s="778"/>
      <c r="H232" s="778"/>
      <c r="I232" s="777"/>
      <c r="J232" s="777"/>
      <c r="K232" s="777"/>
      <c r="L232" s="809"/>
      <c r="M232" s="809"/>
      <c r="N232" s="809"/>
      <c r="O232" s="809"/>
      <c r="P232" s="809"/>
      <c r="Q232" s="797"/>
      <c r="R232" s="809"/>
      <c r="S232" s="809"/>
      <c r="T232" s="809"/>
      <c r="U232" s="809"/>
      <c r="V232" s="809"/>
      <c r="W232" s="809"/>
      <c r="X232" s="809"/>
      <c r="Y232" s="809"/>
      <c r="Z232" s="809"/>
      <c r="AA232" s="809"/>
      <c r="AB232" s="809"/>
      <c r="AC232" s="809"/>
      <c r="AD232" s="809"/>
      <c r="AE232" s="827"/>
      <c r="AF232" s="809"/>
      <c r="AG232" s="960"/>
      <c r="AH232" s="873"/>
      <c r="AI232" s="839">
        <f t="shared" si="10"/>
        <v>0</v>
      </c>
      <c r="AJ232" s="777">
        <v>0</v>
      </c>
      <c r="AK232" s="778">
        <f t="shared" si="11"/>
        <v>0</v>
      </c>
      <c r="AL232" s="901" t="s">
        <v>1570</v>
      </c>
      <c r="AM232" s="781">
        <f t="shared" si="12"/>
        <v>560.87</v>
      </c>
    </row>
    <row r="233" spans="1:39" s="897" customFormat="1">
      <c r="A233" s="886" t="s">
        <v>731</v>
      </c>
      <c r="B233" s="886" t="s">
        <v>1147</v>
      </c>
      <c r="C233" s="900" t="s">
        <v>39</v>
      </c>
      <c r="D233" s="888"/>
      <c r="E233" s="889"/>
      <c r="F233" s="889"/>
      <c r="G233" s="889"/>
      <c r="H233" s="889"/>
      <c r="I233" s="890"/>
      <c r="J233" s="890"/>
      <c r="K233" s="890"/>
      <c r="L233" s="891"/>
      <c r="M233" s="891"/>
      <c r="N233" s="891"/>
      <c r="O233" s="891"/>
      <c r="P233" s="891"/>
      <c r="Q233" s="891"/>
      <c r="R233" s="891"/>
      <c r="S233" s="891"/>
      <c r="T233" s="891"/>
      <c r="U233" s="891"/>
      <c r="V233" s="891"/>
      <c r="W233" s="891"/>
      <c r="X233" s="891"/>
      <c r="Y233" s="891"/>
      <c r="Z233" s="891"/>
      <c r="AA233" s="891"/>
      <c r="AB233" s="891"/>
      <c r="AC233" s="891"/>
      <c r="AD233" s="891"/>
      <c r="AE233" s="827"/>
      <c r="AF233" s="891"/>
      <c r="AG233" s="960"/>
      <c r="AH233" s="893"/>
      <c r="AI233" s="894">
        <f t="shared" si="10"/>
        <v>0</v>
      </c>
      <c r="AJ233" s="890">
        <v>0</v>
      </c>
      <c r="AK233" s="889">
        <f t="shared" si="11"/>
        <v>0</v>
      </c>
      <c r="AL233" s="902"/>
      <c r="AM233" s="896">
        <f t="shared" si="12"/>
        <v>0</v>
      </c>
    </row>
    <row r="234" spans="1:39" s="782" customFormat="1">
      <c r="A234" s="885" t="s">
        <v>732</v>
      </c>
      <c r="B234" s="885" t="s">
        <v>1148</v>
      </c>
      <c r="C234" s="877"/>
      <c r="D234" s="795"/>
      <c r="E234" s="778"/>
      <c r="F234" s="778"/>
      <c r="G234" s="778"/>
      <c r="H234" s="778"/>
      <c r="I234" s="777"/>
      <c r="J234" s="777"/>
      <c r="K234" s="777"/>
      <c r="L234" s="809"/>
      <c r="M234" s="809"/>
      <c r="N234" s="809"/>
      <c r="O234" s="809"/>
      <c r="P234" s="809"/>
      <c r="Q234" s="809"/>
      <c r="R234" s="809"/>
      <c r="S234" s="809"/>
      <c r="T234" s="809"/>
      <c r="U234" s="809"/>
      <c r="V234" s="809"/>
      <c r="W234" s="809"/>
      <c r="X234" s="809"/>
      <c r="Y234" s="809"/>
      <c r="Z234" s="809"/>
      <c r="AA234" s="809"/>
      <c r="AB234" s="809"/>
      <c r="AC234" s="809"/>
      <c r="AD234" s="809"/>
      <c r="AE234" s="827"/>
      <c r="AF234" s="809"/>
      <c r="AG234" s="960"/>
      <c r="AH234" s="873"/>
      <c r="AI234" s="839">
        <f t="shared" si="10"/>
        <v>0</v>
      </c>
      <c r="AJ234" s="777">
        <v>0</v>
      </c>
      <c r="AK234" s="778">
        <f t="shared" si="11"/>
        <v>0</v>
      </c>
      <c r="AL234" s="901" t="s">
        <v>1571</v>
      </c>
      <c r="AM234" s="781">
        <f t="shared" si="12"/>
        <v>13.83</v>
      </c>
    </row>
    <row r="235" spans="1:39" s="782" customFormat="1">
      <c r="A235" s="772" t="s">
        <v>733</v>
      </c>
      <c r="B235" s="772" t="s">
        <v>1190</v>
      </c>
      <c r="C235" s="877" t="s">
        <v>39</v>
      </c>
      <c r="D235" s="795"/>
      <c r="E235" s="778"/>
      <c r="F235" s="778"/>
      <c r="G235" s="778"/>
      <c r="H235" s="778"/>
      <c r="I235" s="777"/>
      <c r="J235" s="777"/>
      <c r="K235" s="777"/>
      <c r="L235" s="809"/>
      <c r="M235" s="809"/>
      <c r="N235" s="809"/>
      <c r="O235" s="809"/>
      <c r="P235" s="809"/>
      <c r="Q235" s="809"/>
      <c r="R235" s="809"/>
      <c r="S235" s="809"/>
      <c r="T235" s="809"/>
      <c r="U235" s="809"/>
      <c r="V235" s="809"/>
      <c r="W235" s="945">
        <f>4.38*0.6*0.6</f>
        <v>1.5767999999999998</v>
      </c>
      <c r="X235" s="809"/>
      <c r="Y235" s="797"/>
      <c r="Z235" s="809"/>
      <c r="AA235" s="945">
        <f>0.8*0.6*5.95</f>
        <v>2.8559999999999999</v>
      </c>
      <c r="AB235" s="809"/>
      <c r="AC235" s="809"/>
      <c r="AD235" s="945">
        <f>6.13*0.6*0.6</f>
        <v>2.2067999999999999</v>
      </c>
      <c r="AE235" s="827"/>
      <c r="AF235" s="809"/>
      <c r="AG235" s="960"/>
      <c r="AH235" s="873"/>
      <c r="AI235" s="839">
        <f t="shared" ref="AI235:AI298" si="13">ROUND((SUM(D235:L235)),2)</f>
        <v>0</v>
      </c>
      <c r="AJ235" s="777">
        <v>0</v>
      </c>
      <c r="AK235" s="778">
        <f t="shared" si="11"/>
        <v>0</v>
      </c>
      <c r="AL235" s="901"/>
      <c r="AM235" s="781">
        <f t="shared" si="12"/>
        <v>0</v>
      </c>
    </row>
    <row r="236" spans="1:39" s="782" customFormat="1">
      <c r="A236" s="885" t="s">
        <v>734</v>
      </c>
      <c r="B236" s="885" t="s">
        <v>1155</v>
      </c>
      <c r="C236" s="898"/>
      <c r="D236" s="795"/>
      <c r="E236" s="778"/>
      <c r="F236" s="778"/>
      <c r="G236" s="778"/>
      <c r="H236" s="778"/>
      <c r="I236" s="777"/>
      <c r="J236" s="777"/>
      <c r="K236" s="777"/>
      <c r="L236" s="809"/>
      <c r="M236" s="809"/>
      <c r="N236" s="809"/>
      <c r="O236" s="809"/>
      <c r="P236" s="809"/>
      <c r="Q236" s="809"/>
      <c r="R236" s="809"/>
      <c r="S236" s="809"/>
      <c r="T236" s="809"/>
      <c r="U236" s="809"/>
      <c r="V236" s="809"/>
      <c r="W236" s="809"/>
      <c r="X236" s="809"/>
      <c r="Y236" s="809"/>
      <c r="Z236" s="809"/>
      <c r="AA236" s="809"/>
      <c r="AB236" s="809"/>
      <c r="AC236" s="809"/>
      <c r="AD236" s="809"/>
      <c r="AE236" s="827"/>
      <c r="AF236" s="809"/>
      <c r="AG236" s="960"/>
      <c r="AH236" s="873"/>
      <c r="AI236" s="839">
        <f t="shared" si="13"/>
        <v>0</v>
      </c>
      <c r="AJ236" s="777">
        <v>0</v>
      </c>
      <c r="AK236" s="778">
        <f t="shared" si="11"/>
        <v>0</v>
      </c>
      <c r="AL236" s="901"/>
      <c r="AM236" s="781">
        <f t="shared" si="12"/>
        <v>0</v>
      </c>
    </row>
    <row r="237" spans="1:39" s="782" customFormat="1">
      <c r="A237" s="772" t="s">
        <v>735</v>
      </c>
      <c r="B237" s="772" t="s">
        <v>1163</v>
      </c>
      <c r="C237" s="898"/>
      <c r="D237" s="795"/>
      <c r="E237" s="778"/>
      <c r="F237" s="778"/>
      <c r="G237" s="778"/>
      <c r="H237" s="778"/>
      <c r="I237" s="777"/>
      <c r="J237" s="777"/>
      <c r="K237" s="777"/>
      <c r="L237" s="809"/>
      <c r="M237" s="809"/>
      <c r="N237" s="809"/>
      <c r="O237" s="809"/>
      <c r="P237" s="809"/>
      <c r="Q237" s="809"/>
      <c r="R237" s="809"/>
      <c r="S237" s="809"/>
      <c r="T237" s="809"/>
      <c r="U237" s="809"/>
      <c r="V237" s="809"/>
      <c r="W237" s="809"/>
      <c r="X237" s="809"/>
      <c r="Y237" s="809"/>
      <c r="Z237" s="809"/>
      <c r="AA237" s="809"/>
      <c r="AB237" s="809"/>
      <c r="AC237" s="809"/>
      <c r="AD237" s="809"/>
      <c r="AE237" s="827"/>
      <c r="AF237" s="809"/>
      <c r="AG237" s="960"/>
      <c r="AH237" s="873"/>
      <c r="AI237" s="839">
        <f t="shared" si="13"/>
        <v>0</v>
      </c>
      <c r="AJ237" s="777">
        <v>0</v>
      </c>
      <c r="AK237" s="778">
        <f t="shared" si="11"/>
        <v>0</v>
      </c>
      <c r="AL237" s="901" t="s">
        <v>1572</v>
      </c>
      <c r="AM237" s="781">
        <f t="shared" si="12"/>
        <v>4.8899999999999997</v>
      </c>
    </row>
    <row r="238" spans="1:39" s="782" customFormat="1">
      <c r="A238" s="772" t="s">
        <v>736</v>
      </c>
      <c r="B238" s="772" t="s">
        <v>1194</v>
      </c>
      <c r="C238" s="877" t="s">
        <v>39</v>
      </c>
      <c r="D238" s="795"/>
      <c r="E238" s="778"/>
      <c r="F238" s="778"/>
      <c r="G238" s="778"/>
      <c r="H238" s="778"/>
      <c r="I238" s="777"/>
      <c r="J238" s="777"/>
      <c r="K238" s="777"/>
      <c r="L238" s="809"/>
      <c r="M238" s="809"/>
      <c r="N238" s="809"/>
      <c r="O238" s="809"/>
      <c r="P238" s="809"/>
      <c r="Q238" s="809"/>
      <c r="R238" s="809"/>
      <c r="S238" s="809"/>
      <c r="T238" s="809"/>
      <c r="U238" s="809"/>
      <c r="V238" s="809"/>
      <c r="W238" s="809"/>
      <c r="X238" s="809"/>
      <c r="Y238" s="809"/>
      <c r="Z238" s="809"/>
      <c r="AA238" s="809"/>
      <c r="AB238" s="809"/>
      <c r="AC238" s="809"/>
      <c r="AD238" s="809"/>
      <c r="AE238" s="827"/>
      <c r="AF238" s="809"/>
      <c r="AG238" s="960"/>
      <c r="AH238" s="873"/>
      <c r="AI238" s="839">
        <f t="shared" si="13"/>
        <v>0</v>
      </c>
      <c r="AJ238" s="777">
        <v>0</v>
      </c>
      <c r="AK238" s="778">
        <f t="shared" si="11"/>
        <v>0</v>
      </c>
      <c r="AL238" s="901" t="s">
        <v>1573</v>
      </c>
      <c r="AM238" s="781">
        <f t="shared" si="12"/>
        <v>76.69</v>
      </c>
    </row>
    <row r="239" spans="1:39" s="782" customFormat="1">
      <c r="A239" s="772" t="s">
        <v>737</v>
      </c>
      <c r="B239" s="772" t="s">
        <v>1165</v>
      </c>
      <c r="C239" s="877" t="s">
        <v>36</v>
      </c>
      <c r="D239" s="795"/>
      <c r="E239" s="778"/>
      <c r="F239" s="778"/>
      <c r="G239" s="778"/>
      <c r="H239" s="778"/>
      <c r="I239" s="777"/>
      <c r="J239" s="777"/>
      <c r="K239" s="777"/>
      <c r="L239" s="809"/>
      <c r="M239" s="809"/>
      <c r="N239" s="809"/>
      <c r="O239" s="809"/>
      <c r="P239" s="809"/>
      <c r="Q239" s="809"/>
      <c r="R239" s="809"/>
      <c r="S239" s="809"/>
      <c r="T239" s="809"/>
      <c r="U239" s="809"/>
      <c r="V239" s="809"/>
      <c r="W239" s="809"/>
      <c r="X239" s="809"/>
      <c r="Y239" s="809"/>
      <c r="Z239" s="809"/>
      <c r="AA239" s="809"/>
      <c r="AB239" s="809"/>
      <c r="AC239" s="809"/>
      <c r="AD239" s="809"/>
      <c r="AE239" s="827"/>
      <c r="AF239" s="809"/>
      <c r="AG239" s="960"/>
      <c r="AH239" s="873"/>
      <c r="AI239" s="839">
        <f t="shared" si="13"/>
        <v>0</v>
      </c>
      <c r="AJ239" s="777">
        <v>0</v>
      </c>
      <c r="AK239" s="778">
        <f t="shared" si="11"/>
        <v>0</v>
      </c>
      <c r="AL239" s="901" t="s">
        <v>1574</v>
      </c>
      <c r="AM239" s="781">
        <f t="shared" si="12"/>
        <v>947.8</v>
      </c>
    </row>
    <row r="240" spans="1:39" s="782" customFormat="1">
      <c r="A240" s="772" t="s">
        <v>738</v>
      </c>
      <c r="B240" s="772" t="s">
        <v>1166</v>
      </c>
      <c r="C240" s="877" t="s">
        <v>47</v>
      </c>
      <c r="D240" s="795"/>
      <c r="E240" s="778"/>
      <c r="F240" s="778"/>
      <c r="G240" s="778"/>
      <c r="H240" s="778"/>
      <c r="I240" s="777"/>
      <c r="J240" s="777"/>
      <c r="K240" s="777"/>
      <c r="L240" s="809"/>
      <c r="M240" s="809"/>
      <c r="N240" s="809"/>
      <c r="O240" s="809"/>
      <c r="P240" s="809"/>
      <c r="Q240" s="809"/>
      <c r="R240" s="809"/>
      <c r="S240" s="809"/>
      <c r="T240" s="809"/>
      <c r="U240" s="809"/>
      <c r="V240" s="809"/>
      <c r="W240" s="809"/>
      <c r="X240" s="809"/>
      <c r="Y240" s="809"/>
      <c r="Z240" s="809"/>
      <c r="AA240" s="809"/>
      <c r="AB240" s="809"/>
      <c r="AC240" s="809"/>
      <c r="AD240" s="809"/>
      <c r="AE240" s="827"/>
      <c r="AF240" s="809"/>
      <c r="AG240" s="960"/>
      <c r="AH240" s="873"/>
      <c r="AI240" s="839">
        <f t="shared" si="13"/>
        <v>0</v>
      </c>
      <c r="AJ240" s="777">
        <v>0</v>
      </c>
      <c r="AK240" s="778">
        <f t="shared" si="11"/>
        <v>0</v>
      </c>
      <c r="AL240" s="901"/>
      <c r="AM240" s="781">
        <f t="shared" si="12"/>
        <v>0</v>
      </c>
    </row>
    <row r="241" spans="1:39" s="782" customFormat="1">
      <c r="A241" s="772" t="s">
        <v>739</v>
      </c>
      <c r="B241" s="772" t="s">
        <v>1171</v>
      </c>
      <c r="C241" s="898"/>
      <c r="D241" s="795"/>
      <c r="E241" s="778"/>
      <c r="F241" s="778"/>
      <c r="G241" s="778"/>
      <c r="H241" s="778"/>
      <c r="I241" s="777"/>
      <c r="J241" s="777"/>
      <c r="K241" s="777"/>
      <c r="L241" s="809"/>
      <c r="M241" s="809"/>
      <c r="N241" s="809"/>
      <c r="O241" s="809"/>
      <c r="P241" s="809"/>
      <c r="Q241" s="809"/>
      <c r="R241" s="809"/>
      <c r="S241" s="809"/>
      <c r="T241" s="809"/>
      <c r="U241" s="809"/>
      <c r="V241" s="809"/>
      <c r="W241" s="809"/>
      <c r="X241" s="809"/>
      <c r="Y241" s="809"/>
      <c r="Z241" s="809"/>
      <c r="AA241" s="809"/>
      <c r="AB241" s="809"/>
      <c r="AC241" s="809"/>
      <c r="AD241" s="809"/>
      <c r="AE241" s="827"/>
      <c r="AF241" s="809"/>
      <c r="AG241" s="960"/>
      <c r="AH241" s="873"/>
      <c r="AI241" s="839">
        <f t="shared" si="13"/>
        <v>0</v>
      </c>
      <c r="AJ241" s="777">
        <v>0</v>
      </c>
      <c r="AK241" s="778">
        <f t="shared" si="11"/>
        <v>0</v>
      </c>
      <c r="AL241" s="901" t="s">
        <v>1575</v>
      </c>
      <c r="AM241" s="781">
        <f t="shared" si="12"/>
        <v>4.2300000000000004</v>
      </c>
    </row>
    <row r="242" spans="1:39" s="782" customFormat="1">
      <c r="A242" s="772" t="s">
        <v>740</v>
      </c>
      <c r="B242" s="772" t="s">
        <v>1172</v>
      </c>
      <c r="C242" s="877" t="s">
        <v>39</v>
      </c>
      <c r="D242" s="795"/>
      <c r="E242" s="778"/>
      <c r="F242" s="778"/>
      <c r="G242" s="778"/>
      <c r="H242" s="778"/>
      <c r="I242" s="777"/>
      <c r="J242" s="777"/>
      <c r="K242" s="777"/>
      <c r="L242" s="809"/>
      <c r="M242" s="809"/>
      <c r="N242" s="809"/>
      <c r="O242" s="809"/>
      <c r="P242" s="809"/>
      <c r="Q242" s="809"/>
      <c r="R242" s="809"/>
      <c r="S242" s="809"/>
      <c r="T242" s="809"/>
      <c r="U242" s="809"/>
      <c r="V242" s="809"/>
      <c r="W242" s="809"/>
      <c r="X242" s="809"/>
      <c r="Y242" s="809"/>
      <c r="Z242" s="809"/>
      <c r="AA242" s="809"/>
      <c r="AB242" s="809"/>
      <c r="AC242" s="809"/>
      <c r="AD242" s="809"/>
      <c r="AE242" s="827"/>
      <c r="AF242" s="809"/>
      <c r="AG242" s="960"/>
      <c r="AH242" s="873"/>
      <c r="AI242" s="839">
        <f t="shared" si="13"/>
        <v>0</v>
      </c>
      <c r="AJ242" s="777">
        <v>0</v>
      </c>
      <c r="AK242" s="778">
        <f t="shared" si="11"/>
        <v>0</v>
      </c>
      <c r="AL242" s="901" t="s">
        <v>1576</v>
      </c>
      <c r="AM242" s="781">
        <f t="shared" si="12"/>
        <v>49.66</v>
      </c>
    </row>
    <row r="243" spans="1:39" s="782" customFormat="1">
      <c r="A243" s="772" t="s">
        <v>741</v>
      </c>
      <c r="B243" s="772" t="s">
        <v>1173</v>
      </c>
      <c r="C243" s="877" t="s">
        <v>36</v>
      </c>
      <c r="D243" s="795"/>
      <c r="E243" s="778"/>
      <c r="F243" s="778"/>
      <c r="G243" s="778"/>
      <c r="H243" s="778"/>
      <c r="I243" s="777"/>
      <c r="J243" s="777"/>
      <c r="K243" s="777"/>
      <c r="L243" s="809"/>
      <c r="M243" s="809"/>
      <c r="N243" s="809"/>
      <c r="O243" s="809"/>
      <c r="P243" s="809"/>
      <c r="Q243" s="809"/>
      <c r="R243" s="809"/>
      <c r="S243" s="809"/>
      <c r="T243" s="809"/>
      <c r="U243" s="809"/>
      <c r="V243" s="809"/>
      <c r="W243" s="809"/>
      <c r="X243" s="809"/>
      <c r="Y243" s="809"/>
      <c r="Z243" s="809"/>
      <c r="AA243" s="809"/>
      <c r="AB243" s="809"/>
      <c r="AC243" s="809"/>
      <c r="AD243" s="809"/>
      <c r="AE243" s="827"/>
      <c r="AF243" s="809"/>
      <c r="AG243" s="960"/>
      <c r="AH243" s="873"/>
      <c r="AI243" s="839">
        <f t="shared" si="13"/>
        <v>0</v>
      </c>
      <c r="AJ243" s="777">
        <v>0</v>
      </c>
      <c r="AK243" s="778">
        <f t="shared" si="11"/>
        <v>0</v>
      </c>
      <c r="AL243" s="901" t="s">
        <v>1577</v>
      </c>
      <c r="AM243" s="781">
        <f t="shared" si="12"/>
        <v>483.02</v>
      </c>
    </row>
    <row r="244" spans="1:39" s="782" customFormat="1">
      <c r="A244" s="772" t="s">
        <v>742</v>
      </c>
      <c r="B244" s="772" t="s">
        <v>1174</v>
      </c>
      <c r="C244" s="877" t="s">
        <v>47</v>
      </c>
      <c r="D244" s="795"/>
      <c r="E244" s="778"/>
      <c r="F244" s="778"/>
      <c r="G244" s="778"/>
      <c r="H244" s="778"/>
      <c r="I244" s="777"/>
      <c r="J244" s="777"/>
      <c r="K244" s="777"/>
      <c r="L244" s="809"/>
      <c r="M244" s="809"/>
      <c r="N244" s="809"/>
      <c r="O244" s="809"/>
      <c r="P244" s="809"/>
      <c r="Q244" s="809"/>
      <c r="R244" s="809"/>
      <c r="S244" s="809"/>
      <c r="T244" s="809"/>
      <c r="U244" s="809"/>
      <c r="V244" s="809"/>
      <c r="W244" s="809"/>
      <c r="X244" s="809"/>
      <c r="Y244" s="809"/>
      <c r="Z244" s="809"/>
      <c r="AA244" s="809"/>
      <c r="AB244" s="809"/>
      <c r="AC244" s="809"/>
      <c r="AD244" s="809"/>
      <c r="AE244" s="827"/>
      <c r="AF244" s="809"/>
      <c r="AG244" s="960"/>
      <c r="AH244" s="873"/>
      <c r="AI244" s="839">
        <f t="shared" si="13"/>
        <v>0</v>
      </c>
      <c r="AJ244" s="777">
        <v>0</v>
      </c>
      <c r="AK244" s="778">
        <f t="shared" si="11"/>
        <v>0</v>
      </c>
      <c r="AL244" s="901"/>
      <c r="AM244" s="781">
        <f t="shared" si="12"/>
        <v>0</v>
      </c>
    </row>
    <row r="245" spans="1:39" s="782" customFormat="1">
      <c r="A245" s="772" t="s">
        <v>743</v>
      </c>
      <c r="B245" s="772" t="s">
        <v>1199</v>
      </c>
      <c r="C245" s="898"/>
      <c r="D245" s="795"/>
      <c r="E245" s="778"/>
      <c r="F245" s="778"/>
      <c r="G245" s="778"/>
      <c r="H245" s="778"/>
      <c r="I245" s="777"/>
      <c r="J245" s="777"/>
      <c r="K245" s="777"/>
      <c r="L245" s="809"/>
      <c r="M245" s="809"/>
      <c r="N245" s="809"/>
      <c r="O245" s="809"/>
      <c r="P245" s="809"/>
      <c r="Q245" s="809"/>
      <c r="R245" s="809"/>
      <c r="S245" s="809"/>
      <c r="T245" s="809"/>
      <c r="U245" s="809"/>
      <c r="V245" s="809"/>
      <c r="W245" s="809"/>
      <c r="X245" s="809"/>
      <c r="Y245" s="809"/>
      <c r="Z245" s="809"/>
      <c r="AA245" s="809"/>
      <c r="AB245" s="809"/>
      <c r="AC245" s="809"/>
      <c r="AD245" s="809"/>
      <c r="AE245" s="827"/>
      <c r="AF245" s="809"/>
      <c r="AG245" s="960"/>
      <c r="AH245" s="873"/>
      <c r="AI245" s="839">
        <f t="shared" si="13"/>
        <v>0</v>
      </c>
      <c r="AJ245" s="777">
        <v>0</v>
      </c>
      <c r="AK245" s="778">
        <f t="shared" si="11"/>
        <v>0</v>
      </c>
      <c r="AL245" s="901" t="s">
        <v>1578</v>
      </c>
      <c r="AM245" s="781">
        <f t="shared" si="12"/>
        <v>4.24</v>
      </c>
    </row>
    <row r="246" spans="1:39" s="782" customFormat="1">
      <c r="A246" s="772" t="s">
        <v>744</v>
      </c>
      <c r="B246" s="772" t="s">
        <v>1191</v>
      </c>
      <c r="C246" s="877" t="s">
        <v>39</v>
      </c>
      <c r="D246" s="795"/>
      <c r="E246" s="778"/>
      <c r="F246" s="778"/>
      <c r="G246" s="778"/>
      <c r="H246" s="778"/>
      <c r="I246" s="777"/>
      <c r="J246" s="777"/>
      <c r="K246" s="777"/>
      <c r="L246" s="809"/>
      <c r="M246" s="809"/>
      <c r="N246" s="809"/>
      <c r="O246" s="809"/>
      <c r="P246" s="809"/>
      <c r="Q246" s="809"/>
      <c r="R246" s="809"/>
      <c r="S246" s="809"/>
      <c r="T246" s="809"/>
      <c r="U246" s="809"/>
      <c r="V246" s="809"/>
      <c r="W246" s="809"/>
      <c r="X246" s="809"/>
      <c r="Y246" s="809"/>
      <c r="Z246" s="809"/>
      <c r="AA246" s="809"/>
      <c r="AB246" s="945">
        <f>9.25*0.15*0.3+9.25*0.15*0.3+6.17*0.15*0.3+7.51*0.15*0.3</f>
        <v>1.4480999999999999</v>
      </c>
      <c r="AC246" s="809"/>
      <c r="AD246" s="809"/>
      <c r="AE246" s="827"/>
      <c r="AF246" s="809"/>
      <c r="AG246" s="960"/>
      <c r="AH246" s="873"/>
      <c r="AI246" s="839">
        <f t="shared" si="13"/>
        <v>0</v>
      </c>
      <c r="AJ246" s="777">
        <v>0</v>
      </c>
      <c r="AK246" s="778">
        <f t="shared" si="11"/>
        <v>0</v>
      </c>
      <c r="AL246" s="901" t="s">
        <v>1579</v>
      </c>
      <c r="AM246" s="781">
        <f t="shared" si="12"/>
        <v>56.57</v>
      </c>
    </row>
    <row r="247" spans="1:39" s="782" customFormat="1">
      <c r="A247" s="772" t="s">
        <v>745</v>
      </c>
      <c r="B247" s="772" t="s">
        <v>1200</v>
      </c>
      <c r="C247" s="877" t="s">
        <v>36</v>
      </c>
      <c r="D247" s="795"/>
      <c r="E247" s="778"/>
      <c r="F247" s="778"/>
      <c r="G247" s="778"/>
      <c r="H247" s="778"/>
      <c r="I247" s="777"/>
      <c r="J247" s="777"/>
      <c r="K247" s="777"/>
      <c r="L247" s="809"/>
      <c r="M247" s="809"/>
      <c r="N247" s="809"/>
      <c r="O247" s="809"/>
      <c r="P247" s="809"/>
      <c r="Q247" s="809"/>
      <c r="R247" s="809"/>
      <c r="S247" s="809"/>
      <c r="T247" s="809"/>
      <c r="U247" s="809"/>
      <c r="V247" s="809"/>
      <c r="W247" s="809"/>
      <c r="X247" s="809"/>
      <c r="Y247" s="809"/>
      <c r="Z247" s="809"/>
      <c r="AA247" s="809"/>
      <c r="AB247" s="945">
        <f>32.28*0.3*2</f>
        <v>19.367999999999999</v>
      </c>
      <c r="AC247" s="809"/>
      <c r="AD247" s="809"/>
      <c r="AE247" s="827"/>
      <c r="AF247" s="809"/>
      <c r="AG247" s="960"/>
      <c r="AH247" s="873"/>
      <c r="AI247" s="839">
        <f t="shared" si="13"/>
        <v>0</v>
      </c>
      <c r="AJ247" s="777">
        <v>0</v>
      </c>
      <c r="AK247" s="778">
        <f t="shared" si="11"/>
        <v>0</v>
      </c>
      <c r="AL247" s="901" t="s">
        <v>1580</v>
      </c>
      <c r="AM247" s="781">
        <f t="shared" si="12"/>
        <v>438.73</v>
      </c>
    </row>
    <row r="248" spans="1:39" s="782" customFormat="1">
      <c r="A248" s="772" t="s">
        <v>746</v>
      </c>
      <c r="B248" s="772" t="s">
        <v>1201</v>
      </c>
      <c r="C248" s="877" t="s">
        <v>47</v>
      </c>
      <c r="D248" s="795"/>
      <c r="E248" s="778"/>
      <c r="F248" s="778"/>
      <c r="G248" s="778"/>
      <c r="H248" s="778"/>
      <c r="I248" s="777"/>
      <c r="J248" s="777"/>
      <c r="K248" s="777"/>
      <c r="L248" s="809"/>
      <c r="M248" s="809"/>
      <c r="N248" s="809"/>
      <c r="O248" s="809"/>
      <c r="P248" s="809"/>
      <c r="Q248" s="809"/>
      <c r="R248" s="809"/>
      <c r="S248" s="809"/>
      <c r="T248" s="809"/>
      <c r="U248" s="809"/>
      <c r="V248" s="809"/>
      <c r="W248" s="809"/>
      <c r="X248" s="809"/>
      <c r="Y248" s="809"/>
      <c r="Z248" s="809"/>
      <c r="AA248" s="809"/>
      <c r="AB248" s="809"/>
      <c r="AC248" s="809"/>
      <c r="AD248" s="809"/>
      <c r="AE248" s="827"/>
      <c r="AF248" s="809"/>
      <c r="AG248" s="960"/>
      <c r="AH248" s="873"/>
      <c r="AI248" s="839">
        <f t="shared" si="13"/>
        <v>0</v>
      </c>
      <c r="AJ248" s="777">
        <v>0</v>
      </c>
      <c r="AK248" s="778">
        <f t="shared" si="11"/>
        <v>0</v>
      </c>
      <c r="AL248" s="901"/>
      <c r="AM248" s="781">
        <f t="shared" si="12"/>
        <v>0</v>
      </c>
    </row>
    <row r="249" spans="1:39" s="782" customFormat="1">
      <c r="A249" s="885" t="s">
        <v>747</v>
      </c>
      <c r="B249" s="885" t="s">
        <v>1186</v>
      </c>
      <c r="C249" s="898"/>
      <c r="D249" s="795"/>
      <c r="E249" s="778"/>
      <c r="F249" s="778"/>
      <c r="G249" s="778"/>
      <c r="H249" s="778"/>
      <c r="I249" s="777"/>
      <c r="J249" s="777"/>
      <c r="K249" s="777"/>
      <c r="L249" s="809"/>
      <c r="M249" s="809"/>
      <c r="N249" s="809"/>
      <c r="O249" s="809"/>
      <c r="P249" s="809"/>
      <c r="Q249" s="809"/>
      <c r="R249" s="809"/>
      <c r="S249" s="809"/>
      <c r="T249" s="809"/>
      <c r="U249" s="809"/>
      <c r="V249" s="809"/>
      <c r="W249" s="809"/>
      <c r="X249" s="809"/>
      <c r="Y249" s="809"/>
      <c r="Z249" s="809"/>
      <c r="AA249" s="809"/>
      <c r="AB249" s="809"/>
      <c r="AC249" s="809"/>
      <c r="AD249" s="809"/>
      <c r="AE249" s="827"/>
      <c r="AF249" s="809"/>
      <c r="AG249" s="960"/>
      <c r="AH249" s="873"/>
      <c r="AI249" s="839">
        <f t="shared" si="13"/>
        <v>0</v>
      </c>
      <c r="AJ249" s="777">
        <v>0</v>
      </c>
      <c r="AK249" s="778">
        <f t="shared" si="11"/>
        <v>0</v>
      </c>
      <c r="AL249" s="901" t="s">
        <v>1581</v>
      </c>
      <c r="AM249" s="781">
        <f t="shared" si="12"/>
        <v>36</v>
      </c>
    </row>
    <row r="250" spans="1:39" s="782" customFormat="1">
      <c r="A250" s="772" t="s">
        <v>748</v>
      </c>
      <c r="B250" s="772" t="s">
        <v>1202</v>
      </c>
      <c r="C250" s="877" t="s">
        <v>37</v>
      </c>
      <c r="D250" s="795"/>
      <c r="E250" s="778"/>
      <c r="F250" s="778"/>
      <c r="G250" s="778"/>
      <c r="H250" s="778"/>
      <c r="I250" s="777"/>
      <c r="J250" s="777"/>
      <c r="K250" s="777"/>
      <c r="L250" s="809"/>
      <c r="M250" s="809"/>
      <c r="N250" s="809"/>
      <c r="O250" s="809"/>
      <c r="P250" s="809"/>
      <c r="Q250" s="809"/>
      <c r="R250" s="809"/>
      <c r="S250" s="809"/>
      <c r="T250" s="809"/>
      <c r="U250" s="809"/>
      <c r="V250" s="809"/>
      <c r="W250" s="809"/>
      <c r="X250" s="809"/>
      <c r="Y250" s="809"/>
      <c r="Z250" s="809"/>
      <c r="AA250" s="809"/>
      <c r="AB250" s="809"/>
      <c r="AC250" s="809"/>
      <c r="AD250" s="809"/>
      <c r="AE250" s="827"/>
      <c r="AF250" s="809"/>
      <c r="AG250" s="960"/>
      <c r="AH250" s="873"/>
      <c r="AI250" s="839">
        <f t="shared" si="13"/>
        <v>0</v>
      </c>
      <c r="AJ250" s="777">
        <v>0</v>
      </c>
      <c r="AK250" s="778">
        <f t="shared" si="11"/>
        <v>0</v>
      </c>
      <c r="AL250" s="901"/>
      <c r="AM250" s="781">
        <f t="shared" si="12"/>
        <v>0</v>
      </c>
    </row>
    <row r="251" spans="1:39" s="782" customFormat="1">
      <c r="A251" s="868" t="s">
        <v>749</v>
      </c>
      <c r="B251" s="869" t="s">
        <v>1203</v>
      </c>
      <c r="C251" s="898"/>
      <c r="D251" s="795"/>
      <c r="E251" s="778"/>
      <c r="F251" s="778"/>
      <c r="G251" s="778"/>
      <c r="H251" s="778"/>
      <c r="I251" s="777"/>
      <c r="J251" s="777"/>
      <c r="K251" s="777"/>
      <c r="L251" s="809"/>
      <c r="M251" s="809"/>
      <c r="N251" s="809"/>
      <c r="O251" s="809"/>
      <c r="P251" s="809"/>
      <c r="Q251" s="809"/>
      <c r="R251" s="809"/>
      <c r="S251" s="809"/>
      <c r="T251" s="809"/>
      <c r="U251" s="809"/>
      <c r="V251" s="809"/>
      <c r="W251" s="809"/>
      <c r="X251" s="809"/>
      <c r="Y251" s="809"/>
      <c r="Z251" s="809"/>
      <c r="AA251" s="809"/>
      <c r="AB251" s="809"/>
      <c r="AC251" s="809"/>
      <c r="AD251" s="809"/>
      <c r="AE251" s="827"/>
      <c r="AF251" s="809"/>
      <c r="AG251" s="960"/>
      <c r="AH251" s="873"/>
      <c r="AI251" s="839">
        <f t="shared" si="13"/>
        <v>0</v>
      </c>
      <c r="AJ251" s="777">
        <v>0</v>
      </c>
      <c r="AK251" s="778">
        <f t="shared" si="11"/>
        <v>0</v>
      </c>
      <c r="AL251" s="901"/>
      <c r="AM251" s="781">
        <f t="shared" si="12"/>
        <v>0</v>
      </c>
    </row>
    <row r="252" spans="1:39" s="782" customFormat="1">
      <c r="A252" s="885" t="s">
        <v>750</v>
      </c>
      <c r="B252" s="885" t="s">
        <v>45</v>
      </c>
      <c r="C252" s="898"/>
      <c r="D252" s="795"/>
      <c r="E252" s="778"/>
      <c r="F252" s="778"/>
      <c r="G252" s="778"/>
      <c r="H252" s="778"/>
      <c r="I252" s="777"/>
      <c r="J252" s="777"/>
      <c r="K252" s="777"/>
      <c r="L252" s="809"/>
      <c r="M252" s="809"/>
      <c r="N252" s="809"/>
      <c r="O252" s="809"/>
      <c r="P252" s="809"/>
      <c r="Q252" s="809"/>
      <c r="R252" s="809"/>
      <c r="S252" s="809"/>
      <c r="T252" s="809"/>
      <c r="U252" s="809"/>
      <c r="V252" s="809"/>
      <c r="W252" s="809"/>
      <c r="X252" s="809"/>
      <c r="Y252" s="809"/>
      <c r="Z252" s="809"/>
      <c r="AA252" s="809"/>
      <c r="AB252" s="809"/>
      <c r="AC252" s="809"/>
      <c r="AD252" s="809"/>
      <c r="AE252" s="827"/>
      <c r="AF252" s="809"/>
      <c r="AG252" s="960"/>
      <c r="AH252" s="873"/>
      <c r="AI252" s="839">
        <f t="shared" si="13"/>
        <v>0</v>
      </c>
      <c r="AJ252" s="777">
        <v>0</v>
      </c>
      <c r="AK252" s="778">
        <f t="shared" si="11"/>
        <v>0</v>
      </c>
      <c r="AL252" s="901" t="s">
        <v>1582</v>
      </c>
      <c r="AM252" s="781">
        <f t="shared" si="12"/>
        <v>441.64</v>
      </c>
    </row>
    <row r="253" spans="1:39" s="782" customFormat="1">
      <c r="A253" s="772" t="s">
        <v>751</v>
      </c>
      <c r="B253" s="772" t="s">
        <v>1198</v>
      </c>
      <c r="C253" s="877" t="s">
        <v>39</v>
      </c>
      <c r="D253" s="795"/>
      <c r="E253" s="778"/>
      <c r="F253" s="778"/>
      <c r="G253" s="778"/>
      <c r="H253" s="778"/>
      <c r="I253" s="777"/>
      <c r="J253" s="777"/>
      <c r="K253" s="777"/>
      <c r="L253" s="809"/>
      <c r="M253" s="809"/>
      <c r="N253" s="809"/>
      <c r="O253" s="809"/>
      <c r="P253" s="809"/>
      <c r="Q253" s="809"/>
      <c r="R253" s="809"/>
      <c r="S253" s="809"/>
      <c r="T253" s="809"/>
      <c r="U253" s="809"/>
      <c r="V253" s="809"/>
      <c r="W253" s="809"/>
      <c r="X253" s="809"/>
      <c r="Y253" s="809"/>
      <c r="Z253" s="809"/>
      <c r="AA253" s="809"/>
      <c r="AB253" s="809"/>
      <c r="AC253" s="809"/>
      <c r="AD253" s="809"/>
      <c r="AE253" s="827"/>
      <c r="AF253" s="809"/>
      <c r="AG253" s="960"/>
      <c r="AH253" s="873"/>
      <c r="AI253" s="839">
        <f t="shared" si="13"/>
        <v>0</v>
      </c>
      <c r="AJ253" s="777">
        <v>0</v>
      </c>
      <c r="AK253" s="778">
        <f t="shared" si="11"/>
        <v>0</v>
      </c>
      <c r="AL253" s="901" t="s">
        <v>1583</v>
      </c>
      <c r="AM253" s="781">
        <f t="shared" si="12"/>
        <v>574.13</v>
      </c>
    </row>
    <row r="254" spans="1:39" s="782" customFormat="1">
      <c r="A254" s="772" t="s">
        <v>752</v>
      </c>
      <c r="B254" s="772" t="s">
        <v>1147</v>
      </c>
      <c r="C254" s="877" t="s">
        <v>39</v>
      </c>
      <c r="D254" s="795"/>
      <c r="E254" s="778"/>
      <c r="F254" s="778"/>
      <c r="G254" s="778"/>
      <c r="H254" s="778"/>
      <c r="I254" s="777"/>
      <c r="J254" s="777"/>
      <c r="K254" s="777"/>
      <c r="L254" s="809"/>
      <c r="M254" s="809"/>
      <c r="N254" s="809"/>
      <c r="O254" s="809"/>
      <c r="P254" s="809"/>
      <c r="Q254" s="809"/>
      <c r="R254" s="809"/>
      <c r="S254" s="809"/>
      <c r="T254" s="809"/>
      <c r="U254" s="809"/>
      <c r="V254" s="809"/>
      <c r="W254" s="809"/>
      <c r="X254" s="809"/>
      <c r="Y254" s="809"/>
      <c r="Z254" s="809"/>
      <c r="AA254" s="809"/>
      <c r="AB254" s="809"/>
      <c r="AC254" s="809"/>
      <c r="AD254" s="809"/>
      <c r="AE254" s="827"/>
      <c r="AF254" s="809"/>
      <c r="AG254" s="960"/>
      <c r="AH254" s="873"/>
      <c r="AI254" s="839">
        <f t="shared" si="13"/>
        <v>0</v>
      </c>
      <c r="AJ254" s="777">
        <v>0</v>
      </c>
      <c r="AK254" s="778">
        <f t="shared" si="11"/>
        <v>0</v>
      </c>
      <c r="AL254" s="901"/>
      <c r="AM254" s="781">
        <f t="shared" si="12"/>
        <v>0</v>
      </c>
    </row>
    <row r="255" spans="1:39" s="782" customFormat="1">
      <c r="A255" s="885" t="s">
        <v>753</v>
      </c>
      <c r="B255" s="885" t="s">
        <v>1204</v>
      </c>
      <c r="C255" s="898"/>
      <c r="D255" s="795"/>
      <c r="E255" s="778"/>
      <c r="F255" s="778"/>
      <c r="G255" s="778"/>
      <c r="H255" s="778"/>
      <c r="I255" s="777"/>
      <c r="J255" s="777"/>
      <c r="K255" s="777"/>
      <c r="L255" s="809"/>
      <c r="M255" s="809"/>
      <c r="N255" s="809"/>
      <c r="O255" s="809"/>
      <c r="P255" s="809"/>
      <c r="Q255" s="809"/>
      <c r="R255" s="809"/>
      <c r="S255" s="809"/>
      <c r="T255" s="809"/>
      <c r="U255" s="809"/>
      <c r="V255" s="809"/>
      <c r="W255" s="809"/>
      <c r="X255" s="809"/>
      <c r="Y255" s="809"/>
      <c r="Z255" s="809"/>
      <c r="AA255" s="809"/>
      <c r="AB255" s="809"/>
      <c r="AC255" s="809"/>
      <c r="AD255" s="809"/>
      <c r="AE255" s="827"/>
      <c r="AF255" s="809"/>
      <c r="AG255" s="960"/>
      <c r="AH255" s="873"/>
      <c r="AI255" s="839">
        <f t="shared" si="13"/>
        <v>0</v>
      </c>
      <c r="AJ255" s="777">
        <v>0</v>
      </c>
      <c r="AK255" s="778">
        <f t="shared" si="11"/>
        <v>0</v>
      </c>
      <c r="AL255" s="901" t="s">
        <v>1584</v>
      </c>
      <c r="AM255" s="781">
        <f t="shared" si="12"/>
        <v>204.01</v>
      </c>
    </row>
    <row r="256" spans="1:39" s="782" customFormat="1">
      <c r="A256" s="772" t="s">
        <v>754</v>
      </c>
      <c r="B256" s="772" t="s">
        <v>1205</v>
      </c>
      <c r="C256" s="877" t="s">
        <v>39</v>
      </c>
      <c r="D256" s="795"/>
      <c r="E256" s="778"/>
      <c r="F256" s="778"/>
      <c r="G256" s="778"/>
      <c r="H256" s="778"/>
      <c r="I256" s="777"/>
      <c r="J256" s="777"/>
      <c r="K256" s="777"/>
      <c r="L256" s="809"/>
      <c r="M256" s="809"/>
      <c r="N256" s="809"/>
      <c r="O256" s="809"/>
      <c r="P256" s="809"/>
      <c r="Q256" s="809"/>
      <c r="R256" s="809"/>
      <c r="S256" s="809"/>
      <c r="T256" s="809"/>
      <c r="U256" s="809"/>
      <c r="V256" s="809"/>
      <c r="W256" s="809"/>
      <c r="X256" s="809"/>
      <c r="Y256" s="809"/>
      <c r="Z256" s="809"/>
      <c r="AA256" s="809"/>
      <c r="AB256" s="945">
        <f>5.95*1.1*0.5+1.1*0.5*3.25</f>
        <v>5.0600000000000005</v>
      </c>
      <c r="AC256" s="809"/>
      <c r="AD256" s="945">
        <f>5.95*3.3*0.2+3.25*2.5*0.2</f>
        <v>5.5519999999999996</v>
      </c>
      <c r="AE256" s="827"/>
      <c r="AF256" s="809"/>
      <c r="AG256" s="960"/>
      <c r="AH256" s="873"/>
      <c r="AI256" s="839">
        <f t="shared" si="13"/>
        <v>0</v>
      </c>
      <c r="AJ256" s="777">
        <v>0</v>
      </c>
      <c r="AK256" s="778">
        <f t="shared" si="11"/>
        <v>0</v>
      </c>
      <c r="AL256" s="901" t="s">
        <v>1585</v>
      </c>
      <c r="AM256" s="781">
        <f t="shared" si="12"/>
        <v>550.44000000000005</v>
      </c>
    </row>
    <row r="257" spans="1:39" s="782" customFormat="1">
      <c r="A257" s="772" t="s">
        <v>755</v>
      </c>
      <c r="B257" s="772" t="s">
        <v>1206</v>
      </c>
      <c r="C257" s="877" t="s">
        <v>36</v>
      </c>
      <c r="D257" s="795"/>
      <c r="E257" s="778"/>
      <c r="F257" s="778"/>
      <c r="G257" s="778"/>
      <c r="H257" s="778"/>
      <c r="I257" s="777"/>
      <c r="J257" s="777"/>
      <c r="K257" s="777"/>
      <c r="L257" s="809"/>
      <c r="M257" s="809"/>
      <c r="N257" s="809"/>
      <c r="O257" s="809"/>
      <c r="P257" s="809"/>
      <c r="Q257" s="809"/>
      <c r="R257" s="809"/>
      <c r="S257" s="809"/>
      <c r="T257" s="809"/>
      <c r="U257" s="809"/>
      <c r="V257" s="809"/>
      <c r="W257" s="809"/>
      <c r="X257" s="809"/>
      <c r="Y257" s="809"/>
      <c r="Z257" s="809"/>
      <c r="AA257" s="809"/>
      <c r="AB257" s="809"/>
      <c r="AC257" s="809"/>
      <c r="AD257" s="809"/>
      <c r="AE257" s="827"/>
      <c r="AF257" s="809"/>
      <c r="AG257" s="960"/>
      <c r="AH257" s="873"/>
      <c r="AI257" s="839">
        <f t="shared" si="13"/>
        <v>0</v>
      </c>
      <c r="AJ257" s="777">
        <v>0</v>
      </c>
      <c r="AK257" s="778">
        <f t="shared" si="11"/>
        <v>0</v>
      </c>
      <c r="AL257" s="901" t="s">
        <v>1586</v>
      </c>
      <c r="AM257" s="781">
        <f t="shared" si="12"/>
        <v>15448.74</v>
      </c>
    </row>
    <row r="258" spans="1:39" s="782" customFormat="1">
      <c r="A258" s="772" t="s">
        <v>756</v>
      </c>
      <c r="B258" s="772" t="s">
        <v>1207</v>
      </c>
      <c r="C258" s="877" t="s">
        <v>47</v>
      </c>
      <c r="D258" s="795"/>
      <c r="E258" s="778"/>
      <c r="F258" s="778"/>
      <c r="G258" s="778"/>
      <c r="H258" s="778"/>
      <c r="I258" s="777"/>
      <c r="J258" s="777"/>
      <c r="K258" s="777"/>
      <c r="L258" s="809"/>
      <c r="M258" s="809"/>
      <c r="N258" s="809"/>
      <c r="O258" s="809"/>
      <c r="P258" s="809"/>
      <c r="Q258" s="809"/>
      <c r="R258" s="809"/>
      <c r="S258" s="809"/>
      <c r="T258" s="809"/>
      <c r="U258" s="809"/>
      <c r="V258" s="809"/>
      <c r="W258" s="809"/>
      <c r="X258" s="809"/>
      <c r="Y258" s="809"/>
      <c r="Z258" s="809"/>
      <c r="AA258" s="809"/>
      <c r="AB258" s="809"/>
      <c r="AC258" s="809"/>
      <c r="AD258" s="809"/>
      <c r="AE258" s="827"/>
      <c r="AF258" s="809"/>
      <c r="AG258" s="960"/>
      <c r="AH258" s="873"/>
      <c r="AI258" s="839">
        <f t="shared" si="13"/>
        <v>0</v>
      </c>
      <c r="AJ258" s="777">
        <v>0</v>
      </c>
      <c r="AK258" s="778">
        <f t="shared" si="11"/>
        <v>0</v>
      </c>
      <c r="AL258" s="901"/>
      <c r="AM258" s="781">
        <f t="shared" si="12"/>
        <v>0</v>
      </c>
    </row>
    <row r="259" spans="1:39" s="782" customFormat="1">
      <c r="A259" s="885" t="s">
        <v>757</v>
      </c>
      <c r="B259" s="885" t="s">
        <v>1186</v>
      </c>
      <c r="C259" s="898"/>
      <c r="D259" s="795"/>
      <c r="E259" s="778"/>
      <c r="F259" s="778"/>
      <c r="G259" s="778"/>
      <c r="H259" s="778"/>
      <c r="I259" s="777"/>
      <c r="J259" s="777"/>
      <c r="K259" s="777"/>
      <c r="L259" s="809"/>
      <c r="M259" s="809"/>
      <c r="N259" s="809"/>
      <c r="O259" s="809"/>
      <c r="P259" s="809"/>
      <c r="Q259" s="809"/>
      <c r="R259" s="809"/>
      <c r="S259" s="809"/>
      <c r="T259" s="809"/>
      <c r="U259" s="809"/>
      <c r="V259" s="809"/>
      <c r="W259" s="809"/>
      <c r="X259" s="809"/>
      <c r="Y259" s="809"/>
      <c r="Z259" s="809"/>
      <c r="AA259" s="809"/>
      <c r="AB259" s="809"/>
      <c r="AC259" s="809"/>
      <c r="AD259" s="809"/>
      <c r="AE259" s="827"/>
      <c r="AF259" s="809"/>
      <c r="AG259" s="960"/>
      <c r="AH259" s="873"/>
      <c r="AI259" s="839">
        <f t="shared" si="13"/>
        <v>0</v>
      </c>
      <c r="AJ259" s="777">
        <v>0</v>
      </c>
      <c r="AK259" s="778">
        <f t="shared" si="11"/>
        <v>0</v>
      </c>
      <c r="AL259" s="901" t="s">
        <v>1587</v>
      </c>
      <c r="AM259" s="781">
        <f t="shared" si="12"/>
        <v>111.93</v>
      </c>
    </row>
    <row r="260" spans="1:39" s="782" customFormat="1">
      <c r="A260" s="772" t="s">
        <v>758</v>
      </c>
      <c r="B260" s="772" t="s">
        <v>1208</v>
      </c>
      <c r="C260" s="877" t="s">
        <v>37</v>
      </c>
      <c r="D260" s="795"/>
      <c r="E260" s="778"/>
      <c r="F260" s="778"/>
      <c r="G260" s="778"/>
      <c r="H260" s="778"/>
      <c r="I260" s="777"/>
      <c r="J260" s="777"/>
      <c r="K260" s="777"/>
      <c r="L260" s="809"/>
      <c r="M260" s="809"/>
      <c r="N260" s="809"/>
      <c r="O260" s="809"/>
      <c r="P260" s="809"/>
      <c r="Q260" s="809"/>
      <c r="R260" s="809"/>
      <c r="S260" s="809"/>
      <c r="T260" s="809"/>
      <c r="U260" s="809"/>
      <c r="V260" s="809"/>
      <c r="W260" s="809"/>
      <c r="X260" s="809"/>
      <c r="Y260" s="809"/>
      <c r="Z260" s="809"/>
      <c r="AA260" s="809"/>
      <c r="AB260" s="809"/>
      <c r="AC260" s="809"/>
      <c r="AD260" s="809"/>
      <c r="AE260" s="827"/>
      <c r="AF260" s="809"/>
      <c r="AG260" s="960"/>
      <c r="AH260" s="873"/>
      <c r="AI260" s="839">
        <f t="shared" si="13"/>
        <v>0</v>
      </c>
      <c r="AJ260" s="777">
        <v>0</v>
      </c>
      <c r="AK260" s="778">
        <f t="shared" si="11"/>
        <v>0</v>
      </c>
      <c r="AL260" s="901" t="s">
        <v>1588</v>
      </c>
      <c r="AM260" s="781">
        <f t="shared" si="12"/>
        <v>24</v>
      </c>
    </row>
    <row r="261" spans="1:39" s="782" customFormat="1">
      <c r="A261" s="772" t="s">
        <v>759</v>
      </c>
      <c r="B261" s="772" t="s">
        <v>224</v>
      </c>
      <c r="C261" s="877" t="s">
        <v>1436</v>
      </c>
      <c r="D261" s="795"/>
      <c r="E261" s="778"/>
      <c r="F261" s="778"/>
      <c r="G261" s="778"/>
      <c r="H261" s="778"/>
      <c r="I261" s="777"/>
      <c r="J261" s="777"/>
      <c r="K261" s="777"/>
      <c r="L261" s="809"/>
      <c r="M261" s="809"/>
      <c r="N261" s="809"/>
      <c r="O261" s="809"/>
      <c r="P261" s="809"/>
      <c r="Q261" s="809"/>
      <c r="R261" s="809"/>
      <c r="S261" s="809"/>
      <c r="T261" s="809"/>
      <c r="U261" s="809"/>
      <c r="V261" s="809"/>
      <c r="W261" s="809"/>
      <c r="X261" s="809"/>
      <c r="Y261" s="809"/>
      <c r="Z261" s="809"/>
      <c r="AA261" s="809"/>
      <c r="AB261" s="809"/>
      <c r="AC261" s="809"/>
      <c r="AD261" s="809"/>
      <c r="AE261" s="827"/>
      <c r="AF261" s="809"/>
      <c r="AG261" s="960"/>
      <c r="AH261" s="873"/>
      <c r="AI261" s="839">
        <f t="shared" si="13"/>
        <v>0</v>
      </c>
      <c r="AJ261" s="777">
        <v>0</v>
      </c>
      <c r="AK261" s="778">
        <f t="shared" si="11"/>
        <v>0</v>
      </c>
      <c r="AL261" s="901"/>
      <c r="AM261" s="781">
        <f t="shared" si="12"/>
        <v>0</v>
      </c>
    </row>
    <row r="262" spans="1:39" s="782" customFormat="1">
      <c r="A262" s="868" t="s">
        <v>760</v>
      </c>
      <c r="B262" s="869" t="s">
        <v>1209</v>
      </c>
      <c r="C262" s="898"/>
      <c r="D262" s="795"/>
      <c r="E262" s="778"/>
      <c r="F262" s="778"/>
      <c r="G262" s="778"/>
      <c r="H262" s="778"/>
      <c r="I262" s="777"/>
      <c r="J262" s="777"/>
      <c r="K262" s="777"/>
      <c r="L262" s="809"/>
      <c r="M262" s="809"/>
      <c r="N262" s="809"/>
      <c r="O262" s="809"/>
      <c r="P262" s="809"/>
      <c r="Q262" s="809"/>
      <c r="R262" s="809"/>
      <c r="S262" s="809"/>
      <c r="T262" s="809"/>
      <c r="U262" s="809"/>
      <c r="V262" s="809"/>
      <c r="W262" s="809"/>
      <c r="X262" s="809"/>
      <c r="Y262" s="809"/>
      <c r="Z262" s="809"/>
      <c r="AA262" s="809"/>
      <c r="AB262" s="809"/>
      <c r="AC262" s="809"/>
      <c r="AD262" s="809"/>
      <c r="AE262" s="827"/>
      <c r="AF262" s="809"/>
      <c r="AG262" s="960"/>
      <c r="AH262" s="873"/>
      <c r="AI262" s="839">
        <f t="shared" si="13"/>
        <v>0</v>
      </c>
      <c r="AJ262" s="777">
        <v>0</v>
      </c>
      <c r="AK262" s="778">
        <f t="shared" si="11"/>
        <v>0</v>
      </c>
      <c r="AL262" s="901"/>
      <c r="AM262" s="781">
        <f t="shared" si="12"/>
        <v>0</v>
      </c>
    </row>
    <row r="263" spans="1:39" s="782" customFormat="1">
      <c r="A263" s="885" t="s">
        <v>761</v>
      </c>
      <c r="B263" s="885" t="s">
        <v>45</v>
      </c>
      <c r="C263" s="898"/>
      <c r="D263" s="795"/>
      <c r="E263" s="778"/>
      <c r="F263" s="778"/>
      <c r="G263" s="778"/>
      <c r="H263" s="778"/>
      <c r="I263" s="777"/>
      <c r="J263" s="777"/>
      <c r="K263" s="777"/>
      <c r="L263" s="809"/>
      <c r="M263" s="809"/>
      <c r="N263" s="809"/>
      <c r="O263" s="809"/>
      <c r="P263" s="809"/>
      <c r="Q263" s="809"/>
      <c r="R263" s="809"/>
      <c r="S263" s="809"/>
      <c r="T263" s="809"/>
      <c r="U263" s="809"/>
      <c r="V263" s="809"/>
      <c r="W263" s="809"/>
      <c r="X263" s="809"/>
      <c r="Y263" s="809"/>
      <c r="Z263" s="809"/>
      <c r="AA263" s="809"/>
      <c r="AB263" s="809"/>
      <c r="AC263" s="809"/>
      <c r="AD263" s="809"/>
      <c r="AE263" s="827"/>
      <c r="AF263" s="809"/>
      <c r="AG263" s="960"/>
      <c r="AH263" s="873"/>
      <c r="AI263" s="839">
        <f t="shared" si="13"/>
        <v>0</v>
      </c>
      <c r="AJ263" s="777">
        <v>0</v>
      </c>
      <c r="AK263" s="778">
        <f t="shared" si="11"/>
        <v>0</v>
      </c>
      <c r="AL263" s="901" t="s">
        <v>1589</v>
      </c>
      <c r="AM263" s="781">
        <f t="shared" si="12"/>
        <v>95.88</v>
      </c>
    </row>
    <row r="264" spans="1:39" s="782" customFormat="1">
      <c r="A264" s="772" t="s">
        <v>762</v>
      </c>
      <c r="B264" s="772" t="s">
        <v>1198</v>
      </c>
      <c r="C264" s="877" t="s">
        <v>39</v>
      </c>
      <c r="D264" s="795"/>
      <c r="E264" s="778"/>
      <c r="F264" s="778"/>
      <c r="G264" s="778"/>
      <c r="H264" s="778"/>
      <c r="I264" s="777"/>
      <c r="J264" s="777"/>
      <c r="K264" s="777"/>
      <c r="L264" s="809"/>
      <c r="M264" s="809"/>
      <c r="N264" s="809"/>
      <c r="O264" s="809"/>
      <c r="P264" s="809"/>
      <c r="Q264" s="809"/>
      <c r="R264" s="809"/>
      <c r="S264" s="809"/>
      <c r="T264" s="809"/>
      <c r="U264" s="809"/>
      <c r="V264" s="809"/>
      <c r="W264" s="809"/>
      <c r="X264" s="809"/>
      <c r="Y264" s="809"/>
      <c r="Z264" s="809"/>
      <c r="AA264" s="809"/>
      <c r="AB264" s="809"/>
      <c r="AC264" s="809"/>
      <c r="AD264" s="809"/>
      <c r="AE264" s="827"/>
      <c r="AF264" s="809"/>
      <c r="AG264" s="960"/>
      <c r="AH264" s="873"/>
      <c r="AI264" s="839">
        <f t="shared" si="13"/>
        <v>0</v>
      </c>
      <c r="AJ264" s="777">
        <v>0</v>
      </c>
      <c r="AK264" s="778">
        <f t="shared" si="11"/>
        <v>0</v>
      </c>
      <c r="AL264" s="901" t="s">
        <v>1590</v>
      </c>
      <c r="AM264" s="781">
        <f t="shared" si="12"/>
        <v>124.65</v>
      </c>
    </row>
    <row r="265" spans="1:39" s="782" customFormat="1">
      <c r="A265" s="772" t="s">
        <v>763</v>
      </c>
      <c r="B265" s="772" t="s">
        <v>1147</v>
      </c>
      <c r="C265" s="877" t="s">
        <v>39</v>
      </c>
      <c r="D265" s="795"/>
      <c r="E265" s="778"/>
      <c r="F265" s="778"/>
      <c r="G265" s="778"/>
      <c r="H265" s="778"/>
      <c r="I265" s="777"/>
      <c r="J265" s="777"/>
      <c r="K265" s="777"/>
      <c r="L265" s="809"/>
      <c r="M265" s="809"/>
      <c r="N265" s="809"/>
      <c r="O265" s="809"/>
      <c r="P265" s="809"/>
      <c r="Q265" s="809"/>
      <c r="R265" s="809"/>
      <c r="S265" s="809"/>
      <c r="T265" s="809"/>
      <c r="U265" s="809"/>
      <c r="V265" s="809"/>
      <c r="W265" s="809"/>
      <c r="X265" s="809"/>
      <c r="Y265" s="809"/>
      <c r="Z265" s="809"/>
      <c r="AA265" s="809"/>
      <c r="AB265" s="809"/>
      <c r="AC265" s="809"/>
      <c r="AD265" s="809"/>
      <c r="AE265" s="827"/>
      <c r="AF265" s="809"/>
      <c r="AG265" s="960"/>
      <c r="AH265" s="873"/>
      <c r="AI265" s="839">
        <f t="shared" si="13"/>
        <v>0</v>
      </c>
      <c r="AJ265" s="777">
        <v>0</v>
      </c>
      <c r="AK265" s="778">
        <f t="shared" si="11"/>
        <v>0</v>
      </c>
      <c r="AL265" s="901"/>
      <c r="AM265" s="781">
        <f t="shared" si="12"/>
        <v>0</v>
      </c>
    </row>
    <row r="266" spans="1:39" s="782" customFormat="1">
      <c r="A266" s="885" t="s">
        <v>764</v>
      </c>
      <c r="B266" s="885" t="s">
        <v>1148</v>
      </c>
      <c r="C266" s="898"/>
      <c r="D266" s="795"/>
      <c r="E266" s="778"/>
      <c r="F266" s="778"/>
      <c r="G266" s="778"/>
      <c r="H266" s="778"/>
      <c r="I266" s="777"/>
      <c r="J266" s="777"/>
      <c r="K266" s="777"/>
      <c r="L266" s="809"/>
      <c r="M266" s="828"/>
      <c r="N266" s="828"/>
      <c r="O266" s="828"/>
      <c r="P266" s="828"/>
      <c r="Q266" s="828"/>
      <c r="R266" s="828"/>
      <c r="S266" s="828"/>
      <c r="T266" s="809"/>
      <c r="U266" s="809"/>
      <c r="V266" s="809"/>
      <c r="W266" s="809"/>
      <c r="X266" s="809"/>
      <c r="Y266" s="809"/>
      <c r="Z266" s="809"/>
      <c r="AA266" s="809"/>
      <c r="AB266" s="809"/>
      <c r="AC266" s="809"/>
      <c r="AD266" s="809"/>
      <c r="AE266" s="827"/>
      <c r="AF266" s="809"/>
      <c r="AG266" s="960"/>
      <c r="AH266" s="873"/>
      <c r="AI266" s="839">
        <f t="shared" si="13"/>
        <v>0</v>
      </c>
      <c r="AJ266" s="777">
        <v>0</v>
      </c>
      <c r="AK266" s="778">
        <f t="shared" si="11"/>
        <v>0</v>
      </c>
      <c r="AL266" s="901" t="s">
        <v>1591</v>
      </c>
      <c r="AM266" s="781">
        <f t="shared" si="12"/>
        <v>81.67</v>
      </c>
    </row>
    <row r="267" spans="1:39" s="782" customFormat="1">
      <c r="A267" s="772" t="s">
        <v>765</v>
      </c>
      <c r="B267" s="772" t="s">
        <v>1190</v>
      </c>
      <c r="C267" s="877" t="s">
        <v>39</v>
      </c>
      <c r="D267" s="795"/>
      <c r="E267" s="778"/>
      <c r="F267" s="778"/>
      <c r="G267" s="778"/>
      <c r="H267" s="778"/>
      <c r="I267" s="777"/>
      <c r="J267" s="777"/>
      <c r="K267" s="777"/>
      <c r="L267" s="809"/>
      <c r="M267" s="945">
        <f>9.2*0.4*1.35</f>
        <v>4.968</v>
      </c>
      <c r="N267" s="809"/>
      <c r="O267" s="945">
        <f>9.3*0.4*1.35</f>
        <v>5.0220000000000011</v>
      </c>
      <c r="P267" s="945">
        <f>(((0.25+0.6)/2)*1.4)*9.25</f>
        <v>5.5037500000000001</v>
      </c>
      <c r="Q267" s="809"/>
      <c r="R267" s="945">
        <f>(((0.25+0.6)/2)*1.4)*9.25+6.22*0.2*1.35</f>
        <v>7.1831500000000004</v>
      </c>
      <c r="S267" s="809"/>
      <c r="T267" s="945">
        <f>6.22*0.2*1.35</f>
        <v>1.6794</v>
      </c>
      <c r="U267" s="945">
        <f>(((0.25+0.6)/2)*1.4)*6.22+7.51*0.4*1.35</f>
        <v>7.7563000000000004</v>
      </c>
      <c r="V267" s="809"/>
      <c r="X267" s="945">
        <f>7.51*(((0.25+0.6)/2)*1.4)</f>
        <v>4.4684499999999998</v>
      </c>
      <c r="Y267" s="809"/>
      <c r="Z267" s="809"/>
      <c r="AA267" s="809"/>
      <c r="AB267" s="809"/>
      <c r="AC267" s="809"/>
      <c r="AD267" s="809"/>
      <c r="AE267" s="827"/>
      <c r="AF267" s="809"/>
      <c r="AG267" s="960"/>
      <c r="AH267" s="873"/>
      <c r="AI267" s="839">
        <f t="shared" si="13"/>
        <v>0</v>
      </c>
      <c r="AJ267" s="777">
        <v>0</v>
      </c>
      <c r="AK267" s="778">
        <f t="shared" si="11"/>
        <v>0</v>
      </c>
      <c r="AL267" s="901" t="s">
        <v>1592</v>
      </c>
      <c r="AM267" s="781">
        <f t="shared" si="12"/>
        <v>221.37</v>
      </c>
    </row>
    <row r="268" spans="1:39" s="782" customFormat="1">
      <c r="A268" s="772" t="s">
        <v>766</v>
      </c>
      <c r="B268" s="772" t="s">
        <v>1210</v>
      </c>
      <c r="C268" s="877" t="s">
        <v>36</v>
      </c>
      <c r="D268" s="795"/>
      <c r="E268" s="778"/>
      <c r="F268" s="778"/>
      <c r="G268" s="778"/>
      <c r="H268" s="778"/>
      <c r="I268" s="777"/>
      <c r="J268" s="777"/>
      <c r="K268" s="777"/>
      <c r="L268" s="809"/>
      <c r="M268" s="826">
        <f>9.2*2*0.4</f>
        <v>7.3599999999999994</v>
      </c>
      <c r="O268" s="826">
        <f>1.4*9.3+1.43*9.3+9.3*2*0.4</f>
        <v>33.759</v>
      </c>
      <c r="P268" s="802"/>
      <c r="Q268" s="948">
        <f>9.3*(1.4325+1.4)+6.22*2*0.4</f>
        <v>31.318250000000003</v>
      </c>
      <c r="R268" s="949"/>
      <c r="S268" s="803"/>
      <c r="T268" s="802"/>
      <c r="U268" s="802"/>
      <c r="V268" s="802"/>
      <c r="W268" s="826">
        <f>7.51*1.43+1.4*7.51</f>
        <v>21.253299999999999</v>
      </c>
      <c r="X268" s="809"/>
      <c r="Y268" s="809"/>
      <c r="Z268" s="809"/>
      <c r="AA268" s="809"/>
      <c r="AB268" s="809"/>
      <c r="AC268" s="809"/>
      <c r="AD268" s="809"/>
      <c r="AE268" s="827"/>
      <c r="AF268" s="809"/>
      <c r="AG268" s="960"/>
      <c r="AH268" s="873"/>
      <c r="AI268" s="839">
        <f t="shared" si="13"/>
        <v>0</v>
      </c>
      <c r="AJ268" s="777">
        <v>0</v>
      </c>
      <c r="AK268" s="778">
        <f t="shared" si="11"/>
        <v>0</v>
      </c>
      <c r="AL268" s="901"/>
      <c r="AM268" s="781">
        <f t="shared" si="12"/>
        <v>0</v>
      </c>
    </row>
    <row r="269" spans="1:39" s="560" customFormat="1">
      <c r="A269" s="492" t="s">
        <v>767</v>
      </c>
      <c r="B269" s="608" t="s">
        <v>1211</v>
      </c>
      <c r="C269" s="690"/>
      <c r="D269" s="580"/>
      <c r="E269" s="778"/>
      <c r="F269" s="581"/>
      <c r="G269" s="581"/>
      <c r="H269" s="581"/>
      <c r="I269" s="949"/>
      <c r="J269" s="949"/>
      <c r="K269" s="949"/>
      <c r="L269" s="809"/>
      <c r="M269" s="575"/>
      <c r="N269" s="575"/>
      <c r="O269" s="575"/>
      <c r="P269" s="575"/>
      <c r="Q269" s="575"/>
      <c r="R269" s="575"/>
      <c r="S269" s="809"/>
      <c r="T269" s="575"/>
      <c r="U269" s="575"/>
      <c r="V269" s="575"/>
      <c r="W269" s="575"/>
      <c r="X269" s="575"/>
      <c r="Y269" s="575"/>
      <c r="Z269" s="809"/>
      <c r="AA269" s="575"/>
      <c r="AB269" s="575"/>
      <c r="AC269" s="575"/>
      <c r="AD269" s="575"/>
      <c r="AE269" s="827"/>
      <c r="AF269" s="575"/>
      <c r="AG269" s="960"/>
      <c r="AH269" s="842"/>
      <c r="AI269" s="738">
        <f t="shared" si="13"/>
        <v>0</v>
      </c>
      <c r="AJ269" s="949">
        <v>0</v>
      </c>
      <c r="AK269" s="581">
        <f t="shared" si="11"/>
        <v>0</v>
      </c>
      <c r="AL269" s="750"/>
      <c r="AM269" s="743">
        <f t="shared" si="12"/>
        <v>0</v>
      </c>
    </row>
    <row r="270" spans="1:39" s="560" customFormat="1">
      <c r="A270" s="607" t="s">
        <v>768</v>
      </c>
      <c r="B270" s="607" t="s">
        <v>45</v>
      </c>
      <c r="C270" s="690"/>
      <c r="D270" s="580"/>
      <c r="E270" s="778"/>
      <c r="F270" s="581"/>
      <c r="G270" s="581"/>
      <c r="H270" s="581"/>
      <c r="I270" s="949"/>
      <c r="J270" s="949"/>
      <c r="K270" s="949"/>
      <c r="L270" s="809"/>
      <c r="M270" s="575"/>
      <c r="N270" s="575"/>
      <c r="O270" s="575"/>
      <c r="P270" s="575"/>
      <c r="Q270" s="575"/>
      <c r="R270" s="575"/>
      <c r="S270" s="809"/>
      <c r="T270" s="575"/>
      <c r="U270" s="575"/>
      <c r="V270" s="575"/>
      <c r="W270" s="575"/>
      <c r="X270" s="575"/>
      <c r="Y270" s="575"/>
      <c r="Z270" s="809"/>
      <c r="AA270" s="575"/>
      <c r="AB270" s="575"/>
      <c r="AC270" s="575"/>
      <c r="AD270" s="575"/>
      <c r="AE270" s="827"/>
      <c r="AF270" s="575"/>
      <c r="AG270" s="960"/>
      <c r="AH270" s="842"/>
      <c r="AI270" s="738">
        <f t="shared" si="13"/>
        <v>0</v>
      </c>
      <c r="AJ270" s="949">
        <v>0</v>
      </c>
      <c r="AK270" s="581">
        <f t="shared" ref="AK270:AK333" si="14">AI270+AJ270</f>
        <v>0</v>
      </c>
      <c r="AL270" s="750" t="s">
        <v>1593</v>
      </c>
      <c r="AM270" s="743">
        <f t="shared" ref="AM270:AM333" si="15">AL270-AK270</f>
        <v>2.81</v>
      </c>
    </row>
    <row r="271" spans="1:39" s="560" customFormat="1">
      <c r="A271" s="604" t="s">
        <v>769</v>
      </c>
      <c r="B271" s="604" t="s">
        <v>1212</v>
      </c>
      <c r="C271" s="614" t="s">
        <v>39</v>
      </c>
      <c r="D271" s="580"/>
      <c r="E271" s="778"/>
      <c r="F271" s="581"/>
      <c r="G271" s="581"/>
      <c r="H271" s="581"/>
      <c r="I271" s="949"/>
      <c r="J271" s="949"/>
      <c r="K271" s="949"/>
      <c r="L271" s="809"/>
      <c r="M271" s="575"/>
      <c r="N271" s="575"/>
      <c r="O271" s="575"/>
      <c r="P271" s="575"/>
      <c r="Q271" s="575"/>
      <c r="R271" s="575"/>
      <c r="S271" s="809"/>
      <c r="T271" s="575"/>
      <c r="U271" s="575"/>
      <c r="V271" s="575"/>
      <c r="W271" s="575"/>
      <c r="X271" s="575"/>
      <c r="Y271" s="575"/>
      <c r="Z271" s="809"/>
      <c r="AA271" s="575"/>
      <c r="AB271" s="575"/>
      <c r="AC271" s="575"/>
      <c r="AD271" s="575"/>
      <c r="AE271" s="827"/>
      <c r="AF271" s="575"/>
      <c r="AG271" s="960"/>
      <c r="AH271" s="842"/>
      <c r="AI271" s="738">
        <f t="shared" si="13"/>
        <v>0</v>
      </c>
      <c r="AJ271" s="949">
        <v>0</v>
      </c>
      <c r="AK271" s="581">
        <f t="shared" si="14"/>
        <v>0</v>
      </c>
      <c r="AL271" s="750" t="s">
        <v>1594</v>
      </c>
      <c r="AM271" s="743">
        <f t="shared" si="15"/>
        <v>60</v>
      </c>
    </row>
    <row r="272" spans="1:39" s="560" customFormat="1">
      <c r="A272" s="604" t="s">
        <v>770</v>
      </c>
      <c r="B272" s="604" t="s">
        <v>268</v>
      </c>
      <c r="C272" s="614" t="s">
        <v>36</v>
      </c>
      <c r="D272" s="580"/>
      <c r="E272" s="778"/>
      <c r="F272" s="581"/>
      <c r="G272" s="581"/>
      <c r="H272" s="581"/>
      <c r="I272" s="949"/>
      <c r="J272" s="949"/>
      <c r="K272" s="949"/>
      <c r="L272" s="809"/>
      <c r="M272" s="575"/>
      <c r="N272" s="575"/>
      <c r="O272" s="575"/>
      <c r="P272" s="575"/>
      <c r="Q272" s="575"/>
      <c r="R272" s="575"/>
      <c r="S272" s="809"/>
      <c r="T272" s="575"/>
      <c r="U272" s="575"/>
      <c r="V272" s="575"/>
      <c r="W272" s="575"/>
      <c r="X272" s="575"/>
      <c r="Y272" s="575"/>
      <c r="Z272" s="809"/>
      <c r="AA272" s="575"/>
      <c r="AB272" s="575"/>
      <c r="AC272" s="575"/>
      <c r="AD272" s="575"/>
      <c r="AE272" s="827"/>
      <c r="AF272" s="575"/>
      <c r="AG272" s="960"/>
      <c r="AH272" s="842"/>
      <c r="AI272" s="738">
        <f t="shared" si="13"/>
        <v>0</v>
      </c>
      <c r="AJ272" s="949">
        <v>0</v>
      </c>
      <c r="AK272" s="581">
        <f t="shared" si="14"/>
        <v>0</v>
      </c>
      <c r="AL272" s="750" t="s">
        <v>1595</v>
      </c>
      <c r="AM272" s="743">
        <f t="shared" si="15"/>
        <v>3.51</v>
      </c>
    </row>
    <row r="273" spans="1:39" s="560" customFormat="1">
      <c r="A273" s="604" t="s">
        <v>771</v>
      </c>
      <c r="B273" s="604" t="s">
        <v>1147</v>
      </c>
      <c r="C273" s="614" t="s">
        <v>39</v>
      </c>
      <c r="D273" s="580"/>
      <c r="E273" s="778"/>
      <c r="F273" s="581"/>
      <c r="G273" s="581"/>
      <c r="H273" s="581"/>
      <c r="I273" s="949"/>
      <c r="J273" s="949"/>
      <c r="K273" s="949"/>
      <c r="L273" s="809"/>
      <c r="M273" s="575"/>
      <c r="N273" s="575"/>
      <c r="O273" s="575"/>
      <c r="P273" s="575"/>
      <c r="Q273" s="575"/>
      <c r="R273" s="575"/>
      <c r="S273" s="809"/>
      <c r="T273" s="575"/>
      <c r="U273" s="575"/>
      <c r="V273" s="575"/>
      <c r="W273" s="575"/>
      <c r="X273" s="575"/>
      <c r="Y273" s="575"/>
      <c r="Z273" s="809"/>
      <c r="AA273" s="575"/>
      <c r="AB273" s="575"/>
      <c r="AC273" s="575"/>
      <c r="AD273" s="575"/>
      <c r="AE273" s="827"/>
      <c r="AF273" s="575"/>
      <c r="AG273" s="960"/>
      <c r="AH273" s="842"/>
      <c r="AI273" s="738">
        <f t="shared" si="13"/>
        <v>0</v>
      </c>
      <c r="AJ273" s="949">
        <v>0</v>
      </c>
      <c r="AK273" s="581">
        <f t="shared" si="14"/>
        <v>0</v>
      </c>
      <c r="AL273" s="750"/>
      <c r="AM273" s="743">
        <f t="shared" si="15"/>
        <v>0</v>
      </c>
    </row>
    <row r="274" spans="1:39" s="560" customFormat="1">
      <c r="A274" s="607" t="s">
        <v>772</v>
      </c>
      <c r="B274" s="607" t="s">
        <v>1148</v>
      </c>
      <c r="C274" s="690"/>
      <c r="D274" s="580"/>
      <c r="E274" s="778"/>
      <c r="F274" s="581"/>
      <c r="G274" s="581"/>
      <c r="H274" s="581"/>
      <c r="I274" s="949"/>
      <c r="J274" s="949"/>
      <c r="K274" s="949"/>
      <c r="L274" s="809"/>
      <c r="M274" s="575"/>
      <c r="N274" s="575"/>
      <c r="O274" s="575"/>
      <c r="P274" s="575"/>
      <c r="Q274" s="575"/>
      <c r="R274" s="575"/>
      <c r="S274" s="809"/>
      <c r="T274" s="575"/>
      <c r="U274" s="575"/>
      <c r="V274" s="575"/>
      <c r="W274" s="575"/>
      <c r="X274" s="575"/>
      <c r="Y274" s="575"/>
      <c r="Z274" s="809"/>
      <c r="AA274" s="575"/>
      <c r="AB274" s="575"/>
      <c r="AC274" s="575"/>
      <c r="AD274" s="575"/>
      <c r="AE274" s="827"/>
      <c r="AF274" s="575"/>
      <c r="AG274" s="960"/>
      <c r="AH274" s="842"/>
      <c r="AI274" s="738">
        <f t="shared" si="13"/>
        <v>0</v>
      </c>
      <c r="AJ274" s="949">
        <v>0</v>
      </c>
      <c r="AK274" s="581">
        <f t="shared" si="14"/>
        <v>0</v>
      </c>
      <c r="AL274" s="750" t="s">
        <v>1596</v>
      </c>
      <c r="AM274" s="743">
        <f t="shared" si="15"/>
        <v>2.16</v>
      </c>
    </row>
    <row r="275" spans="1:39" s="560" customFormat="1">
      <c r="A275" s="604" t="s">
        <v>773</v>
      </c>
      <c r="B275" s="604" t="s">
        <v>1189</v>
      </c>
      <c r="C275" s="614" t="s">
        <v>36</v>
      </c>
      <c r="D275" s="580"/>
      <c r="E275" s="778"/>
      <c r="F275" s="581"/>
      <c r="G275" s="581"/>
      <c r="H275" s="581"/>
      <c r="I275" s="949"/>
      <c r="J275" s="949"/>
      <c r="K275" s="949"/>
      <c r="L275" s="809"/>
      <c r="M275" s="575"/>
      <c r="N275" s="575"/>
      <c r="O275" s="575"/>
      <c r="P275" s="575"/>
      <c r="Q275" s="575"/>
      <c r="R275" s="575"/>
      <c r="S275" s="809"/>
      <c r="T275" s="575"/>
      <c r="U275" s="575"/>
      <c r="V275" s="575"/>
      <c r="W275" s="575"/>
      <c r="X275" s="575"/>
      <c r="Y275" s="575"/>
      <c r="Z275" s="809"/>
      <c r="AA275" s="575"/>
      <c r="AB275" s="575"/>
      <c r="AC275" s="575"/>
      <c r="AD275" s="575"/>
      <c r="AE275" s="827"/>
      <c r="AF275" s="575"/>
      <c r="AG275" s="960"/>
      <c r="AH275" s="842"/>
      <c r="AI275" s="738">
        <f t="shared" si="13"/>
        <v>0</v>
      </c>
      <c r="AJ275" s="949">
        <v>0</v>
      </c>
      <c r="AK275" s="581">
        <f t="shared" si="14"/>
        <v>0</v>
      </c>
      <c r="AL275" s="750" t="s">
        <v>1594</v>
      </c>
      <c r="AM275" s="743">
        <f t="shared" si="15"/>
        <v>60</v>
      </c>
    </row>
    <row r="276" spans="1:39" s="560" customFormat="1">
      <c r="A276" s="604" t="s">
        <v>774</v>
      </c>
      <c r="B276" s="604" t="s">
        <v>1213</v>
      </c>
      <c r="C276" s="614" t="s">
        <v>36</v>
      </c>
      <c r="D276" s="580"/>
      <c r="E276" s="778"/>
      <c r="F276" s="581"/>
      <c r="G276" s="581"/>
      <c r="H276" s="581"/>
      <c r="I276" s="949"/>
      <c r="J276" s="949"/>
      <c r="K276" s="949"/>
      <c r="L276" s="809"/>
      <c r="M276" s="575"/>
      <c r="N276" s="575"/>
      <c r="O276" s="575"/>
      <c r="P276" s="575"/>
      <c r="Q276" s="575"/>
      <c r="R276" s="575"/>
      <c r="S276" s="809"/>
      <c r="T276" s="575"/>
      <c r="U276" s="575"/>
      <c r="V276" s="575"/>
      <c r="W276" s="575"/>
      <c r="X276" s="575"/>
      <c r="Y276" s="575"/>
      <c r="Z276" s="809"/>
      <c r="AA276" s="575"/>
      <c r="AB276" s="575"/>
      <c r="AC276" s="575"/>
      <c r="AD276" s="575"/>
      <c r="AE276" s="827"/>
      <c r="AF276" s="575"/>
      <c r="AG276" s="960"/>
      <c r="AH276" s="842"/>
      <c r="AI276" s="738">
        <f t="shared" si="13"/>
        <v>0</v>
      </c>
      <c r="AJ276" s="949">
        <v>0</v>
      </c>
      <c r="AK276" s="581">
        <f t="shared" si="14"/>
        <v>0</v>
      </c>
      <c r="AL276" s="750"/>
      <c r="AM276" s="743">
        <f t="shared" si="15"/>
        <v>0</v>
      </c>
    </row>
    <row r="277" spans="1:39" s="560" customFormat="1">
      <c r="A277" s="607" t="s">
        <v>775</v>
      </c>
      <c r="B277" s="607" t="s">
        <v>1155</v>
      </c>
      <c r="C277" s="690"/>
      <c r="D277" s="580"/>
      <c r="E277" s="778"/>
      <c r="F277" s="581"/>
      <c r="G277" s="581"/>
      <c r="H277" s="581"/>
      <c r="I277" s="949"/>
      <c r="J277" s="949"/>
      <c r="K277" s="949"/>
      <c r="L277" s="809"/>
      <c r="M277" s="575"/>
      <c r="N277" s="575"/>
      <c r="O277" s="575"/>
      <c r="P277" s="575"/>
      <c r="Q277" s="575"/>
      <c r="R277" s="575"/>
      <c r="S277" s="809"/>
      <c r="T277" s="575"/>
      <c r="U277" s="575"/>
      <c r="V277" s="575"/>
      <c r="W277" s="575"/>
      <c r="X277" s="575"/>
      <c r="Y277" s="575"/>
      <c r="Z277" s="809"/>
      <c r="AA277" s="575"/>
      <c r="AB277" s="575"/>
      <c r="AC277" s="575"/>
      <c r="AD277" s="575"/>
      <c r="AE277" s="827"/>
      <c r="AF277" s="575"/>
      <c r="AG277" s="960"/>
      <c r="AH277" s="842"/>
      <c r="AI277" s="738">
        <f t="shared" si="13"/>
        <v>0</v>
      </c>
      <c r="AJ277" s="949">
        <v>0</v>
      </c>
      <c r="AK277" s="581">
        <f t="shared" si="14"/>
        <v>0</v>
      </c>
      <c r="AL277" s="750"/>
      <c r="AM277" s="743">
        <f t="shared" si="15"/>
        <v>0</v>
      </c>
    </row>
    <row r="278" spans="1:39" s="560" customFormat="1">
      <c r="A278" s="604" t="s">
        <v>776</v>
      </c>
      <c r="B278" s="604" t="s">
        <v>1156</v>
      </c>
      <c r="C278" s="690"/>
      <c r="D278" s="580"/>
      <c r="E278" s="778"/>
      <c r="F278" s="581"/>
      <c r="G278" s="581"/>
      <c r="H278" s="581"/>
      <c r="I278" s="949"/>
      <c r="J278" s="949"/>
      <c r="K278" s="949"/>
      <c r="L278" s="809"/>
      <c r="M278" s="575"/>
      <c r="N278" s="575"/>
      <c r="O278" s="575"/>
      <c r="P278" s="575"/>
      <c r="Q278" s="575"/>
      <c r="R278" s="575"/>
      <c r="S278" s="809"/>
      <c r="T278" s="575"/>
      <c r="U278" s="575"/>
      <c r="V278" s="575"/>
      <c r="W278" s="575"/>
      <c r="X278" s="575"/>
      <c r="Y278" s="575"/>
      <c r="Z278" s="809"/>
      <c r="AA278" s="575"/>
      <c r="AB278" s="575"/>
      <c r="AC278" s="575"/>
      <c r="AD278" s="575"/>
      <c r="AE278" s="827"/>
      <c r="AF278" s="575"/>
      <c r="AG278" s="960"/>
      <c r="AH278" s="842"/>
      <c r="AI278" s="738">
        <f t="shared" si="13"/>
        <v>0</v>
      </c>
      <c r="AJ278" s="949">
        <v>0</v>
      </c>
      <c r="AK278" s="581">
        <f t="shared" si="14"/>
        <v>0</v>
      </c>
      <c r="AL278" s="750" t="s">
        <v>1597</v>
      </c>
      <c r="AM278" s="743">
        <f t="shared" si="15"/>
        <v>2.52</v>
      </c>
    </row>
    <row r="279" spans="1:39" s="560" customFormat="1">
      <c r="A279" s="604" t="s">
        <v>777</v>
      </c>
      <c r="B279" s="604" t="s">
        <v>1192</v>
      </c>
      <c r="C279" s="614" t="s">
        <v>39</v>
      </c>
      <c r="D279" s="580"/>
      <c r="E279" s="778"/>
      <c r="F279" s="581"/>
      <c r="G279" s="581"/>
      <c r="H279" s="581"/>
      <c r="I279" s="949"/>
      <c r="J279" s="949"/>
      <c r="K279" s="949"/>
      <c r="L279" s="809"/>
      <c r="M279" s="575"/>
      <c r="N279" s="575"/>
      <c r="O279" s="575"/>
      <c r="P279" s="575"/>
      <c r="Q279" s="575"/>
      <c r="R279" s="575"/>
      <c r="S279" s="809"/>
      <c r="T279" s="575"/>
      <c r="U279" s="575"/>
      <c r="V279" s="575"/>
      <c r="W279" s="575"/>
      <c r="X279" s="575"/>
      <c r="Y279" s="575"/>
      <c r="Z279" s="809"/>
      <c r="AA279" s="575"/>
      <c r="AB279" s="575"/>
      <c r="AC279" s="575"/>
      <c r="AD279" s="575"/>
      <c r="AE279" s="827"/>
      <c r="AF279" s="575"/>
      <c r="AG279" s="960"/>
      <c r="AH279" s="842"/>
      <c r="AI279" s="738">
        <f t="shared" si="13"/>
        <v>0</v>
      </c>
      <c r="AJ279" s="949">
        <v>0</v>
      </c>
      <c r="AK279" s="581">
        <f t="shared" si="14"/>
        <v>0</v>
      </c>
      <c r="AL279" s="750" t="s">
        <v>1598</v>
      </c>
      <c r="AM279" s="743">
        <f t="shared" si="15"/>
        <v>186.08</v>
      </c>
    </row>
    <row r="280" spans="1:39" s="560" customFormat="1">
      <c r="A280" s="604" t="s">
        <v>778</v>
      </c>
      <c r="B280" s="604" t="s">
        <v>1158</v>
      </c>
      <c r="C280" s="614" t="s">
        <v>47</v>
      </c>
      <c r="D280" s="580"/>
      <c r="E280" s="778"/>
      <c r="F280" s="581"/>
      <c r="G280" s="581"/>
      <c r="H280" s="581"/>
      <c r="I280" s="949"/>
      <c r="J280" s="949"/>
      <c r="K280" s="949"/>
      <c r="L280" s="809"/>
      <c r="M280" s="575"/>
      <c r="N280" s="575"/>
      <c r="O280" s="575"/>
      <c r="P280" s="575"/>
      <c r="Q280" s="575"/>
      <c r="R280" s="575"/>
      <c r="S280" s="809"/>
      <c r="T280" s="575"/>
      <c r="U280" s="575"/>
      <c r="V280" s="575"/>
      <c r="W280" s="575"/>
      <c r="X280" s="575"/>
      <c r="Y280" s="575"/>
      <c r="Z280" s="809"/>
      <c r="AA280" s="575"/>
      <c r="AB280" s="575"/>
      <c r="AC280" s="575"/>
      <c r="AD280" s="575"/>
      <c r="AE280" s="827"/>
      <c r="AF280" s="575"/>
      <c r="AG280" s="960"/>
      <c r="AH280" s="842"/>
      <c r="AI280" s="738">
        <f t="shared" si="13"/>
        <v>0</v>
      </c>
      <c r="AJ280" s="949">
        <v>0</v>
      </c>
      <c r="AK280" s="581">
        <f t="shared" si="14"/>
        <v>0</v>
      </c>
      <c r="AL280" s="750"/>
      <c r="AM280" s="743">
        <f t="shared" si="15"/>
        <v>0</v>
      </c>
    </row>
    <row r="281" spans="1:39" s="560" customFormat="1">
      <c r="A281" s="607" t="s">
        <v>779</v>
      </c>
      <c r="B281" s="607" t="s">
        <v>1214</v>
      </c>
      <c r="C281" s="690"/>
      <c r="D281" s="580"/>
      <c r="E281" s="778"/>
      <c r="F281" s="581"/>
      <c r="G281" s="581"/>
      <c r="H281" s="581"/>
      <c r="I281" s="949"/>
      <c r="J281" s="949"/>
      <c r="K281" s="949"/>
      <c r="L281" s="809"/>
      <c r="M281" s="575"/>
      <c r="N281" s="575"/>
      <c r="O281" s="575"/>
      <c r="P281" s="575"/>
      <c r="Q281" s="575"/>
      <c r="R281" s="575"/>
      <c r="S281" s="809"/>
      <c r="T281" s="575"/>
      <c r="U281" s="575"/>
      <c r="V281" s="575"/>
      <c r="W281" s="575"/>
      <c r="X281" s="575"/>
      <c r="Y281" s="575"/>
      <c r="Z281" s="809"/>
      <c r="AA281" s="575"/>
      <c r="AB281" s="575"/>
      <c r="AC281" s="575"/>
      <c r="AD281" s="575"/>
      <c r="AE281" s="827"/>
      <c r="AF281" s="575"/>
      <c r="AG281" s="960"/>
      <c r="AH281" s="842"/>
      <c r="AI281" s="738">
        <f t="shared" si="13"/>
        <v>0</v>
      </c>
      <c r="AJ281" s="949">
        <v>0</v>
      </c>
      <c r="AK281" s="581">
        <f t="shared" si="14"/>
        <v>0</v>
      </c>
      <c r="AL281" s="750" t="s">
        <v>1599</v>
      </c>
      <c r="AM281" s="743">
        <f t="shared" si="15"/>
        <v>899.99</v>
      </c>
    </row>
    <row r="282" spans="1:39" s="560" customFormat="1">
      <c r="A282" s="604" t="s">
        <v>780</v>
      </c>
      <c r="B282" s="604" t="s">
        <v>1215</v>
      </c>
      <c r="C282" s="614" t="s">
        <v>47</v>
      </c>
      <c r="D282" s="580"/>
      <c r="E282" s="778"/>
      <c r="F282" s="581"/>
      <c r="G282" s="581"/>
      <c r="H282" s="581"/>
      <c r="I282" s="949"/>
      <c r="J282" s="949"/>
      <c r="K282" s="949"/>
      <c r="L282" s="809"/>
      <c r="M282" s="575"/>
      <c r="N282" s="575"/>
      <c r="O282" s="575"/>
      <c r="P282" s="575"/>
      <c r="Q282" s="575"/>
      <c r="R282" s="575"/>
      <c r="S282" s="809"/>
      <c r="T282" s="575"/>
      <c r="U282" s="575"/>
      <c r="V282" s="575"/>
      <c r="W282" s="575"/>
      <c r="X282" s="575"/>
      <c r="Y282" s="575"/>
      <c r="Z282" s="809"/>
      <c r="AA282" s="575"/>
      <c r="AB282" s="575"/>
      <c r="AC282" s="575"/>
      <c r="AD282" s="575"/>
      <c r="AE282" s="827"/>
      <c r="AF282" s="575"/>
      <c r="AG282" s="960"/>
      <c r="AH282" s="842"/>
      <c r="AI282" s="738">
        <f t="shared" si="13"/>
        <v>0</v>
      </c>
      <c r="AJ282" s="949">
        <v>0</v>
      </c>
      <c r="AK282" s="581">
        <f t="shared" si="14"/>
        <v>0</v>
      </c>
      <c r="AL282" s="750" t="s">
        <v>1600</v>
      </c>
      <c r="AM282" s="743">
        <f t="shared" si="15"/>
        <v>394.52</v>
      </c>
    </row>
    <row r="283" spans="1:39" s="560" customFormat="1">
      <c r="A283" s="604" t="s">
        <v>781</v>
      </c>
      <c r="B283" s="604" t="s">
        <v>1216</v>
      </c>
      <c r="C283" s="614" t="s">
        <v>47</v>
      </c>
      <c r="D283" s="580"/>
      <c r="E283" s="778"/>
      <c r="F283" s="581"/>
      <c r="G283" s="581"/>
      <c r="H283" s="581"/>
      <c r="I283" s="949"/>
      <c r="J283" s="949"/>
      <c r="K283" s="949"/>
      <c r="L283" s="809"/>
      <c r="M283" s="575"/>
      <c r="N283" s="575"/>
      <c r="O283" s="575"/>
      <c r="P283" s="575"/>
      <c r="Q283" s="575"/>
      <c r="R283" s="575"/>
      <c r="S283" s="809"/>
      <c r="T283" s="575"/>
      <c r="U283" s="575"/>
      <c r="V283" s="575"/>
      <c r="W283" s="575"/>
      <c r="X283" s="575"/>
      <c r="Y283" s="575"/>
      <c r="Z283" s="809"/>
      <c r="AA283" s="575"/>
      <c r="AB283" s="575"/>
      <c r="AC283" s="575"/>
      <c r="AD283" s="575"/>
      <c r="AE283" s="827"/>
      <c r="AF283" s="575"/>
      <c r="AG283" s="960"/>
      <c r="AH283" s="842"/>
      <c r="AI283" s="738">
        <f t="shared" si="13"/>
        <v>0</v>
      </c>
      <c r="AJ283" s="949">
        <v>0</v>
      </c>
      <c r="AK283" s="581">
        <f t="shared" si="14"/>
        <v>0</v>
      </c>
      <c r="AL283" s="750" t="s">
        <v>1601</v>
      </c>
      <c r="AM283" s="743">
        <f t="shared" si="15"/>
        <v>271.91000000000003</v>
      </c>
    </row>
    <row r="284" spans="1:39" s="560" customFormat="1">
      <c r="A284" s="604" t="s">
        <v>782</v>
      </c>
      <c r="B284" s="604" t="s">
        <v>1217</v>
      </c>
      <c r="C284" s="614" t="s">
        <v>47</v>
      </c>
      <c r="D284" s="580"/>
      <c r="E284" s="778"/>
      <c r="F284" s="581"/>
      <c r="G284" s="581"/>
      <c r="H284" s="581"/>
      <c r="I284" s="949"/>
      <c r="J284" s="949"/>
      <c r="K284" s="949"/>
      <c r="L284" s="809"/>
      <c r="M284" s="575"/>
      <c r="N284" s="575"/>
      <c r="O284" s="575"/>
      <c r="P284" s="575"/>
      <c r="Q284" s="575"/>
      <c r="R284" s="575"/>
      <c r="S284" s="809"/>
      <c r="T284" s="575"/>
      <c r="U284" s="575"/>
      <c r="V284" s="575"/>
      <c r="W284" s="575"/>
      <c r="X284" s="575"/>
      <c r="Y284" s="575"/>
      <c r="Z284" s="809"/>
      <c r="AA284" s="575"/>
      <c r="AB284" s="575"/>
      <c r="AC284" s="575"/>
      <c r="AD284" s="575"/>
      <c r="AE284" s="827"/>
      <c r="AF284" s="575"/>
      <c r="AG284" s="960"/>
      <c r="AH284" s="842"/>
      <c r="AI284" s="738">
        <f t="shared" si="13"/>
        <v>0</v>
      </c>
      <c r="AJ284" s="949">
        <v>0</v>
      </c>
      <c r="AK284" s="581">
        <f t="shared" si="14"/>
        <v>0</v>
      </c>
      <c r="AL284" s="750" t="s">
        <v>1602</v>
      </c>
      <c r="AM284" s="743">
        <f t="shared" si="15"/>
        <v>80.92</v>
      </c>
    </row>
    <row r="285" spans="1:39" s="560" customFormat="1">
      <c r="A285" s="604" t="s">
        <v>783</v>
      </c>
      <c r="B285" s="604" t="s">
        <v>1218</v>
      </c>
      <c r="C285" s="614" t="s">
        <v>37</v>
      </c>
      <c r="D285" s="580"/>
      <c r="E285" s="778"/>
      <c r="F285" s="581"/>
      <c r="G285" s="581"/>
      <c r="H285" s="581"/>
      <c r="I285" s="949"/>
      <c r="J285" s="949"/>
      <c r="K285" s="949"/>
      <c r="L285" s="809"/>
      <c r="M285" s="575"/>
      <c r="N285" s="575"/>
      <c r="O285" s="575"/>
      <c r="P285" s="575"/>
      <c r="Q285" s="575"/>
      <c r="R285" s="575"/>
      <c r="S285" s="809"/>
      <c r="T285" s="575"/>
      <c r="U285" s="575"/>
      <c r="V285" s="575"/>
      <c r="W285" s="575"/>
      <c r="X285" s="575"/>
      <c r="Y285" s="575"/>
      <c r="Z285" s="809"/>
      <c r="AA285" s="575"/>
      <c r="AB285" s="575"/>
      <c r="AC285" s="575"/>
      <c r="AD285" s="575"/>
      <c r="AE285" s="827"/>
      <c r="AF285" s="575"/>
      <c r="AG285" s="960"/>
      <c r="AH285" s="842"/>
      <c r="AI285" s="738">
        <f t="shared" si="13"/>
        <v>0</v>
      </c>
      <c r="AJ285" s="949">
        <v>0</v>
      </c>
      <c r="AK285" s="581">
        <f t="shared" si="14"/>
        <v>0</v>
      </c>
      <c r="AL285" s="750" t="s">
        <v>1603</v>
      </c>
      <c r="AM285" s="743">
        <f t="shared" si="15"/>
        <v>6</v>
      </c>
    </row>
    <row r="286" spans="1:39" s="560" customFormat="1">
      <c r="A286" s="604" t="s">
        <v>784</v>
      </c>
      <c r="B286" s="604" t="s">
        <v>1219</v>
      </c>
      <c r="C286" s="614" t="s">
        <v>1436</v>
      </c>
      <c r="D286" s="580"/>
      <c r="E286" s="778"/>
      <c r="F286" s="581"/>
      <c r="G286" s="581"/>
      <c r="H286" s="581"/>
      <c r="I286" s="949"/>
      <c r="J286" s="949"/>
      <c r="K286" s="949"/>
      <c r="L286" s="809"/>
      <c r="M286" s="575"/>
      <c r="N286" s="575"/>
      <c r="O286" s="575"/>
      <c r="P286" s="575"/>
      <c r="Q286" s="575"/>
      <c r="R286" s="575"/>
      <c r="S286" s="809"/>
      <c r="T286" s="575"/>
      <c r="U286" s="575"/>
      <c r="V286" s="575"/>
      <c r="W286" s="575"/>
      <c r="X286" s="575"/>
      <c r="Y286" s="575"/>
      <c r="Z286" s="809"/>
      <c r="AA286" s="575"/>
      <c r="AB286" s="575"/>
      <c r="AC286" s="575"/>
      <c r="AD286" s="575"/>
      <c r="AE286" s="827"/>
      <c r="AF286" s="575"/>
      <c r="AG286" s="960"/>
      <c r="AH286" s="842"/>
      <c r="AI286" s="738">
        <f t="shared" si="13"/>
        <v>0</v>
      </c>
      <c r="AJ286" s="949">
        <v>0</v>
      </c>
      <c r="AK286" s="581">
        <f t="shared" si="14"/>
        <v>0</v>
      </c>
      <c r="AL286" s="750"/>
      <c r="AM286" s="743">
        <f t="shared" si="15"/>
        <v>0</v>
      </c>
    </row>
    <row r="287" spans="1:39" s="560" customFormat="1">
      <c r="A287" s="607" t="s">
        <v>785</v>
      </c>
      <c r="B287" s="607" t="s">
        <v>1186</v>
      </c>
      <c r="C287" s="690"/>
      <c r="D287" s="580"/>
      <c r="E287" s="778"/>
      <c r="F287" s="581"/>
      <c r="G287" s="581"/>
      <c r="H287" s="581"/>
      <c r="I287" s="949"/>
      <c r="J287" s="949"/>
      <c r="K287" s="949"/>
      <c r="L287" s="809"/>
      <c r="M287" s="575"/>
      <c r="N287" s="575"/>
      <c r="O287" s="575"/>
      <c r="P287" s="575"/>
      <c r="Q287" s="575"/>
      <c r="R287" s="575"/>
      <c r="S287" s="809"/>
      <c r="T287" s="575"/>
      <c r="U287" s="575"/>
      <c r="V287" s="575"/>
      <c r="W287" s="575"/>
      <c r="X287" s="575"/>
      <c r="Y287" s="575"/>
      <c r="Z287" s="809"/>
      <c r="AA287" s="575"/>
      <c r="AB287" s="575"/>
      <c r="AC287" s="575"/>
      <c r="AD287" s="575"/>
      <c r="AE287" s="827"/>
      <c r="AF287" s="575"/>
      <c r="AG287" s="960"/>
      <c r="AH287" s="842"/>
      <c r="AI287" s="738">
        <f t="shared" si="13"/>
        <v>0</v>
      </c>
      <c r="AJ287" s="949">
        <v>0</v>
      </c>
      <c r="AK287" s="581">
        <f t="shared" si="14"/>
        <v>0</v>
      </c>
      <c r="AL287" s="750" t="s">
        <v>1604</v>
      </c>
      <c r="AM287" s="743">
        <f t="shared" si="15"/>
        <v>3</v>
      </c>
    </row>
    <row r="288" spans="1:39" s="560" customFormat="1" ht="13.8" thickBot="1">
      <c r="A288" s="604" t="s">
        <v>786</v>
      </c>
      <c r="B288" s="604" t="s">
        <v>224</v>
      </c>
      <c r="C288" s="614" t="s">
        <v>1436</v>
      </c>
      <c r="D288" s="580"/>
      <c r="E288" s="778"/>
      <c r="F288" s="581"/>
      <c r="G288" s="581"/>
      <c r="H288" s="581"/>
      <c r="I288" s="949"/>
      <c r="J288" s="949"/>
      <c r="K288" s="949"/>
      <c r="L288" s="809"/>
      <c r="M288" s="575"/>
      <c r="N288" s="575"/>
      <c r="O288" s="575"/>
      <c r="P288" s="575"/>
      <c r="Q288" s="575"/>
      <c r="R288" s="575"/>
      <c r="S288" s="809"/>
      <c r="T288" s="575"/>
      <c r="U288" s="575"/>
      <c r="V288" s="575"/>
      <c r="W288" s="575"/>
      <c r="X288" s="575"/>
      <c r="Y288" s="575"/>
      <c r="Z288" s="809"/>
      <c r="AA288" s="575"/>
      <c r="AB288" s="575"/>
      <c r="AC288" s="575"/>
      <c r="AD288" s="575"/>
      <c r="AE288" s="827"/>
      <c r="AF288" s="575"/>
      <c r="AG288" s="960"/>
      <c r="AH288" s="842"/>
      <c r="AI288" s="738">
        <f t="shared" si="13"/>
        <v>0</v>
      </c>
      <c r="AJ288" s="949">
        <v>0</v>
      </c>
      <c r="AK288" s="581">
        <f t="shared" si="14"/>
        <v>0</v>
      </c>
      <c r="AL288" s="750"/>
      <c r="AM288" s="743">
        <f t="shared" si="15"/>
        <v>0</v>
      </c>
    </row>
    <row r="289" spans="1:39" s="782" customFormat="1">
      <c r="A289" s="870" t="s">
        <v>44</v>
      </c>
      <c r="B289" s="870" t="s">
        <v>1220</v>
      </c>
      <c r="C289" s="898"/>
      <c r="D289" s="795"/>
      <c r="E289" s="778"/>
      <c r="F289" s="778"/>
      <c r="G289" s="778"/>
      <c r="H289" s="778"/>
      <c r="I289" s="777"/>
      <c r="J289" s="777"/>
      <c r="K289" s="777"/>
      <c r="L289" s="809"/>
      <c r="M289" s="809"/>
      <c r="N289" s="809"/>
      <c r="O289" s="809"/>
      <c r="P289" s="809"/>
      <c r="Q289" s="809"/>
      <c r="R289" s="809"/>
      <c r="S289" s="809"/>
      <c r="T289" s="809"/>
      <c r="U289" s="809"/>
      <c r="V289" s="809"/>
      <c r="W289" s="809"/>
      <c r="X289" s="809"/>
      <c r="Y289" s="809"/>
      <c r="Z289" s="809"/>
      <c r="AA289" s="809"/>
      <c r="AB289" s="809"/>
      <c r="AC289" s="809"/>
      <c r="AD289" s="809"/>
      <c r="AE289" s="827"/>
      <c r="AF289" s="809"/>
      <c r="AG289" s="960"/>
      <c r="AH289" s="873"/>
      <c r="AI289" s="839">
        <f t="shared" si="13"/>
        <v>0</v>
      </c>
      <c r="AJ289" s="777">
        <v>0</v>
      </c>
      <c r="AK289" s="778">
        <f t="shared" si="14"/>
        <v>0</v>
      </c>
      <c r="AL289" s="901"/>
      <c r="AM289" s="781">
        <f t="shared" si="15"/>
        <v>0</v>
      </c>
    </row>
    <row r="290" spans="1:39" s="782" customFormat="1">
      <c r="A290" s="868" t="s">
        <v>46</v>
      </c>
      <c r="B290" s="869" t="s">
        <v>1221</v>
      </c>
      <c r="C290" s="898"/>
      <c r="D290" s="795"/>
      <c r="E290" s="778"/>
      <c r="F290" s="778"/>
      <c r="G290" s="778"/>
      <c r="H290" s="778"/>
      <c r="I290" s="777"/>
      <c r="J290" s="777"/>
      <c r="K290" s="777"/>
      <c r="L290" s="809"/>
      <c r="M290" s="809"/>
      <c r="N290" s="809"/>
      <c r="O290" s="809"/>
      <c r="P290" s="809"/>
      <c r="Q290" s="809"/>
      <c r="R290" s="809"/>
      <c r="S290" s="809"/>
      <c r="T290" s="809"/>
      <c r="U290" s="809"/>
      <c r="V290" s="809"/>
      <c r="W290" s="809"/>
      <c r="X290" s="809"/>
      <c r="Y290" s="809"/>
      <c r="Z290" s="809"/>
      <c r="AA290" s="809"/>
      <c r="AB290" s="809"/>
      <c r="AC290" s="809"/>
      <c r="AD290" s="809"/>
      <c r="AE290" s="827"/>
      <c r="AF290" s="809"/>
      <c r="AG290" s="960"/>
      <c r="AH290" s="873"/>
      <c r="AI290" s="839">
        <f t="shared" si="13"/>
        <v>0</v>
      </c>
      <c r="AJ290" s="777">
        <v>0</v>
      </c>
      <c r="AK290" s="778">
        <f t="shared" si="14"/>
        <v>0</v>
      </c>
      <c r="AL290" s="901"/>
      <c r="AM290" s="781">
        <f t="shared" si="15"/>
        <v>0</v>
      </c>
    </row>
    <row r="291" spans="1:39" s="782" customFormat="1">
      <c r="A291" s="885" t="s">
        <v>48</v>
      </c>
      <c r="B291" s="885" t="s">
        <v>1222</v>
      </c>
      <c r="C291" s="898"/>
      <c r="D291" s="795"/>
      <c r="E291" s="778"/>
      <c r="F291" s="778"/>
      <c r="G291" s="778"/>
      <c r="H291" s="778"/>
      <c r="I291" s="777"/>
      <c r="J291" s="777"/>
      <c r="K291" s="777"/>
      <c r="L291" s="809"/>
      <c r="M291" s="809"/>
      <c r="N291" s="809"/>
      <c r="O291" s="809"/>
      <c r="P291" s="809"/>
      <c r="Q291" s="809"/>
      <c r="R291" s="809"/>
      <c r="S291" s="809"/>
      <c r="T291" s="809"/>
      <c r="U291" s="809"/>
      <c r="V291" s="809"/>
      <c r="W291" s="809"/>
      <c r="X291" s="809"/>
      <c r="Y291" s="809"/>
      <c r="Z291" s="809"/>
      <c r="AA291" s="809"/>
      <c r="AB291" s="809"/>
      <c r="AC291" s="809"/>
      <c r="AD291" s="809"/>
      <c r="AE291" s="827"/>
      <c r="AF291" s="809"/>
      <c r="AG291" s="960"/>
      <c r="AH291" s="873"/>
      <c r="AI291" s="839">
        <f t="shared" si="13"/>
        <v>0</v>
      </c>
      <c r="AJ291" s="777">
        <v>0</v>
      </c>
      <c r="AK291" s="778">
        <f t="shared" si="14"/>
        <v>0</v>
      </c>
      <c r="AL291" s="901" t="s">
        <v>1605</v>
      </c>
      <c r="AM291" s="781">
        <f t="shared" si="15"/>
        <v>72.27</v>
      </c>
    </row>
    <row r="292" spans="1:39" s="782" customFormat="1">
      <c r="A292" s="772" t="s">
        <v>787</v>
      </c>
      <c r="B292" s="772" t="s">
        <v>1223</v>
      </c>
      <c r="C292" s="877" t="s">
        <v>36</v>
      </c>
      <c r="D292" s="795"/>
      <c r="E292" s="778"/>
      <c r="F292" s="778"/>
      <c r="G292" s="778"/>
      <c r="H292" s="778"/>
      <c r="I292" s="777"/>
      <c r="J292" s="777"/>
      <c r="K292" s="777"/>
      <c r="L292" s="809"/>
      <c r="M292" s="809"/>
      <c r="N292" s="809"/>
      <c r="O292" s="809"/>
      <c r="P292" s="809"/>
      <c r="Q292" s="809"/>
      <c r="R292" s="809"/>
      <c r="S292" s="809"/>
      <c r="T292" s="809"/>
      <c r="U292" s="809"/>
      <c r="V292" s="809"/>
      <c r="W292" s="809"/>
      <c r="X292" s="809"/>
      <c r="Y292" s="809"/>
      <c r="Z292" s="809"/>
      <c r="AA292" s="809"/>
      <c r="AB292" s="809"/>
      <c r="AC292" s="809"/>
      <c r="AD292" s="809"/>
      <c r="AE292" s="827"/>
      <c r="AF292" s="809"/>
      <c r="AG292" s="960"/>
      <c r="AH292" s="873"/>
      <c r="AI292" s="839">
        <f t="shared" si="13"/>
        <v>0</v>
      </c>
      <c r="AJ292" s="777">
        <v>0</v>
      </c>
      <c r="AK292" s="778">
        <f t="shared" si="14"/>
        <v>0</v>
      </c>
      <c r="AL292" s="901" t="s">
        <v>1606</v>
      </c>
      <c r="AM292" s="781">
        <f t="shared" si="15"/>
        <v>15.22</v>
      </c>
    </row>
    <row r="293" spans="1:39" s="782" customFormat="1">
      <c r="A293" s="772" t="s">
        <v>788</v>
      </c>
      <c r="B293" s="772" t="s">
        <v>1224</v>
      </c>
      <c r="C293" s="877" t="s">
        <v>36</v>
      </c>
      <c r="D293" s="795"/>
      <c r="E293" s="778"/>
      <c r="F293" s="778"/>
      <c r="G293" s="778"/>
      <c r="H293" s="778"/>
      <c r="I293" s="777"/>
      <c r="J293" s="777"/>
      <c r="K293" s="777"/>
      <c r="L293" s="809"/>
      <c r="M293" s="809"/>
      <c r="N293" s="809"/>
      <c r="O293" s="809"/>
      <c r="P293" s="809"/>
      <c r="Q293" s="809"/>
      <c r="R293" s="809"/>
      <c r="S293" s="809"/>
      <c r="T293" s="809"/>
      <c r="U293" s="809"/>
      <c r="V293" s="809"/>
      <c r="W293" s="809"/>
      <c r="X293" s="809"/>
      <c r="Y293" s="809"/>
      <c r="Z293" s="809"/>
      <c r="AA293" s="809"/>
      <c r="AB293" s="809"/>
      <c r="AC293" s="809"/>
      <c r="AD293" s="809"/>
      <c r="AE293" s="827"/>
      <c r="AF293" s="809"/>
      <c r="AG293" s="960"/>
      <c r="AH293" s="873"/>
      <c r="AI293" s="839">
        <f t="shared" si="13"/>
        <v>0</v>
      </c>
      <c r="AJ293" s="777">
        <v>0</v>
      </c>
      <c r="AK293" s="778">
        <f t="shared" si="14"/>
        <v>0</v>
      </c>
      <c r="AL293" s="901"/>
      <c r="AM293" s="781">
        <f t="shared" si="15"/>
        <v>0</v>
      </c>
    </row>
    <row r="294" spans="1:39" s="560" customFormat="1">
      <c r="A294" s="607" t="s">
        <v>49</v>
      </c>
      <c r="B294" s="607" t="s">
        <v>1225</v>
      </c>
      <c r="C294" s="690"/>
      <c r="D294" s="580"/>
      <c r="E294" s="778"/>
      <c r="F294" s="581"/>
      <c r="G294" s="581"/>
      <c r="H294" s="581"/>
      <c r="I294" s="949"/>
      <c r="J294" s="949"/>
      <c r="K294" s="949"/>
      <c r="L294" s="809"/>
      <c r="M294" s="575"/>
      <c r="N294" s="575"/>
      <c r="O294" s="575"/>
      <c r="P294" s="575"/>
      <c r="Q294" s="575"/>
      <c r="R294" s="575"/>
      <c r="S294" s="809"/>
      <c r="T294" s="575"/>
      <c r="U294" s="575"/>
      <c r="V294" s="575"/>
      <c r="W294" s="575"/>
      <c r="X294" s="575"/>
      <c r="Y294" s="575"/>
      <c r="Z294" s="809"/>
      <c r="AA294" s="575"/>
      <c r="AB294" s="575"/>
      <c r="AC294" s="575"/>
      <c r="AD294" s="575"/>
      <c r="AE294" s="827"/>
      <c r="AF294" s="575"/>
      <c r="AG294" s="960"/>
      <c r="AH294" s="842"/>
      <c r="AI294" s="738">
        <f t="shared" si="13"/>
        <v>0</v>
      </c>
      <c r="AJ294" s="949">
        <v>0</v>
      </c>
      <c r="AK294" s="581">
        <f t="shared" si="14"/>
        <v>0</v>
      </c>
      <c r="AL294" s="750" t="s">
        <v>1607</v>
      </c>
      <c r="AM294" s="743">
        <f t="shared" si="15"/>
        <v>123.1</v>
      </c>
    </row>
    <row r="295" spans="1:39" s="560" customFormat="1">
      <c r="A295" s="604" t="s">
        <v>789</v>
      </c>
      <c r="B295" s="604" t="s">
        <v>1226</v>
      </c>
      <c r="C295" s="614" t="s">
        <v>36</v>
      </c>
      <c r="D295" s="580"/>
      <c r="E295" s="778"/>
      <c r="F295" s="581"/>
      <c r="G295" s="581"/>
      <c r="H295" s="581"/>
      <c r="I295" s="949"/>
      <c r="J295" s="949"/>
      <c r="K295" s="949"/>
      <c r="L295" s="809"/>
      <c r="M295" s="575"/>
      <c r="N295" s="575"/>
      <c r="O295" s="575"/>
      <c r="P295" s="575"/>
      <c r="Q295" s="575"/>
      <c r="R295" s="575"/>
      <c r="S295" s="809"/>
      <c r="T295" s="575"/>
      <c r="U295" s="575"/>
      <c r="V295" s="575"/>
      <c r="W295" s="575"/>
      <c r="X295" s="575"/>
      <c r="Y295" s="575"/>
      <c r="Z295" s="809"/>
      <c r="AA295" s="575"/>
      <c r="AB295" s="575"/>
      <c r="AC295" s="575"/>
      <c r="AD295" s="575"/>
      <c r="AE295" s="827"/>
      <c r="AF295" s="575"/>
      <c r="AG295" s="960"/>
      <c r="AH295" s="842"/>
      <c r="AI295" s="738">
        <f t="shared" si="13"/>
        <v>0</v>
      </c>
      <c r="AJ295" s="949">
        <v>0</v>
      </c>
      <c r="AK295" s="581">
        <f t="shared" si="14"/>
        <v>0</v>
      </c>
      <c r="AL295" s="750" t="s">
        <v>1608</v>
      </c>
      <c r="AM295" s="743">
        <f t="shared" si="15"/>
        <v>54.38</v>
      </c>
    </row>
    <row r="296" spans="1:39" s="560" customFormat="1">
      <c r="A296" s="604" t="s">
        <v>790</v>
      </c>
      <c r="B296" s="604" t="s">
        <v>1227</v>
      </c>
      <c r="C296" s="614" t="s">
        <v>36</v>
      </c>
      <c r="D296" s="580"/>
      <c r="E296" s="778"/>
      <c r="F296" s="581"/>
      <c r="G296" s="581"/>
      <c r="H296" s="581"/>
      <c r="I296" s="949"/>
      <c r="J296" s="949"/>
      <c r="K296" s="949"/>
      <c r="L296" s="809"/>
      <c r="M296" s="575"/>
      <c r="N296" s="575"/>
      <c r="O296" s="575"/>
      <c r="P296" s="575"/>
      <c r="Q296" s="575"/>
      <c r="R296" s="575"/>
      <c r="S296" s="809"/>
      <c r="T296" s="575"/>
      <c r="U296" s="575"/>
      <c r="V296" s="575"/>
      <c r="W296" s="575"/>
      <c r="X296" s="575"/>
      <c r="Y296" s="575"/>
      <c r="Z296" s="809"/>
      <c r="AA296" s="575"/>
      <c r="AB296" s="575"/>
      <c r="AC296" s="575"/>
      <c r="AD296" s="575"/>
      <c r="AE296" s="827"/>
      <c r="AF296" s="575"/>
      <c r="AG296" s="960"/>
      <c r="AH296" s="842"/>
      <c r="AI296" s="738">
        <f t="shared" si="13"/>
        <v>0</v>
      </c>
      <c r="AJ296" s="949">
        <v>0</v>
      </c>
      <c r="AK296" s="581">
        <f t="shared" si="14"/>
        <v>0</v>
      </c>
      <c r="AL296" s="750" t="s">
        <v>1609</v>
      </c>
      <c r="AM296" s="743">
        <f t="shared" si="15"/>
        <v>34.44</v>
      </c>
    </row>
    <row r="297" spans="1:39" s="560" customFormat="1">
      <c r="A297" s="604" t="s">
        <v>791</v>
      </c>
      <c r="B297" s="604" t="s">
        <v>1228</v>
      </c>
      <c r="C297" s="614" t="s">
        <v>36</v>
      </c>
      <c r="D297" s="580"/>
      <c r="E297" s="778"/>
      <c r="F297" s="581"/>
      <c r="G297" s="581"/>
      <c r="H297" s="581"/>
      <c r="I297" s="949"/>
      <c r="J297" s="949"/>
      <c r="K297" s="949"/>
      <c r="L297" s="809"/>
      <c r="M297" s="575"/>
      <c r="N297" s="575"/>
      <c r="O297" s="575"/>
      <c r="P297" s="575"/>
      <c r="Q297" s="575"/>
      <c r="R297" s="575"/>
      <c r="S297" s="809"/>
      <c r="T297" s="575"/>
      <c r="U297" s="575"/>
      <c r="V297" s="575"/>
      <c r="W297" s="575"/>
      <c r="X297" s="575"/>
      <c r="Y297" s="575"/>
      <c r="Z297" s="809"/>
      <c r="AA297" s="575"/>
      <c r="AB297" s="575"/>
      <c r="AC297" s="575"/>
      <c r="AD297" s="575"/>
      <c r="AE297" s="827"/>
      <c r="AF297" s="575"/>
      <c r="AG297" s="960"/>
      <c r="AH297" s="842"/>
      <c r="AI297" s="738">
        <f t="shared" si="13"/>
        <v>0</v>
      </c>
      <c r="AJ297" s="949">
        <v>0</v>
      </c>
      <c r="AK297" s="581">
        <f t="shared" si="14"/>
        <v>0</v>
      </c>
      <c r="AL297" s="750" t="s">
        <v>1610</v>
      </c>
      <c r="AM297" s="743">
        <f t="shared" si="15"/>
        <v>30.39</v>
      </c>
    </row>
    <row r="298" spans="1:39" s="560" customFormat="1">
      <c r="A298" s="604" t="s">
        <v>792</v>
      </c>
      <c r="B298" s="604" t="s">
        <v>1229</v>
      </c>
      <c r="C298" s="614" t="s">
        <v>36</v>
      </c>
      <c r="D298" s="580"/>
      <c r="E298" s="778"/>
      <c r="F298" s="581"/>
      <c r="G298" s="581"/>
      <c r="H298" s="581"/>
      <c r="I298" s="949"/>
      <c r="J298" s="949"/>
      <c r="K298" s="949"/>
      <c r="L298" s="809"/>
      <c r="M298" s="575"/>
      <c r="N298" s="575"/>
      <c r="O298" s="575"/>
      <c r="P298" s="575"/>
      <c r="Q298" s="575"/>
      <c r="R298" s="575"/>
      <c r="S298" s="809"/>
      <c r="T298" s="575"/>
      <c r="U298" s="575"/>
      <c r="V298" s="575"/>
      <c r="W298" s="575"/>
      <c r="X298" s="575"/>
      <c r="Y298" s="575"/>
      <c r="Z298" s="809"/>
      <c r="AA298" s="575"/>
      <c r="AB298" s="575"/>
      <c r="AC298" s="575"/>
      <c r="AD298" s="575"/>
      <c r="AE298" s="827"/>
      <c r="AF298" s="575"/>
      <c r="AG298" s="960"/>
      <c r="AH298" s="842"/>
      <c r="AI298" s="738">
        <f t="shared" si="13"/>
        <v>0</v>
      </c>
      <c r="AJ298" s="949">
        <v>0</v>
      </c>
      <c r="AK298" s="581">
        <f t="shared" si="14"/>
        <v>0</v>
      </c>
      <c r="AL298" s="750" t="s">
        <v>1611</v>
      </c>
      <c r="AM298" s="743">
        <f t="shared" si="15"/>
        <v>39.17</v>
      </c>
    </row>
    <row r="299" spans="1:39" s="560" customFormat="1">
      <c r="A299" s="604" t="s">
        <v>793</v>
      </c>
      <c r="B299" s="604" t="s">
        <v>1230</v>
      </c>
      <c r="C299" s="614" t="s">
        <v>36</v>
      </c>
      <c r="D299" s="580"/>
      <c r="E299" s="778"/>
      <c r="F299" s="581"/>
      <c r="G299" s="581"/>
      <c r="H299" s="581"/>
      <c r="I299" s="949"/>
      <c r="J299" s="949"/>
      <c r="K299" s="949"/>
      <c r="L299" s="809"/>
      <c r="M299" s="575"/>
      <c r="N299" s="575"/>
      <c r="O299" s="575"/>
      <c r="P299" s="575"/>
      <c r="Q299" s="575"/>
      <c r="R299" s="575"/>
      <c r="S299" s="809"/>
      <c r="T299" s="575"/>
      <c r="U299" s="575"/>
      <c r="V299" s="575"/>
      <c r="W299" s="575"/>
      <c r="X299" s="575"/>
      <c r="Y299" s="575"/>
      <c r="Z299" s="809"/>
      <c r="AA299" s="575"/>
      <c r="AB299" s="575"/>
      <c r="AC299" s="575"/>
      <c r="AD299" s="575"/>
      <c r="AE299" s="827"/>
      <c r="AF299" s="575"/>
      <c r="AG299" s="960"/>
      <c r="AH299" s="842"/>
      <c r="AI299" s="738">
        <f t="shared" ref="AI299:AI362" si="16">ROUND((SUM(D299:L299)),2)</f>
        <v>0</v>
      </c>
      <c r="AJ299" s="949">
        <v>0</v>
      </c>
      <c r="AK299" s="581">
        <f t="shared" si="14"/>
        <v>0</v>
      </c>
      <c r="AL299" s="750" t="s">
        <v>1612</v>
      </c>
      <c r="AM299" s="743">
        <f t="shared" si="15"/>
        <v>68.38</v>
      </c>
    </row>
    <row r="300" spans="1:39" s="560" customFormat="1">
      <c r="A300" s="604" t="s">
        <v>794</v>
      </c>
      <c r="B300" s="604" t="s">
        <v>1231</v>
      </c>
      <c r="C300" s="614" t="s">
        <v>37</v>
      </c>
      <c r="D300" s="580"/>
      <c r="E300" s="778"/>
      <c r="F300" s="581"/>
      <c r="G300" s="581"/>
      <c r="H300" s="581"/>
      <c r="I300" s="949"/>
      <c r="J300" s="949"/>
      <c r="K300" s="949"/>
      <c r="L300" s="809"/>
      <c r="M300" s="575"/>
      <c r="N300" s="575"/>
      <c r="O300" s="575"/>
      <c r="P300" s="575"/>
      <c r="Q300" s="575"/>
      <c r="R300" s="575"/>
      <c r="S300" s="809"/>
      <c r="T300" s="575"/>
      <c r="U300" s="575"/>
      <c r="V300" s="575"/>
      <c r="W300" s="575"/>
      <c r="X300" s="575"/>
      <c r="Y300" s="575"/>
      <c r="Z300" s="809"/>
      <c r="AA300" s="575"/>
      <c r="AB300" s="575"/>
      <c r="AC300" s="575"/>
      <c r="AD300" s="575"/>
      <c r="AE300" s="827"/>
      <c r="AF300" s="575"/>
      <c r="AG300" s="960"/>
      <c r="AH300" s="842"/>
      <c r="AI300" s="738">
        <f t="shared" si="16"/>
        <v>0</v>
      </c>
      <c r="AJ300" s="949">
        <v>0</v>
      </c>
      <c r="AK300" s="581">
        <f t="shared" si="14"/>
        <v>0</v>
      </c>
      <c r="AL300" s="750" t="s">
        <v>1613</v>
      </c>
      <c r="AM300" s="743">
        <f t="shared" si="15"/>
        <v>228.32</v>
      </c>
    </row>
    <row r="301" spans="1:39" s="560" customFormat="1">
      <c r="A301" s="604" t="s">
        <v>795</v>
      </c>
      <c r="B301" s="604" t="s">
        <v>1232</v>
      </c>
      <c r="C301" s="614" t="s">
        <v>37</v>
      </c>
      <c r="D301" s="580"/>
      <c r="E301" s="778"/>
      <c r="F301" s="581"/>
      <c r="G301" s="581"/>
      <c r="H301" s="581"/>
      <c r="I301" s="949"/>
      <c r="J301" s="949"/>
      <c r="K301" s="949"/>
      <c r="L301" s="809"/>
      <c r="M301" s="575"/>
      <c r="N301" s="575"/>
      <c r="O301" s="575"/>
      <c r="P301" s="575"/>
      <c r="Q301" s="575"/>
      <c r="R301" s="575"/>
      <c r="S301" s="809"/>
      <c r="T301" s="575"/>
      <c r="U301" s="575"/>
      <c r="V301" s="575"/>
      <c r="W301" s="575"/>
      <c r="X301" s="575"/>
      <c r="Y301" s="575"/>
      <c r="Z301" s="809"/>
      <c r="AA301" s="575"/>
      <c r="AB301" s="575"/>
      <c r="AC301" s="575"/>
      <c r="AD301" s="575"/>
      <c r="AE301" s="827"/>
      <c r="AF301" s="575"/>
      <c r="AG301" s="960"/>
      <c r="AH301" s="842"/>
      <c r="AI301" s="738">
        <f t="shared" si="16"/>
        <v>0</v>
      </c>
      <c r="AJ301" s="949">
        <v>0</v>
      </c>
      <c r="AK301" s="581">
        <f t="shared" si="14"/>
        <v>0</v>
      </c>
      <c r="AL301" s="750"/>
      <c r="AM301" s="743">
        <f t="shared" si="15"/>
        <v>0</v>
      </c>
    </row>
    <row r="302" spans="1:39" s="560" customFormat="1">
      <c r="A302" s="607" t="s">
        <v>50</v>
      </c>
      <c r="B302" s="607" t="s">
        <v>1233</v>
      </c>
      <c r="C302" s="690"/>
      <c r="D302" s="580"/>
      <c r="E302" s="778"/>
      <c r="F302" s="581"/>
      <c r="G302" s="581"/>
      <c r="H302" s="581"/>
      <c r="I302" s="949"/>
      <c r="J302" s="949"/>
      <c r="K302" s="949"/>
      <c r="L302" s="809"/>
      <c r="M302" s="575"/>
      <c r="N302" s="575"/>
      <c r="O302" s="575"/>
      <c r="P302" s="575"/>
      <c r="Q302" s="575"/>
      <c r="R302" s="575"/>
      <c r="S302" s="809"/>
      <c r="T302" s="575"/>
      <c r="U302" s="575"/>
      <c r="V302" s="575"/>
      <c r="W302" s="575"/>
      <c r="X302" s="575"/>
      <c r="Y302" s="575"/>
      <c r="Z302" s="809"/>
      <c r="AA302" s="575"/>
      <c r="AB302" s="575"/>
      <c r="AC302" s="575"/>
      <c r="AD302" s="575"/>
      <c r="AE302" s="827"/>
      <c r="AF302" s="575"/>
      <c r="AG302" s="960"/>
      <c r="AH302" s="842"/>
      <c r="AI302" s="738">
        <f t="shared" si="16"/>
        <v>0</v>
      </c>
      <c r="AJ302" s="949">
        <v>0</v>
      </c>
      <c r="AK302" s="581">
        <f t="shared" si="14"/>
        <v>0</v>
      </c>
      <c r="AL302" s="750" t="s">
        <v>1614</v>
      </c>
      <c r="AM302" s="743">
        <f t="shared" si="15"/>
        <v>90.62</v>
      </c>
    </row>
    <row r="303" spans="1:39" s="560" customFormat="1">
      <c r="A303" s="604" t="s">
        <v>796</v>
      </c>
      <c r="B303" s="604" t="s">
        <v>1234</v>
      </c>
      <c r="C303" s="614" t="s">
        <v>36</v>
      </c>
      <c r="D303" s="580"/>
      <c r="E303" s="778"/>
      <c r="F303" s="581"/>
      <c r="G303" s="581"/>
      <c r="H303" s="581"/>
      <c r="I303" s="949"/>
      <c r="J303" s="949"/>
      <c r="K303" s="949"/>
      <c r="L303" s="809"/>
      <c r="M303" s="575"/>
      <c r="N303" s="575"/>
      <c r="O303" s="575"/>
      <c r="P303" s="575"/>
      <c r="Q303" s="575"/>
      <c r="R303" s="575"/>
      <c r="S303" s="809"/>
      <c r="T303" s="575"/>
      <c r="U303" s="575"/>
      <c r="V303" s="575"/>
      <c r="W303" s="575"/>
      <c r="X303" s="575"/>
      <c r="Y303" s="575"/>
      <c r="Z303" s="809"/>
      <c r="AA303" s="575"/>
      <c r="AB303" s="575"/>
      <c r="AC303" s="575"/>
      <c r="AD303" s="575"/>
      <c r="AE303" s="827"/>
      <c r="AF303" s="575"/>
      <c r="AG303" s="960"/>
      <c r="AH303" s="842"/>
      <c r="AI303" s="738">
        <f t="shared" si="16"/>
        <v>0</v>
      </c>
      <c r="AJ303" s="949">
        <v>0</v>
      </c>
      <c r="AK303" s="581">
        <f t="shared" si="14"/>
        <v>0</v>
      </c>
      <c r="AL303" s="750"/>
      <c r="AM303" s="743">
        <f t="shared" si="15"/>
        <v>0</v>
      </c>
    </row>
    <row r="304" spans="1:39" s="782" customFormat="1">
      <c r="A304" s="885" t="s">
        <v>276</v>
      </c>
      <c r="B304" s="885" t="s">
        <v>1235</v>
      </c>
      <c r="C304" s="898"/>
      <c r="D304" s="795"/>
      <c r="E304" s="778"/>
      <c r="F304" s="778"/>
      <c r="G304" s="778"/>
      <c r="H304" s="778"/>
      <c r="I304" s="777"/>
      <c r="J304" s="777"/>
      <c r="K304" s="777"/>
      <c r="L304" s="809"/>
      <c r="M304" s="809"/>
      <c r="N304" s="809"/>
      <c r="O304" s="809"/>
      <c r="P304" s="809"/>
      <c r="Q304" s="809"/>
      <c r="R304" s="809"/>
      <c r="S304" s="809"/>
      <c r="T304" s="809"/>
      <c r="U304" s="809"/>
      <c r="V304" s="809"/>
      <c r="W304" s="809"/>
      <c r="X304" s="809"/>
      <c r="Y304" s="809"/>
      <c r="Z304" s="809"/>
      <c r="AA304" s="809"/>
      <c r="AB304" s="809"/>
      <c r="AC304" s="809"/>
      <c r="AD304" s="809"/>
      <c r="AE304" s="827"/>
      <c r="AF304" s="809"/>
      <c r="AG304" s="960"/>
      <c r="AH304" s="873"/>
      <c r="AI304" s="839">
        <f t="shared" si="16"/>
        <v>0</v>
      </c>
      <c r="AJ304" s="777">
        <v>0</v>
      </c>
      <c r="AK304" s="778">
        <f t="shared" si="14"/>
        <v>0</v>
      </c>
      <c r="AL304" s="901" t="s">
        <v>1615</v>
      </c>
      <c r="AM304" s="781">
        <f t="shared" si="15"/>
        <v>72.22</v>
      </c>
    </row>
    <row r="305" spans="1:39" s="782" customFormat="1">
      <c r="A305" s="772" t="s">
        <v>797</v>
      </c>
      <c r="B305" s="772" t="s">
        <v>1236</v>
      </c>
      <c r="C305" s="877" t="s">
        <v>36</v>
      </c>
      <c r="D305" s="795"/>
      <c r="E305" s="778"/>
      <c r="F305" s="778"/>
      <c r="G305" s="778"/>
      <c r="H305" s="778"/>
      <c r="I305" s="777"/>
      <c r="J305" s="777"/>
      <c r="K305" s="777"/>
      <c r="L305" s="809"/>
      <c r="M305" s="809"/>
      <c r="N305" s="809"/>
      <c r="O305" s="809"/>
      <c r="P305" s="809"/>
      <c r="Q305" s="809"/>
      <c r="R305" s="809"/>
      <c r="S305" s="809"/>
      <c r="T305" s="809"/>
      <c r="U305" s="809"/>
      <c r="V305" s="809"/>
      <c r="W305" s="809"/>
      <c r="X305" s="809"/>
      <c r="Y305" s="809"/>
      <c r="Z305" s="809"/>
      <c r="AA305" s="809"/>
      <c r="AB305" s="809"/>
      <c r="AC305" s="809"/>
      <c r="AD305" s="809"/>
      <c r="AE305" s="827"/>
      <c r="AF305" s="809"/>
      <c r="AG305" s="960"/>
      <c r="AH305" s="873"/>
      <c r="AI305" s="839">
        <f t="shared" si="16"/>
        <v>0</v>
      </c>
      <c r="AJ305" s="777">
        <v>0</v>
      </c>
      <c r="AK305" s="778">
        <f t="shared" si="14"/>
        <v>0</v>
      </c>
      <c r="AL305" s="901" t="s">
        <v>1616</v>
      </c>
      <c r="AM305" s="781">
        <f t="shared" si="15"/>
        <v>56.44</v>
      </c>
    </row>
    <row r="306" spans="1:39" s="560" customFormat="1">
      <c r="A306" s="604" t="s">
        <v>798</v>
      </c>
      <c r="B306" s="604" t="s">
        <v>1237</v>
      </c>
      <c r="C306" s="614" t="s">
        <v>36</v>
      </c>
      <c r="D306" s="580"/>
      <c r="E306" s="778"/>
      <c r="F306" s="581"/>
      <c r="G306" s="581"/>
      <c r="H306" s="581"/>
      <c r="I306" s="949"/>
      <c r="J306" s="949"/>
      <c r="K306" s="949"/>
      <c r="L306" s="809"/>
      <c r="M306" s="575"/>
      <c r="N306" s="575"/>
      <c r="O306" s="575"/>
      <c r="P306" s="575"/>
      <c r="Q306" s="575"/>
      <c r="R306" s="575"/>
      <c r="S306" s="809"/>
      <c r="T306" s="575"/>
      <c r="U306" s="575"/>
      <c r="V306" s="575"/>
      <c r="W306" s="575"/>
      <c r="X306" s="575"/>
      <c r="Y306" s="575"/>
      <c r="Z306" s="809"/>
      <c r="AA306" s="575"/>
      <c r="AB306" s="575"/>
      <c r="AC306" s="575"/>
      <c r="AD306" s="575"/>
      <c r="AE306" s="827"/>
      <c r="AF306" s="575"/>
      <c r="AG306" s="960"/>
      <c r="AH306" s="842"/>
      <c r="AI306" s="738">
        <f t="shared" si="16"/>
        <v>0</v>
      </c>
      <c r="AJ306" s="949">
        <v>0</v>
      </c>
      <c r="AK306" s="581">
        <f t="shared" si="14"/>
        <v>0</v>
      </c>
      <c r="AL306" s="750" t="s">
        <v>1617</v>
      </c>
      <c r="AM306" s="743">
        <f t="shared" si="15"/>
        <v>15.78</v>
      </c>
    </row>
    <row r="307" spans="1:39" s="560" customFormat="1">
      <c r="A307" s="604" t="s">
        <v>799</v>
      </c>
      <c r="B307" s="604" t="s">
        <v>1238</v>
      </c>
      <c r="C307" s="614" t="s">
        <v>36</v>
      </c>
      <c r="D307" s="580"/>
      <c r="E307" s="778"/>
      <c r="F307" s="581"/>
      <c r="G307" s="581"/>
      <c r="H307" s="581"/>
      <c r="I307" s="949"/>
      <c r="J307" s="949"/>
      <c r="K307" s="949"/>
      <c r="L307" s="809"/>
      <c r="M307" s="575"/>
      <c r="N307" s="575"/>
      <c r="O307" s="575"/>
      <c r="P307" s="575"/>
      <c r="Q307" s="575"/>
      <c r="R307" s="575"/>
      <c r="S307" s="809"/>
      <c r="T307" s="575"/>
      <c r="U307" s="575"/>
      <c r="V307" s="575"/>
      <c r="W307" s="575"/>
      <c r="X307" s="575"/>
      <c r="Y307" s="575"/>
      <c r="Z307" s="809"/>
      <c r="AA307" s="575"/>
      <c r="AB307" s="575"/>
      <c r="AC307" s="575"/>
      <c r="AD307" s="575"/>
      <c r="AE307" s="827"/>
      <c r="AF307" s="575"/>
      <c r="AG307" s="960"/>
      <c r="AH307" s="842"/>
      <c r="AI307" s="738">
        <f t="shared" si="16"/>
        <v>0</v>
      </c>
      <c r="AJ307" s="949">
        <v>0</v>
      </c>
      <c r="AK307" s="581">
        <f t="shared" si="14"/>
        <v>0</v>
      </c>
      <c r="AL307" s="750"/>
      <c r="AM307" s="743">
        <f t="shared" si="15"/>
        <v>0</v>
      </c>
    </row>
    <row r="308" spans="1:39" s="560" customFormat="1">
      <c r="A308" s="607" t="s">
        <v>278</v>
      </c>
      <c r="B308" s="607" t="s">
        <v>1239</v>
      </c>
      <c r="C308" s="690"/>
      <c r="D308" s="580"/>
      <c r="E308" s="778"/>
      <c r="F308" s="581"/>
      <c r="G308" s="581"/>
      <c r="H308" s="581"/>
      <c r="I308" s="949"/>
      <c r="J308" s="949"/>
      <c r="K308" s="949"/>
      <c r="L308" s="809"/>
      <c r="M308" s="575"/>
      <c r="N308" s="575"/>
      <c r="O308" s="575"/>
      <c r="P308" s="575"/>
      <c r="Q308" s="575"/>
      <c r="R308" s="575"/>
      <c r="S308" s="809"/>
      <c r="T308" s="575"/>
      <c r="U308" s="575"/>
      <c r="V308" s="575"/>
      <c r="W308" s="575"/>
      <c r="X308" s="575"/>
      <c r="Y308" s="575"/>
      <c r="Z308" s="809"/>
      <c r="AA308" s="575"/>
      <c r="AB308" s="575"/>
      <c r="AC308" s="575"/>
      <c r="AD308" s="575"/>
      <c r="AE308" s="827"/>
      <c r="AF308" s="575"/>
      <c r="AG308" s="960"/>
      <c r="AH308" s="842"/>
      <c r="AI308" s="738">
        <f t="shared" si="16"/>
        <v>0</v>
      </c>
      <c r="AJ308" s="949">
        <v>0</v>
      </c>
      <c r="AK308" s="581">
        <f t="shared" si="14"/>
        <v>0</v>
      </c>
      <c r="AL308" s="750" t="s">
        <v>1618</v>
      </c>
      <c r="AM308" s="743">
        <f t="shared" si="15"/>
        <v>11.52</v>
      </c>
    </row>
    <row r="309" spans="1:39" s="560" customFormat="1">
      <c r="A309" s="604" t="s">
        <v>800</v>
      </c>
      <c r="B309" s="604" t="s">
        <v>1240</v>
      </c>
      <c r="C309" s="614" t="s">
        <v>37</v>
      </c>
      <c r="D309" s="580"/>
      <c r="E309" s="778"/>
      <c r="F309" s="581"/>
      <c r="G309" s="581"/>
      <c r="H309" s="581"/>
      <c r="I309" s="949"/>
      <c r="J309" s="949"/>
      <c r="K309" s="949"/>
      <c r="L309" s="809"/>
      <c r="M309" s="575"/>
      <c r="N309" s="575"/>
      <c r="O309" s="575"/>
      <c r="P309" s="575"/>
      <c r="Q309" s="575"/>
      <c r="R309" s="575"/>
      <c r="S309" s="809"/>
      <c r="T309" s="575"/>
      <c r="U309" s="575"/>
      <c r="V309" s="575"/>
      <c r="W309" s="575"/>
      <c r="X309" s="575"/>
      <c r="Y309" s="575"/>
      <c r="Z309" s="809"/>
      <c r="AA309" s="575"/>
      <c r="AB309" s="575"/>
      <c r="AC309" s="575"/>
      <c r="AD309" s="575"/>
      <c r="AE309" s="827"/>
      <c r="AF309" s="575"/>
      <c r="AG309" s="960"/>
      <c r="AH309" s="842"/>
      <c r="AI309" s="738">
        <f t="shared" si="16"/>
        <v>0</v>
      </c>
      <c r="AJ309" s="949">
        <v>0</v>
      </c>
      <c r="AK309" s="581">
        <f t="shared" si="14"/>
        <v>0</v>
      </c>
      <c r="AL309" s="750" t="s">
        <v>1619</v>
      </c>
      <c r="AM309" s="743">
        <f t="shared" si="15"/>
        <v>5.18</v>
      </c>
    </row>
    <row r="310" spans="1:39" s="560" customFormat="1">
      <c r="A310" s="604" t="s">
        <v>801</v>
      </c>
      <c r="B310" s="604" t="s">
        <v>1241</v>
      </c>
      <c r="C310" s="614" t="s">
        <v>36</v>
      </c>
      <c r="D310" s="580"/>
      <c r="E310" s="778"/>
      <c r="F310" s="581"/>
      <c r="G310" s="581"/>
      <c r="H310" s="581"/>
      <c r="I310" s="949"/>
      <c r="J310" s="949"/>
      <c r="K310" s="949"/>
      <c r="L310" s="809"/>
      <c r="M310" s="575"/>
      <c r="N310" s="575"/>
      <c r="O310" s="575"/>
      <c r="P310" s="575"/>
      <c r="Q310" s="575"/>
      <c r="R310" s="575"/>
      <c r="S310" s="809"/>
      <c r="T310" s="575"/>
      <c r="U310" s="575"/>
      <c r="V310" s="575"/>
      <c r="W310" s="575"/>
      <c r="X310" s="575"/>
      <c r="Y310" s="575"/>
      <c r="Z310" s="809"/>
      <c r="AA310" s="575"/>
      <c r="AB310" s="575"/>
      <c r="AC310" s="575"/>
      <c r="AD310" s="575"/>
      <c r="AE310" s="827"/>
      <c r="AF310" s="575"/>
      <c r="AG310" s="960"/>
      <c r="AH310" s="842"/>
      <c r="AI310" s="738">
        <f t="shared" si="16"/>
        <v>0</v>
      </c>
      <c r="AJ310" s="949">
        <v>0</v>
      </c>
      <c r="AK310" s="581">
        <f t="shared" si="14"/>
        <v>0</v>
      </c>
      <c r="AL310" s="750"/>
      <c r="AM310" s="743">
        <f t="shared" si="15"/>
        <v>0</v>
      </c>
    </row>
    <row r="311" spans="1:39" s="560" customFormat="1">
      <c r="A311" s="607" t="s">
        <v>279</v>
      </c>
      <c r="B311" s="607" t="s">
        <v>1242</v>
      </c>
      <c r="C311" s="690"/>
      <c r="D311" s="580"/>
      <c r="E311" s="778"/>
      <c r="F311" s="581"/>
      <c r="G311" s="581"/>
      <c r="H311" s="581"/>
      <c r="I311" s="949"/>
      <c r="J311" s="949"/>
      <c r="K311" s="949"/>
      <c r="L311" s="809"/>
      <c r="M311" s="575"/>
      <c r="N311" s="575"/>
      <c r="O311" s="575"/>
      <c r="P311" s="575"/>
      <c r="Q311" s="575"/>
      <c r="R311" s="575"/>
      <c r="S311" s="809"/>
      <c r="T311" s="575"/>
      <c r="U311" s="575"/>
      <c r="V311" s="575"/>
      <c r="W311" s="575"/>
      <c r="X311" s="575"/>
      <c r="Y311" s="575"/>
      <c r="Z311" s="809"/>
      <c r="AA311" s="575"/>
      <c r="AB311" s="575"/>
      <c r="AC311" s="575"/>
      <c r="AD311" s="575"/>
      <c r="AE311" s="827"/>
      <c r="AF311" s="575"/>
      <c r="AG311" s="960"/>
      <c r="AH311" s="842"/>
      <c r="AI311" s="738">
        <f t="shared" si="16"/>
        <v>0</v>
      </c>
      <c r="AJ311" s="949">
        <v>0</v>
      </c>
      <c r="AK311" s="581">
        <f t="shared" si="14"/>
        <v>0</v>
      </c>
      <c r="AL311" s="750" t="s">
        <v>1620</v>
      </c>
      <c r="AM311" s="743">
        <f t="shared" si="15"/>
        <v>73.5</v>
      </c>
    </row>
    <row r="312" spans="1:39" s="560" customFormat="1">
      <c r="A312" s="604" t="s">
        <v>802</v>
      </c>
      <c r="B312" s="604" t="s">
        <v>1243</v>
      </c>
      <c r="C312" s="614" t="s">
        <v>36</v>
      </c>
      <c r="D312" s="580"/>
      <c r="E312" s="778"/>
      <c r="F312" s="581"/>
      <c r="G312" s="581"/>
      <c r="H312" s="581"/>
      <c r="I312" s="949"/>
      <c r="J312" s="949"/>
      <c r="K312" s="949"/>
      <c r="L312" s="809"/>
      <c r="M312" s="575"/>
      <c r="N312" s="575"/>
      <c r="O312" s="575"/>
      <c r="P312" s="575"/>
      <c r="Q312" s="575"/>
      <c r="R312" s="575"/>
      <c r="S312" s="809"/>
      <c r="T312" s="575"/>
      <c r="U312" s="575"/>
      <c r="V312" s="575"/>
      <c r="W312" s="575"/>
      <c r="X312" s="575"/>
      <c r="Y312" s="575"/>
      <c r="Z312" s="809"/>
      <c r="AA312" s="575"/>
      <c r="AB312" s="575"/>
      <c r="AC312" s="575"/>
      <c r="AD312" s="575"/>
      <c r="AE312" s="827"/>
      <c r="AF312" s="575"/>
      <c r="AG312" s="960"/>
      <c r="AH312" s="842"/>
      <c r="AI312" s="738">
        <f t="shared" si="16"/>
        <v>0</v>
      </c>
      <c r="AJ312" s="949">
        <v>0</v>
      </c>
      <c r="AK312" s="581">
        <f t="shared" si="14"/>
        <v>0</v>
      </c>
      <c r="AL312" s="750"/>
      <c r="AM312" s="743">
        <f t="shared" si="15"/>
        <v>0</v>
      </c>
    </row>
    <row r="313" spans="1:39" s="560" customFormat="1">
      <c r="A313" s="607" t="s">
        <v>280</v>
      </c>
      <c r="B313" s="607" t="s">
        <v>1244</v>
      </c>
      <c r="C313" s="690"/>
      <c r="D313" s="580"/>
      <c r="E313" s="778"/>
      <c r="F313" s="581"/>
      <c r="G313" s="581"/>
      <c r="H313" s="581"/>
      <c r="I313" s="949"/>
      <c r="J313" s="949"/>
      <c r="K313" s="949"/>
      <c r="L313" s="809"/>
      <c r="M313" s="575"/>
      <c r="N313" s="575"/>
      <c r="O313" s="575"/>
      <c r="P313" s="575"/>
      <c r="Q313" s="575"/>
      <c r="R313" s="575"/>
      <c r="S313" s="809"/>
      <c r="T313" s="575"/>
      <c r="U313" s="575"/>
      <c r="V313" s="575"/>
      <c r="W313" s="575"/>
      <c r="X313" s="575"/>
      <c r="Y313" s="575"/>
      <c r="Z313" s="809"/>
      <c r="AA313" s="575"/>
      <c r="AB313" s="575"/>
      <c r="AC313" s="575"/>
      <c r="AD313" s="575"/>
      <c r="AE313" s="827"/>
      <c r="AF313" s="575"/>
      <c r="AG313" s="960"/>
      <c r="AH313" s="842"/>
      <c r="AI313" s="738">
        <f t="shared" si="16"/>
        <v>0</v>
      </c>
      <c r="AJ313" s="949">
        <v>0</v>
      </c>
      <c r="AK313" s="581">
        <f t="shared" si="14"/>
        <v>0</v>
      </c>
      <c r="AL313" s="750" t="s">
        <v>1621</v>
      </c>
      <c r="AM313" s="743">
        <f t="shared" si="15"/>
        <v>15.8</v>
      </c>
    </row>
    <row r="314" spans="1:39" s="560" customFormat="1">
      <c r="A314" s="604" t="s">
        <v>803</v>
      </c>
      <c r="B314" s="604" t="s">
        <v>1245</v>
      </c>
      <c r="C314" s="614" t="s">
        <v>36</v>
      </c>
      <c r="D314" s="580"/>
      <c r="E314" s="778"/>
      <c r="F314" s="581"/>
      <c r="G314" s="581"/>
      <c r="H314" s="581"/>
      <c r="I314" s="949"/>
      <c r="J314" s="949"/>
      <c r="K314" s="949"/>
      <c r="L314" s="809"/>
      <c r="M314" s="575"/>
      <c r="N314" s="575"/>
      <c r="O314" s="575"/>
      <c r="P314" s="575"/>
      <c r="Q314" s="575"/>
      <c r="R314" s="575"/>
      <c r="S314" s="809"/>
      <c r="T314" s="575"/>
      <c r="U314" s="575"/>
      <c r="V314" s="575"/>
      <c r="W314" s="575"/>
      <c r="X314" s="575"/>
      <c r="Y314" s="575"/>
      <c r="Z314" s="809"/>
      <c r="AA314" s="575"/>
      <c r="AB314" s="575"/>
      <c r="AC314" s="575"/>
      <c r="AD314" s="575"/>
      <c r="AE314" s="827"/>
      <c r="AF314" s="575"/>
      <c r="AG314" s="960"/>
      <c r="AH314" s="842"/>
      <c r="AI314" s="738">
        <f t="shared" si="16"/>
        <v>0</v>
      </c>
      <c r="AJ314" s="949">
        <v>0</v>
      </c>
      <c r="AK314" s="581">
        <f t="shared" si="14"/>
        <v>0</v>
      </c>
      <c r="AL314" s="750" t="s">
        <v>1622</v>
      </c>
      <c r="AM314" s="743">
        <f t="shared" si="15"/>
        <v>27.62</v>
      </c>
    </row>
    <row r="315" spans="1:39" s="560" customFormat="1">
      <c r="A315" s="604" t="s">
        <v>804</v>
      </c>
      <c r="B315" s="604" t="s">
        <v>1246</v>
      </c>
      <c r="C315" s="614" t="s">
        <v>37</v>
      </c>
      <c r="D315" s="580"/>
      <c r="E315" s="778"/>
      <c r="F315" s="581"/>
      <c r="G315" s="581"/>
      <c r="H315" s="581"/>
      <c r="I315" s="949"/>
      <c r="J315" s="949"/>
      <c r="K315" s="949"/>
      <c r="L315" s="809"/>
      <c r="M315" s="575"/>
      <c r="N315" s="575"/>
      <c r="O315" s="575"/>
      <c r="P315" s="575"/>
      <c r="Q315" s="575"/>
      <c r="R315" s="575"/>
      <c r="S315" s="809"/>
      <c r="T315" s="575"/>
      <c r="U315" s="575"/>
      <c r="V315" s="575"/>
      <c r="W315" s="575"/>
      <c r="X315" s="575"/>
      <c r="Y315" s="575"/>
      <c r="Z315" s="809"/>
      <c r="AA315" s="575"/>
      <c r="AB315" s="575"/>
      <c r="AC315" s="575"/>
      <c r="AD315" s="575"/>
      <c r="AE315" s="827"/>
      <c r="AF315" s="575"/>
      <c r="AG315" s="960"/>
      <c r="AH315" s="842"/>
      <c r="AI315" s="738">
        <f t="shared" si="16"/>
        <v>0</v>
      </c>
      <c r="AJ315" s="949">
        <v>0</v>
      </c>
      <c r="AK315" s="581">
        <f t="shared" si="14"/>
        <v>0</v>
      </c>
      <c r="AL315" s="750" t="s">
        <v>1623</v>
      </c>
      <c r="AM315" s="743">
        <f t="shared" si="15"/>
        <v>30.2</v>
      </c>
    </row>
    <row r="316" spans="1:39" s="560" customFormat="1">
      <c r="A316" s="604" t="s">
        <v>805</v>
      </c>
      <c r="B316" s="604" t="s">
        <v>1247</v>
      </c>
      <c r="C316" s="614" t="s">
        <v>37</v>
      </c>
      <c r="D316" s="580"/>
      <c r="E316" s="778"/>
      <c r="F316" s="581"/>
      <c r="G316" s="581"/>
      <c r="H316" s="581"/>
      <c r="I316" s="949"/>
      <c r="J316" s="949"/>
      <c r="K316" s="949"/>
      <c r="L316" s="809"/>
      <c r="M316" s="575"/>
      <c r="N316" s="575"/>
      <c r="O316" s="575"/>
      <c r="P316" s="575"/>
      <c r="Q316" s="575"/>
      <c r="R316" s="575"/>
      <c r="S316" s="809"/>
      <c r="T316" s="575"/>
      <c r="U316" s="575"/>
      <c r="V316" s="575"/>
      <c r="W316" s="575"/>
      <c r="X316" s="575"/>
      <c r="Y316" s="575"/>
      <c r="Z316" s="809"/>
      <c r="AA316" s="575"/>
      <c r="AB316" s="575"/>
      <c r="AC316" s="575"/>
      <c r="AD316" s="575"/>
      <c r="AE316" s="827"/>
      <c r="AF316" s="575"/>
      <c r="AG316" s="960"/>
      <c r="AH316" s="842"/>
      <c r="AI316" s="738">
        <f t="shared" si="16"/>
        <v>0</v>
      </c>
      <c r="AJ316" s="949">
        <v>0</v>
      </c>
      <c r="AK316" s="581">
        <f t="shared" si="14"/>
        <v>0</v>
      </c>
      <c r="AL316" s="750"/>
      <c r="AM316" s="743">
        <f t="shared" si="15"/>
        <v>0</v>
      </c>
    </row>
    <row r="317" spans="1:39" s="560" customFormat="1">
      <c r="A317" s="607" t="s">
        <v>281</v>
      </c>
      <c r="B317" s="607" t="s">
        <v>1184</v>
      </c>
      <c r="C317" s="690"/>
      <c r="D317" s="580"/>
      <c r="E317" s="778"/>
      <c r="F317" s="581"/>
      <c r="G317" s="581"/>
      <c r="H317" s="581"/>
      <c r="I317" s="949"/>
      <c r="J317" s="949"/>
      <c r="K317" s="949"/>
      <c r="L317" s="809"/>
      <c r="M317" s="575"/>
      <c r="N317" s="575"/>
      <c r="O317" s="575"/>
      <c r="P317" s="575"/>
      <c r="Q317" s="575"/>
      <c r="R317" s="575"/>
      <c r="S317" s="809"/>
      <c r="T317" s="575"/>
      <c r="U317" s="575"/>
      <c r="V317" s="575"/>
      <c r="W317" s="575"/>
      <c r="X317" s="575"/>
      <c r="Y317" s="575"/>
      <c r="Z317" s="809"/>
      <c r="AA317" s="575"/>
      <c r="AB317" s="575"/>
      <c r="AC317" s="575"/>
      <c r="AD317" s="575"/>
      <c r="AE317" s="827"/>
      <c r="AF317" s="575"/>
      <c r="AG317" s="960"/>
      <c r="AH317" s="842"/>
      <c r="AI317" s="738">
        <f t="shared" si="16"/>
        <v>0</v>
      </c>
      <c r="AJ317" s="949">
        <v>0</v>
      </c>
      <c r="AK317" s="581">
        <f t="shared" si="14"/>
        <v>0</v>
      </c>
      <c r="AL317" s="750" t="s">
        <v>1624</v>
      </c>
      <c r="AM317" s="743">
        <f t="shared" si="15"/>
        <v>90.78</v>
      </c>
    </row>
    <row r="318" spans="1:39" s="560" customFormat="1">
      <c r="A318" s="604" t="s">
        <v>806</v>
      </c>
      <c r="B318" s="604" t="s">
        <v>1248</v>
      </c>
      <c r="C318" s="614" t="s">
        <v>36</v>
      </c>
      <c r="D318" s="580"/>
      <c r="E318" s="778"/>
      <c r="F318" s="581"/>
      <c r="G318" s="581"/>
      <c r="H318" s="581"/>
      <c r="I318" s="949"/>
      <c r="J318" s="949"/>
      <c r="K318" s="949"/>
      <c r="L318" s="809"/>
      <c r="M318" s="575"/>
      <c r="N318" s="575"/>
      <c r="O318" s="575"/>
      <c r="P318" s="575"/>
      <c r="Q318" s="575"/>
      <c r="R318" s="575"/>
      <c r="S318" s="809"/>
      <c r="T318" s="575"/>
      <c r="U318" s="575"/>
      <c r="V318" s="575"/>
      <c r="W318" s="575"/>
      <c r="X318" s="575"/>
      <c r="Y318" s="575"/>
      <c r="Z318" s="809"/>
      <c r="AA318" s="575"/>
      <c r="AB318" s="575"/>
      <c r="AC318" s="575"/>
      <c r="AD318" s="575"/>
      <c r="AE318" s="827"/>
      <c r="AF318" s="575"/>
      <c r="AG318" s="960"/>
      <c r="AH318" s="842"/>
      <c r="AI318" s="738">
        <f t="shared" si="16"/>
        <v>0</v>
      </c>
      <c r="AJ318" s="949">
        <v>0</v>
      </c>
      <c r="AK318" s="581">
        <f t="shared" si="14"/>
        <v>0</v>
      </c>
      <c r="AL318" s="750" t="s">
        <v>1625</v>
      </c>
      <c r="AM318" s="743">
        <f t="shared" si="15"/>
        <v>29.18</v>
      </c>
    </row>
    <row r="319" spans="1:39" s="560" customFormat="1">
      <c r="A319" s="604" t="s">
        <v>807</v>
      </c>
      <c r="B319" s="604" t="s">
        <v>1249</v>
      </c>
      <c r="C319" s="614" t="s">
        <v>37</v>
      </c>
      <c r="D319" s="580"/>
      <c r="E319" s="778"/>
      <c r="F319" s="581"/>
      <c r="G319" s="581"/>
      <c r="H319" s="581"/>
      <c r="I319" s="949"/>
      <c r="J319" s="949"/>
      <c r="K319" s="949"/>
      <c r="L319" s="809"/>
      <c r="M319" s="575"/>
      <c r="N319" s="575"/>
      <c r="O319" s="575"/>
      <c r="P319" s="575"/>
      <c r="Q319" s="575"/>
      <c r="R319" s="575"/>
      <c r="S319" s="809"/>
      <c r="T319" s="575"/>
      <c r="U319" s="575"/>
      <c r="V319" s="575"/>
      <c r="W319" s="575"/>
      <c r="X319" s="575"/>
      <c r="Y319" s="575"/>
      <c r="Z319" s="809"/>
      <c r="AA319" s="575"/>
      <c r="AB319" s="575"/>
      <c r="AC319" s="575"/>
      <c r="AD319" s="575"/>
      <c r="AE319" s="827"/>
      <c r="AF319" s="575"/>
      <c r="AG319" s="960"/>
      <c r="AH319" s="842"/>
      <c r="AI319" s="738">
        <f t="shared" si="16"/>
        <v>0</v>
      </c>
      <c r="AJ319" s="949">
        <v>0</v>
      </c>
      <c r="AK319" s="581">
        <f t="shared" si="14"/>
        <v>0</v>
      </c>
      <c r="AL319" s="750"/>
      <c r="AM319" s="743">
        <f t="shared" si="15"/>
        <v>0</v>
      </c>
    </row>
    <row r="320" spans="1:39" s="560" customFormat="1">
      <c r="A320" s="607" t="s">
        <v>808</v>
      </c>
      <c r="B320" s="607" t="s">
        <v>1250</v>
      </c>
      <c r="C320" s="690"/>
      <c r="D320" s="580"/>
      <c r="E320" s="778"/>
      <c r="F320" s="581"/>
      <c r="G320" s="581"/>
      <c r="H320" s="581"/>
      <c r="I320" s="949"/>
      <c r="J320" s="949"/>
      <c r="K320" s="949"/>
      <c r="L320" s="809"/>
      <c r="M320" s="575"/>
      <c r="N320" s="575"/>
      <c r="O320" s="575"/>
      <c r="P320" s="575"/>
      <c r="Q320" s="575"/>
      <c r="R320" s="575"/>
      <c r="S320" s="809"/>
      <c r="T320" s="575"/>
      <c r="U320" s="575"/>
      <c r="V320" s="575"/>
      <c r="W320" s="575"/>
      <c r="X320" s="575"/>
      <c r="Y320" s="575"/>
      <c r="Z320" s="809"/>
      <c r="AA320" s="575"/>
      <c r="AB320" s="575"/>
      <c r="AC320" s="575"/>
      <c r="AD320" s="575"/>
      <c r="AE320" s="827"/>
      <c r="AF320" s="575"/>
      <c r="AG320" s="960"/>
      <c r="AH320" s="842"/>
      <c r="AI320" s="738">
        <f t="shared" si="16"/>
        <v>0</v>
      </c>
      <c r="AJ320" s="949">
        <v>0</v>
      </c>
      <c r="AK320" s="581">
        <f t="shared" si="14"/>
        <v>0</v>
      </c>
      <c r="AL320" s="750" t="s">
        <v>1626</v>
      </c>
      <c r="AM320" s="743">
        <f t="shared" si="15"/>
        <v>6.3</v>
      </c>
    </row>
    <row r="321" spans="1:39" s="560" customFormat="1">
      <c r="A321" s="604" t="s">
        <v>809</v>
      </c>
      <c r="B321" s="604" t="s">
        <v>1251</v>
      </c>
      <c r="C321" s="614" t="s">
        <v>36</v>
      </c>
      <c r="D321" s="580"/>
      <c r="E321" s="778"/>
      <c r="F321" s="581"/>
      <c r="G321" s="581"/>
      <c r="H321" s="581"/>
      <c r="I321" s="949"/>
      <c r="J321" s="949"/>
      <c r="K321" s="949"/>
      <c r="L321" s="809"/>
      <c r="M321" s="575"/>
      <c r="N321" s="575"/>
      <c r="O321" s="575"/>
      <c r="P321" s="575"/>
      <c r="Q321" s="575"/>
      <c r="R321" s="575"/>
      <c r="S321" s="809"/>
      <c r="T321" s="575"/>
      <c r="U321" s="575"/>
      <c r="V321" s="575"/>
      <c r="W321" s="575"/>
      <c r="X321" s="575"/>
      <c r="Y321" s="575"/>
      <c r="Z321" s="809"/>
      <c r="AA321" s="575"/>
      <c r="AB321" s="575"/>
      <c r="AC321" s="575"/>
      <c r="AD321" s="575"/>
      <c r="AE321" s="827"/>
      <c r="AF321" s="575"/>
      <c r="AG321" s="960"/>
      <c r="AH321" s="842"/>
      <c r="AI321" s="738">
        <f t="shared" si="16"/>
        <v>0</v>
      </c>
      <c r="AJ321" s="949">
        <v>0</v>
      </c>
      <c r="AK321" s="581">
        <f t="shared" si="14"/>
        <v>0</v>
      </c>
      <c r="AL321" s="750"/>
      <c r="AM321" s="743">
        <f t="shared" si="15"/>
        <v>0</v>
      </c>
    </row>
    <row r="322" spans="1:39" s="560" customFormat="1">
      <c r="A322" s="607" t="s">
        <v>810</v>
      </c>
      <c r="B322" s="607" t="s">
        <v>1252</v>
      </c>
      <c r="C322" s="690"/>
      <c r="D322" s="580"/>
      <c r="E322" s="778"/>
      <c r="F322" s="581"/>
      <c r="G322" s="581"/>
      <c r="H322" s="581"/>
      <c r="I322" s="949"/>
      <c r="J322" s="949"/>
      <c r="K322" s="949"/>
      <c r="L322" s="809"/>
      <c r="M322" s="575"/>
      <c r="N322" s="575"/>
      <c r="O322" s="575"/>
      <c r="P322" s="575"/>
      <c r="Q322" s="575"/>
      <c r="R322" s="575"/>
      <c r="S322" s="809"/>
      <c r="T322" s="575"/>
      <c r="U322" s="575"/>
      <c r="V322" s="575"/>
      <c r="W322" s="575"/>
      <c r="X322" s="575"/>
      <c r="Y322" s="575"/>
      <c r="Z322" s="809"/>
      <c r="AA322" s="575"/>
      <c r="AB322" s="575"/>
      <c r="AC322" s="575"/>
      <c r="AD322" s="575"/>
      <c r="AE322" s="827"/>
      <c r="AF322" s="575"/>
      <c r="AG322" s="960"/>
      <c r="AH322" s="842"/>
      <c r="AI322" s="738">
        <f t="shared" si="16"/>
        <v>0</v>
      </c>
      <c r="AJ322" s="949">
        <v>0</v>
      </c>
      <c r="AK322" s="581">
        <f t="shared" si="14"/>
        <v>0</v>
      </c>
      <c r="AL322" s="750" t="s">
        <v>1627</v>
      </c>
      <c r="AM322" s="743">
        <f t="shared" si="15"/>
        <v>9</v>
      </c>
    </row>
    <row r="323" spans="1:39" s="560" customFormat="1">
      <c r="A323" s="604" t="s">
        <v>811</v>
      </c>
      <c r="B323" s="604" t="s">
        <v>1253</v>
      </c>
      <c r="C323" s="614" t="s">
        <v>1437</v>
      </c>
      <c r="D323" s="580"/>
      <c r="E323" s="778"/>
      <c r="F323" s="581"/>
      <c r="G323" s="581"/>
      <c r="H323" s="581"/>
      <c r="I323" s="949"/>
      <c r="J323" s="949"/>
      <c r="K323" s="949"/>
      <c r="L323" s="809"/>
      <c r="M323" s="575"/>
      <c r="N323" s="575"/>
      <c r="O323" s="575"/>
      <c r="P323" s="575"/>
      <c r="Q323" s="575"/>
      <c r="R323" s="575"/>
      <c r="S323" s="809"/>
      <c r="T323" s="575"/>
      <c r="U323" s="575"/>
      <c r="V323" s="575"/>
      <c r="W323" s="575"/>
      <c r="X323" s="575"/>
      <c r="Y323" s="575"/>
      <c r="Z323" s="809"/>
      <c r="AA323" s="575"/>
      <c r="AB323" s="575"/>
      <c r="AC323" s="575"/>
      <c r="AD323" s="575"/>
      <c r="AE323" s="827"/>
      <c r="AF323" s="575"/>
      <c r="AG323" s="960"/>
      <c r="AH323" s="842"/>
      <c r="AI323" s="738">
        <f t="shared" si="16"/>
        <v>0</v>
      </c>
      <c r="AJ323" s="949">
        <v>0</v>
      </c>
      <c r="AK323" s="581">
        <f t="shared" si="14"/>
        <v>0</v>
      </c>
      <c r="AL323" s="750" t="s">
        <v>1604</v>
      </c>
      <c r="AM323" s="743">
        <f t="shared" si="15"/>
        <v>3</v>
      </c>
    </row>
    <row r="324" spans="1:39" s="560" customFormat="1">
      <c r="A324" s="604" t="s">
        <v>812</v>
      </c>
      <c r="B324" s="604" t="s">
        <v>1254</v>
      </c>
      <c r="C324" s="614" t="s">
        <v>35</v>
      </c>
      <c r="D324" s="580"/>
      <c r="E324" s="778"/>
      <c r="F324" s="581"/>
      <c r="G324" s="581"/>
      <c r="H324" s="581"/>
      <c r="I324" s="949"/>
      <c r="J324" s="949"/>
      <c r="K324" s="949"/>
      <c r="L324" s="809"/>
      <c r="M324" s="575"/>
      <c r="N324" s="575"/>
      <c r="O324" s="575"/>
      <c r="P324" s="575"/>
      <c r="Q324" s="575"/>
      <c r="R324" s="575"/>
      <c r="S324" s="809"/>
      <c r="T324" s="575"/>
      <c r="U324" s="575"/>
      <c r="V324" s="575"/>
      <c r="W324" s="575"/>
      <c r="X324" s="575"/>
      <c r="Y324" s="575"/>
      <c r="Z324" s="809"/>
      <c r="AA324" s="575"/>
      <c r="AB324" s="575"/>
      <c r="AC324" s="575"/>
      <c r="AD324" s="575"/>
      <c r="AE324" s="827"/>
      <c r="AF324" s="575"/>
      <c r="AG324" s="960"/>
      <c r="AH324" s="842"/>
      <c r="AI324" s="738">
        <f t="shared" si="16"/>
        <v>0</v>
      </c>
      <c r="AJ324" s="949">
        <v>0</v>
      </c>
      <c r="AK324" s="581">
        <f t="shared" si="14"/>
        <v>0</v>
      </c>
      <c r="AL324" s="750"/>
      <c r="AM324" s="743">
        <f t="shared" si="15"/>
        <v>0</v>
      </c>
    </row>
    <row r="325" spans="1:39" s="560" customFormat="1">
      <c r="A325" s="607" t="s">
        <v>813</v>
      </c>
      <c r="B325" s="607" t="s">
        <v>1255</v>
      </c>
      <c r="C325" s="690"/>
      <c r="D325" s="580"/>
      <c r="E325" s="778"/>
      <c r="F325" s="581"/>
      <c r="G325" s="581"/>
      <c r="H325" s="581"/>
      <c r="I325" s="949"/>
      <c r="J325" s="949"/>
      <c r="K325" s="949"/>
      <c r="L325" s="809"/>
      <c r="M325" s="575"/>
      <c r="N325" s="575"/>
      <c r="O325" s="575"/>
      <c r="P325" s="575"/>
      <c r="Q325" s="575"/>
      <c r="R325" s="575"/>
      <c r="S325" s="809"/>
      <c r="T325" s="575"/>
      <c r="U325" s="575"/>
      <c r="V325" s="575"/>
      <c r="W325" s="575"/>
      <c r="X325" s="575"/>
      <c r="Y325" s="575"/>
      <c r="Z325" s="809"/>
      <c r="AA325" s="575"/>
      <c r="AB325" s="575"/>
      <c r="AC325" s="575"/>
      <c r="AD325" s="575"/>
      <c r="AE325" s="827"/>
      <c r="AF325" s="575"/>
      <c r="AG325" s="960"/>
      <c r="AH325" s="842"/>
      <c r="AI325" s="738">
        <f t="shared" si="16"/>
        <v>0</v>
      </c>
      <c r="AJ325" s="949">
        <v>0</v>
      </c>
      <c r="AK325" s="581">
        <f t="shared" si="14"/>
        <v>0</v>
      </c>
      <c r="AL325" s="750" t="s">
        <v>1628</v>
      </c>
      <c r="AM325" s="743">
        <f t="shared" si="15"/>
        <v>19.149999999999999</v>
      </c>
    </row>
    <row r="326" spans="1:39" s="560" customFormat="1">
      <c r="A326" s="604" t="s">
        <v>814</v>
      </c>
      <c r="B326" s="604" t="s">
        <v>1256</v>
      </c>
      <c r="C326" s="614" t="s">
        <v>36</v>
      </c>
      <c r="D326" s="580"/>
      <c r="E326" s="778"/>
      <c r="F326" s="581"/>
      <c r="G326" s="581"/>
      <c r="H326" s="581"/>
      <c r="I326" s="949"/>
      <c r="J326" s="949"/>
      <c r="K326" s="949"/>
      <c r="L326" s="809"/>
      <c r="M326" s="575"/>
      <c r="N326" s="575"/>
      <c r="O326" s="575"/>
      <c r="P326" s="575"/>
      <c r="Q326" s="575"/>
      <c r="R326" s="575"/>
      <c r="S326" s="809"/>
      <c r="T326" s="575"/>
      <c r="U326" s="575"/>
      <c r="V326" s="575"/>
      <c r="W326" s="575"/>
      <c r="X326" s="575"/>
      <c r="Y326" s="575"/>
      <c r="Z326" s="809"/>
      <c r="AA326" s="575"/>
      <c r="AB326" s="575"/>
      <c r="AC326" s="575"/>
      <c r="AD326" s="575"/>
      <c r="AE326" s="827"/>
      <c r="AF326" s="575"/>
      <c r="AG326" s="960"/>
      <c r="AH326" s="842"/>
      <c r="AI326" s="738">
        <f t="shared" si="16"/>
        <v>0</v>
      </c>
      <c r="AJ326" s="949">
        <v>0</v>
      </c>
      <c r="AK326" s="581">
        <f t="shared" si="14"/>
        <v>0</v>
      </c>
      <c r="AL326" s="750" t="s">
        <v>1629</v>
      </c>
      <c r="AM326" s="743">
        <f t="shared" si="15"/>
        <v>1.5</v>
      </c>
    </row>
    <row r="327" spans="1:39" s="560" customFormat="1">
      <c r="A327" s="604" t="s">
        <v>815</v>
      </c>
      <c r="B327" s="604" t="s">
        <v>1257</v>
      </c>
      <c r="C327" s="614" t="s">
        <v>36</v>
      </c>
      <c r="D327" s="580"/>
      <c r="E327" s="778"/>
      <c r="F327" s="581"/>
      <c r="G327" s="581"/>
      <c r="H327" s="581"/>
      <c r="I327" s="949"/>
      <c r="J327" s="949"/>
      <c r="K327" s="949"/>
      <c r="L327" s="809"/>
      <c r="M327" s="575"/>
      <c r="N327" s="575"/>
      <c r="O327" s="575"/>
      <c r="P327" s="575"/>
      <c r="Q327" s="575"/>
      <c r="R327" s="575"/>
      <c r="S327" s="809"/>
      <c r="T327" s="575"/>
      <c r="U327" s="575"/>
      <c r="V327" s="575"/>
      <c r="W327" s="575"/>
      <c r="X327" s="575"/>
      <c r="Y327" s="575"/>
      <c r="Z327" s="809"/>
      <c r="AA327" s="575"/>
      <c r="AB327" s="575"/>
      <c r="AC327" s="575"/>
      <c r="AD327" s="575"/>
      <c r="AE327" s="827"/>
      <c r="AF327" s="575"/>
      <c r="AG327" s="960"/>
      <c r="AH327" s="842"/>
      <c r="AI327" s="738">
        <f t="shared" si="16"/>
        <v>0</v>
      </c>
      <c r="AJ327" s="949">
        <v>0</v>
      </c>
      <c r="AK327" s="581">
        <f t="shared" si="14"/>
        <v>0</v>
      </c>
      <c r="AL327" s="750"/>
      <c r="AM327" s="743">
        <f t="shared" si="15"/>
        <v>0</v>
      </c>
    </row>
    <row r="328" spans="1:39" s="560" customFormat="1">
      <c r="A328" s="607" t="s">
        <v>816</v>
      </c>
      <c r="B328" s="607" t="s">
        <v>1258</v>
      </c>
      <c r="C328" s="690"/>
      <c r="D328" s="580"/>
      <c r="E328" s="778"/>
      <c r="F328" s="581"/>
      <c r="G328" s="581"/>
      <c r="H328" s="581"/>
      <c r="I328" s="949"/>
      <c r="J328" s="949"/>
      <c r="K328" s="949"/>
      <c r="L328" s="809"/>
      <c r="M328" s="575"/>
      <c r="N328" s="575"/>
      <c r="O328" s="575"/>
      <c r="P328" s="575"/>
      <c r="Q328" s="575"/>
      <c r="R328" s="575"/>
      <c r="S328" s="809"/>
      <c r="T328" s="575"/>
      <c r="U328" s="575"/>
      <c r="V328" s="575"/>
      <c r="W328" s="575"/>
      <c r="X328" s="575"/>
      <c r="Y328" s="575"/>
      <c r="Z328" s="809"/>
      <c r="AA328" s="575"/>
      <c r="AB328" s="575"/>
      <c r="AC328" s="575"/>
      <c r="AD328" s="575"/>
      <c r="AE328" s="827"/>
      <c r="AF328" s="575"/>
      <c r="AG328" s="960"/>
      <c r="AH328" s="842"/>
      <c r="AI328" s="738">
        <f t="shared" si="16"/>
        <v>0</v>
      </c>
      <c r="AJ328" s="949">
        <v>0</v>
      </c>
      <c r="AK328" s="581">
        <f t="shared" si="14"/>
        <v>0</v>
      </c>
      <c r="AL328" s="750" t="s">
        <v>1614</v>
      </c>
      <c r="AM328" s="743">
        <f t="shared" si="15"/>
        <v>90.62</v>
      </c>
    </row>
    <row r="329" spans="1:39" s="560" customFormat="1">
      <c r="A329" s="604" t="s">
        <v>817</v>
      </c>
      <c r="B329" s="604" t="s">
        <v>1259</v>
      </c>
      <c r="C329" s="614" t="s">
        <v>36</v>
      </c>
      <c r="D329" s="580"/>
      <c r="E329" s="778"/>
      <c r="F329" s="581"/>
      <c r="G329" s="581"/>
      <c r="H329" s="581"/>
      <c r="I329" s="949"/>
      <c r="J329" s="949"/>
      <c r="K329" s="949"/>
      <c r="L329" s="809"/>
      <c r="M329" s="575"/>
      <c r="N329" s="575"/>
      <c r="O329" s="575"/>
      <c r="P329" s="575"/>
      <c r="Q329" s="575"/>
      <c r="R329" s="575"/>
      <c r="S329" s="809"/>
      <c r="T329" s="575"/>
      <c r="U329" s="575"/>
      <c r="V329" s="575"/>
      <c r="W329" s="575"/>
      <c r="X329" s="575"/>
      <c r="Y329" s="575"/>
      <c r="Z329" s="809"/>
      <c r="AA329" s="575"/>
      <c r="AB329" s="575"/>
      <c r="AC329" s="575"/>
      <c r="AD329" s="575"/>
      <c r="AE329" s="827"/>
      <c r="AF329" s="575"/>
      <c r="AG329" s="960"/>
      <c r="AH329" s="842"/>
      <c r="AI329" s="738">
        <f t="shared" si="16"/>
        <v>0</v>
      </c>
      <c r="AJ329" s="949">
        <v>0</v>
      </c>
      <c r="AK329" s="581">
        <f t="shared" si="14"/>
        <v>0</v>
      </c>
      <c r="AL329" s="750" t="s">
        <v>1607</v>
      </c>
      <c r="AM329" s="743">
        <f t="shared" si="15"/>
        <v>123.1</v>
      </c>
    </row>
    <row r="330" spans="1:39" s="560" customFormat="1">
      <c r="A330" s="604" t="s">
        <v>818</v>
      </c>
      <c r="B330" s="604" t="s">
        <v>1260</v>
      </c>
      <c r="C330" s="614" t="s">
        <v>36</v>
      </c>
      <c r="D330" s="580"/>
      <c r="E330" s="778"/>
      <c r="F330" s="581"/>
      <c r="G330" s="581"/>
      <c r="H330" s="581"/>
      <c r="I330" s="949"/>
      <c r="J330" s="949"/>
      <c r="K330" s="949"/>
      <c r="L330" s="809"/>
      <c r="M330" s="575"/>
      <c r="N330" s="575"/>
      <c r="O330" s="575"/>
      <c r="P330" s="575"/>
      <c r="Q330" s="575"/>
      <c r="R330" s="575"/>
      <c r="S330" s="809"/>
      <c r="T330" s="575"/>
      <c r="U330" s="575"/>
      <c r="V330" s="575"/>
      <c r="W330" s="575"/>
      <c r="X330" s="575"/>
      <c r="Y330" s="575"/>
      <c r="Z330" s="809"/>
      <c r="AA330" s="575"/>
      <c r="AB330" s="575"/>
      <c r="AC330" s="575"/>
      <c r="AD330" s="575"/>
      <c r="AE330" s="827"/>
      <c r="AF330" s="575"/>
      <c r="AG330" s="960"/>
      <c r="AH330" s="842"/>
      <c r="AI330" s="738">
        <f t="shared" si="16"/>
        <v>0</v>
      </c>
      <c r="AJ330" s="949">
        <v>0</v>
      </c>
      <c r="AK330" s="581">
        <f t="shared" si="14"/>
        <v>0</v>
      </c>
      <c r="AL330" s="750" t="s">
        <v>1608</v>
      </c>
      <c r="AM330" s="743">
        <f t="shared" si="15"/>
        <v>54.38</v>
      </c>
    </row>
    <row r="331" spans="1:39" s="560" customFormat="1">
      <c r="A331" s="604" t="s">
        <v>819</v>
      </c>
      <c r="B331" s="604" t="s">
        <v>1261</v>
      </c>
      <c r="C331" s="614" t="s">
        <v>36</v>
      </c>
      <c r="D331" s="580"/>
      <c r="E331" s="778"/>
      <c r="F331" s="581"/>
      <c r="G331" s="581"/>
      <c r="H331" s="581"/>
      <c r="I331" s="949"/>
      <c r="J331" s="949"/>
      <c r="K331" s="949"/>
      <c r="L331" s="809"/>
      <c r="M331" s="575"/>
      <c r="N331" s="575"/>
      <c r="O331" s="575"/>
      <c r="P331" s="575"/>
      <c r="Q331" s="575"/>
      <c r="R331" s="575"/>
      <c r="S331" s="809"/>
      <c r="T331" s="575"/>
      <c r="U331" s="575"/>
      <c r="V331" s="575"/>
      <c r="W331" s="575"/>
      <c r="X331" s="575"/>
      <c r="Y331" s="575"/>
      <c r="Z331" s="809"/>
      <c r="AA331" s="575"/>
      <c r="AB331" s="575"/>
      <c r="AC331" s="575"/>
      <c r="AD331" s="575"/>
      <c r="AE331" s="827"/>
      <c r="AF331" s="575"/>
      <c r="AG331" s="960"/>
      <c r="AH331" s="842"/>
      <c r="AI331" s="738">
        <f t="shared" si="16"/>
        <v>0</v>
      </c>
      <c r="AJ331" s="949">
        <v>0</v>
      </c>
      <c r="AK331" s="581">
        <f t="shared" si="14"/>
        <v>0</v>
      </c>
      <c r="AL331" s="750" t="s">
        <v>1609</v>
      </c>
      <c r="AM331" s="743">
        <f t="shared" si="15"/>
        <v>34.44</v>
      </c>
    </row>
    <row r="332" spans="1:39" s="560" customFormat="1">
      <c r="A332" s="604" t="s">
        <v>820</v>
      </c>
      <c r="B332" s="604" t="s">
        <v>1262</v>
      </c>
      <c r="C332" s="614" t="s">
        <v>36</v>
      </c>
      <c r="D332" s="580"/>
      <c r="E332" s="778"/>
      <c r="F332" s="581"/>
      <c r="G332" s="581"/>
      <c r="H332" s="581"/>
      <c r="I332" s="949"/>
      <c r="J332" s="949"/>
      <c r="K332" s="949"/>
      <c r="L332" s="809"/>
      <c r="M332" s="575"/>
      <c r="N332" s="575"/>
      <c r="O332" s="575"/>
      <c r="P332" s="575"/>
      <c r="Q332" s="575"/>
      <c r="R332" s="575"/>
      <c r="S332" s="809"/>
      <c r="T332" s="575"/>
      <c r="U332" s="575"/>
      <c r="V332" s="575"/>
      <c r="W332" s="575"/>
      <c r="X332" s="575"/>
      <c r="Y332" s="575"/>
      <c r="Z332" s="809"/>
      <c r="AA332" s="575"/>
      <c r="AB332" s="575"/>
      <c r="AC332" s="575"/>
      <c r="AD332" s="575"/>
      <c r="AE332" s="827"/>
      <c r="AF332" s="575"/>
      <c r="AG332" s="960"/>
      <c r="AH332" s="842"/>
      <c r="AI332" s="738">
        <f t="shared" si="16"/>
        <v>0</v>
      </c>
      <c r="AJ332" s="949">
        <v>0</v>
      </c>
      <c r="AK332" s="581">
        <f t="shared" si="14"/>
        <v>0</v>
      </c>
      <c r="AL332" s="750" t="s">
        <v>1610</v>
      </c>
      <c r="AM332" s="743">
        <f t="shared" si="15"/>
        <v>30.39</v>
      </c>
    </row>
    <row r="333" spans="1:39" s="560" customFormat="1">
      <c r="A333" s="604" t="s">
        <v>821</v>
      </c>
      <c r="B333" s="604" t="s">
        <v>1263</v>
      </c>
      <c r="C333" s="614" t="s">
        <v>36</v>
      </c>
      <c r="D333" s="580"/>
      <c r="E333" s="778"/>
      <c r="F333" s="581"/>
      <c r="G333" s="581"/>
      <c r="H333" s="581"/>
      <c r="I333" s="949"/>
      <c r="J333" s="949"/>
      <c r="K333" s="949"/>
      <c r="L333" s="809"/>
      <c r="M333" s="575"/>
      <c r="N333" s="575"/>
      <c r="O333" s="575"/>
      <c r="P333" s="575"/>
      <c r="Q333" s="575"/>
      <c r="R333" s="575"/>
      <c r="S333" s="809"/>
      <c r="T333" s="575"/>
      <c r="U333" s="575"/>
      <c r="V333" s="575"/>
      <c r="W333" s="575"/>
      <c r="X333" s="575"/>
      <c r="Y333" s="575"/>
      <c r="Z333" s="809"/>
      <c r="AA333" s="575"/>
      <c r="AB333" s="575"/>
      <c r="AC333" s="575"/>
      <c r="AD333" s="575"/>
      <c r="AE333" s="827"/>
      <c r="AF333" s="575"/>
      <c r="AG333" s="960"/>
      <c r="AH333" s="842"/>
      <c r="AI333" s="738">
        <f t="shared" si="16"/>
        <v>0</v>
      </c>
      <c r="AJ333" s="949">
        <v>0</v>
      </c>
      <c r="AK333" s="581">
        <f t="shared" si="14"/>
        <v>0</v>
      </c>
      <c r="AL333" s="750" t="s">
        <v>1621</v>
      </c>
      <c r="AM333" s="743">
        <f t="shared" si="15"/>
        <v>15.8</v>
      </c>
    </row>
    <row r="334" spans="1:39" s="560" customFormat="1">
      <c r="A334" s="604" t="s">
        <v>822</v>
      </c>
      <c r="B334" s="604" t="s">
        <v>1264</v>
      </c>
      <c r="C334" s="614" t="s">
        <v>36</v>
      </c>
      <c r="D334" s="580"/>
      <c r="E334" s="778"/>
      <c r="F334" s="581"/>
      <c r="G334" s="581"/>
      <c r="H334" s="581"/>
      <c r="I334" s="949"/>
      <c r="J334" s="949"/>
      <c r="K334" s="949"/>
      <c r="L334" s="809"/>
      <c r="M334" s="575"/>
      <c r="N334" s="575"/>
      <c r="O334" s="575"/>
      <c r="P334" s="575"/>
      <c r="Q334" s="575"/>
      <c r="R334" s="575"/>
      <c r="S334" s="809"/>
      <c r="T334" s="575"/>
      <c r="U334" s="575"/>
      <c r="V334" s="575"/>
      <c r="W334" s="575"/>
      <c r="X334" s="575"/>
      <c r="Y334" s="575"/>
      <c r="Z334" s="809"/>
      <c r="AA334" s="575"/>
      <c r="AB334" s="575"/>
      <c r="AC334" s="575"/>
      <c r="AD334" s="575"/>
      <c r="AE334" s="827"/>
      <c r="AF334" s="575"/>
      <c r="AG334" s="960"/>
      <c r="AH334" s="842"/>
      <c r="AI334" s="738">
        <f t="shared" si="16"/>
        <v>0</v>
      </c>
      <c r="AJ334" s="949">
        <v>0</v>
      </c>
      <c r="AK334" s="581">
        <f t="shared" ref="AK334:AK397" si="17">AI334+AJ334</f>
        <v>0</v>
      </c>
      <c r="AL334" s="750" t="s">
        <v>1630</v>
      </c>
      <c r="AM334" s="743">
        <f t="shared" ref="AM334:AM397" si="18">AL334-AK334</f>
        <v>12.6</v>
      </c>
    </row>
    <row r="335" spans="1:39" s="560" customFormat="1">
      <c r="A335" s="604" t="s">
        <v>823</v>
      </c>
      <c r="B335" s="604" t="s">
        <v>1265</v>
      </c>
      <c r="C335" s="614" t="s">
        <v>36</v>
      </c>
      <c r="D335" s="580"/>
      <c r="E335" s="778"/>
      <c r="F335" s="581"/>
      <c r="G335" s="581"/>
      <c r="H335" s="581"/>
      <c r="I335" s="949"/>
      <c r="J335" s="949"/>
      <c r="K335" s="949"/>
      <c r="L335" s="809"/>
      <c r="M335" s="575"/>
      <c r="N335" s="575"/>
      <c r="O335" s="575"/>
      <c r="P335" s="575"/>
      <c r="Q335" s="575"/>
      <c r="R335" s="575"/>
      <c r="S335" s="809"/>
      <c r="T335" s="575"/>
      <c r="U335" s="575"/>
      <c r="V335" s="575"/>
      <c r="W335" s="575"/>
      <c r="X335" s="575"/>
      <c r="Y335" s="575"/>
      <c r="Z335" s="809"/>
      <c r="AA335" s="575"/>
      <c r="AB335" s="575"/>
      <c r="AC335" s="575"/>
      <c r="AD335" s="575"/>
      <c r="AE335" s="827"/>
      <c r="AF335" s="575"/>
      <c r="AG335" s="960"/>
      <c r="AH335" s="842"/>
      <c r="AI335" s="738">
        <f t="shared" si="16"/>
        <v>0</v>
      </c>
      <c r="AJ335" s="949">
        <v>0</v>
      </c>
      <c r="AK335" s="581">
        <f t="shared" si="17"/>
        <v>0</v>
      </c>
      <c r="AL335" s="750"/>
      <c r="AM335" s="743">
        <f t="shared" si="18"/>
        <v>0</v>
      </c>
    </row>
    <row r="336" spans="1:39" s="560" customFormat="1">
      <c r="A336" s="607" t="s">
        <v>824</v>
      </c>
      <c r="B336" s="607" t="s">
        <v>1266</v>
      </c>
      <c r="C336" s="690"/>
      <c r="D336" s="580"/>
      <c r="E336" s="778"/>
      <c r="F336" s="581"/>
      <c r="G336" s="581"/>
      <c r="H336" s="581"/>
      <c r="I336" s="949"/>
      <c r="J336" s="949"/>
      <c r="K336" s="949"/>
      <c r="L336" s="809"/>
      <c r="M336" s="575"/>
      <c r="N336" s="575"/>
      <c r="O336" s="575"/>
      <c r="P336" s="575"/>
      <c r="Q336" s="575"/>
      <c r="R336" s="575"/>
      <c r="S336" s="809"/>
      <c r="T336" s="575"/>
      <c r="U336" s="575"/>
      <c r="V336" s="575"/>
      <c r="W336" s="575"/>
      <c r="X336" s="575"/>
      <c r="Y336" s="575"/>
      <c r="Z336" s="809"/>
      <c r="AA336" s="575"/>
      <c r="AB336" s="575"/>
      <c r="AC336" s="575"/>
      <c r="AD336" s="575"/>
      <c r="AE336" s="827"/>
      <c r="AF336" s="575"/>
      <c r="AG336" s="960"/>
      <c r="AH336" s="842"/>
      <c r="AI336" s="738">
        <f t="shared" si="16"/>
        <v>0</v>
      </c>
      <c r="AJ336" s="949">
        <v>0</v>
      </c>
      <c r="AK336" s="581">
        <f t="shared" si="17"/>
        <v>0</v>
      </c>
      <c r="AL336" s="750" t="s">
        <v>1627</v>
      </c>
      <c r="AM336" s="743">
        <f t="shared" si="18"/>
        <v>9</v>
      </c>
    </row>
    <row r="337" spans="1:39" s="560" customFormat="1">
      <c r="A337" s="604" t="s">
        <v>825</v>
      </c>
      <c r="B337" s="604" t="s">
        <v>1267</v>
      </c>
      <c r="C337" s="614" t="s">
        <v>1436</v>
      </c>
      <c r="D337" s="580"/>
      <c r="E337" s="778"/>
      <c r="F337" s="581"/>
      <c r="G337" s="581"/>
      <c r="H337" s="581"/>
      <c r="I337" s="949"/>
      <c r="J337" s="949"/>
      <c r="K337" s="949"/>
      <c r="L337" s="809"/>
      <c r="M337" s="575"/>
      <c r="N337" s="575"/>
      <c r="O337" s="575"/>
      <c r="P337" s="575"/>
      <c r="Q337" s="575"/>
      <c r="R337" s="575"/>
      <c r="S337" s="809"/>
      <c r="T337" s="575"/>
      <c r="U337" s="575"/>
      <c r="V337" s="575"/>
      <c r="W337" s="575"/>
      <c r="X337" s="575"/>
      <c r="Y337" s="575"/>
      <c r="Z337" s="809"/>
      <c r="AA337" s="575"/>
      <c r="AB337" s="575"/>
      <c r="AC337" s="575"/>
      <c r="AD337" s="575"/>
      <c r="AE337" s="827"/>
      <c r="AF337" s="575"/>
      <c r="AG337" s="960"/>
      <c r="AH337" s="842"/>
      <c r="AI337" s="738">
        <f t="shared" si="16"/>
        <v>0</v>
      </c>
      <c r="AJ337" s="949">
        <v>0</v>
      </c>
      <c r="AK337" s="581">
        <f t="shared" si="17"/>
        <v>0</v>
      </c>
      <c r="AL337" s="750" t="s">
        <v>1441</v>
      </c>
      <c r="AM337" s="743">
        <f t="shared" si="18"/>
        <v>1</v>
      </c>
    </row>
    <row r="338" spans="1:39" s="560" customFormat="1">
      <c r="A338" s="604" t="s">
        <v>826</v>
      </c>
      <c r="B338" s="604" t="s">
        <v>1268</v>
      </c>
      <c r="C338" s="614" t="s">
        <v>63</v>
      </c>
      <c r="D338" s="580"/>
      <c r="E338" s="778"/>
      <c r="F338" s="581"/>
      <c r="G338" s="581"/>
      <c r="H338" s="581"/>
      <c r="I338" s="949"/>
      <c r="J338" s="949"/>
      <c r="K338" s="949"/>
      <c r="L338" s="809"/>
      <c r="M338" s="575"/>
      <c r="N338" s="575"/>
      <c r="O338" s="575"/>
      <c r="P338" s="575"/>
      <c r="Q338" s="575"/>
      <c r="R338" s="575"/>
      <c r="S338" s="809"/>
      <c r="T338" s="575"/>
      <c r="U338" s="575"/>
      <c r="V338" s="575"/>
      <c r="W338" s="575"/>
      <c r="X338" s="575"/>
      <c r="Y338" s="575"/>
      <c r="Z338" s="809"/>
      <c r="AA338" s="575"/>
      <c r="AB338" s="575"/>
      <c r="AC338" s="575"/>
      <c r="AD338" s="575"/>
      <c r="AE338" s="827"/>
      <c r="AF338" s="575"/>
      <c r="AG338" s="960"/>
      <c r="AH338" s="842"/>
      <c r="AI338" s="738">
        <f t="shared" si="16"/>
        <v>0</v>
      </c>
      <c r="AJ338" s="949">
        <v>0</v>
      </c>
      <c r="AK338" s="581">
        <f t="shared" si="17"/>
        <v>0</v>
      </c>
      <c r="AL338" s="750" t="s">
        <v>1631</v>
      </c>
      <c r="AM338" s="743">
        <f t="shared" si="18"/>
        <v>21.02</v>
      </c>
    </row>
    <row r="339" spans="1:39" s="560" customFormat="1">
      <c r="A339" s="604" t="s">
        <v>827</v>
      </c>
      <c r="B339" s="604" t="s">
        <v>1269</v>
      </c>
      <c r="C339" s="614" t="s">
        <v>36</v>
      </c>
      <c r="D339" s="580"/>
      <c r="E339" s="778"/>
      <c r="F339" s="581"/>
      <c r="G339" s="581"/>
      <c r="H339" s="581"/>
      <c r="I339" s="949"/>
      <c r="J339" s="949"/>
      <c r="K339" s="949"/>
      <c r="L339" s="809"/>
      <c r="M339" s="575"/>
      <c r="N339" s="575"/>
      <c r="O339" s="575"/>
      <c r="P339" s="575"/>
      <c r="Q339" s="575"/>
      <c r="R339" s="575"/>
      <c r="S339" s="809"/>
      <c r="T339" s="575"/>
      <c r="U339" s="575"/>
      <c r="V339" s="575"/>
      <c r="W339" s="575"/>
      <c r="X339" s="575"/>
      <c r="Y339" s="575"/>
      <c r="Z339" s="809"/>
      <c r="AA339" s="575"/>
      <c r="AB339" s="575"/>
      <c r="AC339" s="575"/>
      <c r="AD339" s="575"/>
      <c r="AE339" s="827"/>
      <c r="AF339" s="575"/>
      <c r="AG339" s="960"/>
      <c r="AH339" s="842"/>
      <c r="AI339" s="738">
        <f t="shared" si="16"/>
        <v>0</v>
      </c>
      <c r="AJ339" s="949">
        <v>0</v>
      </c>
      <c r="AK339" s="581">
        <f t="shared" si="17"/>
        <v>0</v>
      </c>
      <c r="AL339" s="750"/>
      <c r="AM339" s="743">
        <f t="shared" si="18"/>
        <v>0</v>
      </c>
    </row>
    <row r="340" spans="1:39" s="782" customFormat="1">
      <c r="A340" s="868" t="s">
        <v>461</v>
      </c>
      <c r="B340" s="869" t="s">
        <v>1270</v>
      </c>
      <c r="C340" s="898"/>
      <c r="D340" s="795"/>
      <c r="E340" s="778"/>
      <c r="F340" s="778"/>
      <c r="G340" s="778"/>
      <c r="H340" s="778"/>
      <c r="I340" s="777"/>
      <c r="J340" s="777"/>
      <c r="K340" s="777"/>
      <c r="L340" s="809"/>
      <c r="M340" s="809"/>
      <c r="N340" s="809"/>
      <c r="O340" s="809"/>
      <c r="P340" s="809"/>
      <c r="Q340" s="809"/>
      <c r="R340" s="809"/>
      <c r="S340" s="809"/>
      <c r="T340" s="809"/>
      <c r="U340" s="809"/>
      <c r="V340" s="809"/>
      <c r="W340" s="809"/>
      <c r="X340" s="809"/>
      <c r="Y340" s="809"/>
      <c r="Z340" s="809"/>
      <c r="AA340" s="809"/>
      <c r="AB340" s="809"/>
      <c r="AC340" s="809"/>
      <c r="AD340" s="809"/>
      <c r="AE340" s="827"/>
      <c r="AF340" s="809"/>
      <c r="AG340" s="960"/>
      <c r="AH340" s="873"/>
      <c r="AI340" s="839">
        <f t="shared" si="16"/>
        <v>0</v>
      </c>
      <c r="AJ340" s="777">
        <v>0</v>
      </c>
      <c r="AK340" s="778">
        <f t="shared" si="17"/>
        <v>0</v>
      </c>
      <c r="AL340" s="901"/>
      <c r="AM340" s="781">
        <f t="shared" si="18"/>
        <v>0</v>
      </c>
    </row>
    <row r="341" spans="1:39" s="782" customFormat="1">
      <c r="A341" s="885" t="s">
        <v>462</v>
      </c>
      <c r="B341" s="885" t="s">
        <v>1222</v>
      </c>
      <c r="C341" s="898"/>
      <c r="D341" s="795"/>
      <c r="E341" s="778"/>
      <c r="F341" s="778"/>
      <c r="G341" s="778"/>
      <c r="H341" s="778"/>
      <c r="I341" s="777"/>
      <c r="J341" s="777"/>
      <c r="K341" s="777"/>
      <c r="L341" s="809"/>
      <c r="M341" s="809"/>
      <c r="N341" s="809"/>
      <c r="O341" s="809"/>
      <c r="P341" s="809"/>
      <c r="Q341" s="809"/>
      <c r="R341" s="809"/>
      <c r="S341" s="809"/>
      <c r="T341" s="809"/>
      <c r="U341" s="809"/>
      <c r="V341" s="809"/>
      <c r="W341" s="809"/>
      <c r="X341" s="809"/>
      <c r="Y341" s="809"/>
      <c r="Z341" s="809"/>
      <c r="AA341" s="809"/>
      <c r="AB341" s="809"/>
      <c r="AC341" s="809"/>
      <c r="AD341" s="809"/>
      <c r="AE341" s="827"/>
      <c r="AF341" s="809"/>
      <c r="AG341" s="960"/>
      <c r="AH341" s="873"/>
      <c r="AI341" s="839">
        <f t="shared" si="16"/>
        <v>0</v>
      </c>
      <c r="AJ341" s="777">
        <v>0</v>
      </c>
      <c r="AK341" s="778">
        <f t="shared" si="17"/>
        <v>0</v>
      </c>
      <c r="AL341" s="901" t="s">
        <v>1632</v>
      </c>
      <c r="AM341" s="781">
        <f t="shared" si="18"/>
        <v>73.59</v>
      </c>
    </row>
    <row r="342" spans="1:39" s="782" customFormat="1">
      <c r="A342" s="772" t="s">
        <v>828</v>
      </c>
      <c r="B342" s="772" t="s">
        <v>1223</v>
      </c>
      <c r="C342" s="877" t="s">
        <v>36</v>
      </c>
      <c r="D342" s="795"/>
      <c r="E342" s="778"/>
      <c r="F342" s="778"/>
      <c r="G342" s="778"/>
      <c r="H342" s="778"/>
      <c r="I342" s="777"/>
      <c r="J342" s="777"/>
      <c r="K342" s="777"/>
      <c r="L342" s="809"/>
      <c r="M342" s="809"/>
      <c r="N342" s="809"/>
      <c r="O342" s="809"/>
      <c r="P342" s="809"/>
      <c r="Q342" s="809"/>
      <c r="R342" s="809"/>
      <c r="S342" s="809"/>
      <c r="T342" s="809"/>
      <c r="U342" s="809"/>
      <c r="V342" s="809"/>
      <c r="W342" s="809"/>
      <c r="X342" s="809"/>
      <c r="Y342" s="809"/>
      <c r="Z342" s="809"/>
      <c r="AA342" s="809"/>
      <c r="AB342" s="809"/>
      <c r="AC342" s="809"/>
      <c r="AD342" s="809"/>
      <c r="AE342" s="827"/>
      <c r="AF342" s="809"/>
      <c r="AG342" s="960"/>
      <c r="AH342" s="873"/>
      <c r="AI342" s="839">
        <f t="shared" si="16"/>
        <v>0</v>
      </c>
      <c r="AJ342" s="777">
        <v>0</v>
      </c>
      <c r="AK342" s="778">
        <f t="shared" si="17"/>
        <v>0</v>
      </c>
      <c r="AL342" s="901" t="s">
        <v>1633</v>
      </c>
      <c r="AM342" s="781">
        <f t="shared" si="18"/>
        <v>6.44</v>
      </c>
    </row>
    <row r="343" spans="1:39" s="782" customFormat="1">
      <c r="A343" s="772" t="s">
        <v>829</v>
      </c>
      <c r="B343" s="772" t="s">
        <v>1224</v>
      </c>
      <c r="C343" s="877" t="s">
        <v>36</v>
      </c>
      <c r="D343" s="795"/>
      <c r="E343" s="778"/>
      <c r="F343" s="778"/>
      <c r="G343" s="778"/>
      <c r="H343" s="778"/>
      <c r="I343" s="777"/>
      <c r="J343" s="777"/>
      <c r="K343" s="777"/>
      <c r="L343" s="809"/>
      <c r="M343" s="809"/>
      <c r="N343" s="809"/>
      <c r="O343" s="809"/>
      <c r="P343" s="809"/>
      <c r="Q343" s="809"/>
      <c r="R343" s="809"/>
      <c r="S343" s="809"/>
      <c r="T343" s="809"/>
      <c r="U343" s="809"/>
      <c r="V343" s="809"/>
      <c r="W343" s="809"/>
      <c r="X343" s="809"/>
      <c r="Y343" s="809"/>
      <c r="Z343" s="809"/>
      <c r="AA343" s="809"/>
      <c r="AB343" s="809"/>
      <c r="AC343" s="809"/>
      <c r="AD343" s="809"/>
      <c r="AE343" s="827"/>
      <c r="AF343" s="809"/>
      <c r="AG343" s="960"/>
      <c r="AH343" s="873"/>
      <c r="AI343" s="839">
        <f t="shared" si="16"/>
        <v>0</v>
      </c>
      <c r="AJ343" s="777">
        <v>0</v>
      </c>
      <c r="AK343" s="778">
        <f t="shared" si="17"/>
        <v>0</v>
      </c>
      <c r="AL343" s="901"/>
      <c r="AM343" s="781">
        <f t="shared" si="18"/>
        <v>0</v>
      </c>
    </row>
    <row r="344" spans="1:39" s="560" customFormat="1">
      <c r="A344" s="607" t="s">
        <v>463</v>
      </c>
      <c r="B344" s="607" t="s">
        <v>1225</v>
      </c>
      <c r="C344" s="690"/>
      <c r="D344" s="580"/>
      <c r="E344" s="778"/>
      <c r="F344" s="581"/>
      <c r="G344" s="581"/>
      <c r="H344" s="581"/>
      <c r="I344" s="949"/>
      <c r="J344" s="949"/>
      <c r="K344" s="949"/>
      <c r="L344" s="809"/>
      <c r="M344" s="575"/>
      <c r="N344" s="575"/>
      <c r="O344" s="575"/>
      <c r="P344" s="575"/>
      <c r="Q344" s="575"/>
      <c r="R344" s="575"/>
      <c r="S344" s="809"/>
      <c r="T344" s="575"/>
      <c r="U344" s="575"/>
      <c r="V344" s="575"/>
      <c r="W344" s="575"/>
      <c r="X344" s="575"/>
      <c r="Y344" s="575"/>
      <c r="Z344" s="809"/>
      <c r="AA344" s="575"/>
      <c r="AB344" s="575"/>
      <c r="AC344" s="575"/>
      <c r="AD344" s="575"/>
      <c r="AE344" s="827"/>
      <c r="AF344" s="575"/>
      <c r="AG344" s="960"/>
      <c r="AH344" s="842"/>
      <c r="AI344" s="738">
        <f t="shared" si="16"/>
        <v>0</v>
      </c>
      <c r="AJ344" s="949">
        <v>0</v>
      </c>
      <c r="AK344" s="581">
        <f t="shared" si="17"/>
        <v>0</v>
      </c>
      <c r="AL344" s="750" t="s">
        <v>1634</v>
      </c>
      <c r="AM344" s="743">
        <f t="shared" si="18"/>
        <v>99.99</v>
      </c>
    </row>
    <row r="345" spans="1:39" s="560" customFormat="1">
      <c r="A345" s="604" t="s">
        <v>830</v>
      </c>
      <c r="B345" s="604" t="s">
        <v>1226</v>
      </c>
      <c r="C345" s="614" t="s">
        <v>36</v>
      </c>
      <c r="D345" s="580"/>
      <c r="E345" s="778"/>
      <c r="F345" s="581"/>
      <c r="G345" s="581"/>
      <c r="H345" s="581"/>
      <c r="I345" s="949"/>
      <c r="J345" s="949"/>
      <c r="K345" s="949"/>
      <c r="L345" s="809"/>
      <c r="M345" s="575"/>
      <c r="N345" s="575"/>
      <c r="O345" s="575"/>
      <c r="P345" s="575"/>
      <c r="Q345" s="575"/>
      <c r="R345" s="575"/>
      <c r="S345" s="809"/>
      <c r="T345" s="575"/>
      <c r="U345" s="575"/>
      <c r="V345" s="575"/>
      <c r="W345" s="575"/>
      <c r="X345" s="575"/>
      <c r="Y345" s="575"/>
      <c r="Z345" s="809"/>
      <c r="AA345" s="575"/>
      <c r="AB345" s="575"/>
      <c r="AC345" s="575"/>
      <c r="AD345" s="575"/>
      <c r="AE345" s="827"/>
      <c r="AF345" s="575"/>
      <c r="AG345" s="960"/>
      <c r="AH345" s="842"/>
      <c r="AI345" s="738">
        <f t="shared" si="16"/>
        <v>0</v>
      </c>
      <c r="AJ345" s="949">
        <v>0</v>
      </c>
      <c r="AK345" s="581">
        <f t="shared" si="17"/>
        <v>0</v>
      </c>
      <c r="AL345" s="750" t="s">
        <v>1635</v>
      </c>
      <c r="AM345" s="743">
        <f t="shared" si="18"/>
        <v>60.07</v>
      </c>
    </row>
    <row r="346" spans="1:39" s="560" customFormat="1">
      <c r="A346" s="604" t="s">
        <v>831</v>
      </c>
      <c r="B346" s="604" t="s">
        <v>1227</v>
      </c>
      <c r="C346" s="614" t="s">
        <v>36</v>
      </c>
      <c r="D346" s="580"/>
      <c r="E346" s="778"/>
      <c r="F346" s="581"/>
      <c r="G346" s="581"/>
      <c r="H346" s="581"/>
      <c r="I346" s="949"/>
      <c r="J346" s="949"/>
      <c r="K346" s="949"/>
      <c r="L346" s="809"/>
      <c r="M346" s="575"/>
      <c r="N346" s="575"/>
      <c r="O346" s="575"/>
      <c r="P346" s="575"/>
      <c r="Q346" s="575"/>
      <c r="R346" s="575"/>
      <c r="S346" s="809"/>
      <c r="T346" s="575"/>
      <c r="U346" s="575"/>
      <c r="V346" s="575"/>
      <c r="W346" s="575"/>
      <c r="X346" s="575"/>
      <c r="Y346" s="575"/>
      <c r="Z346" s="809"/>
      <c r="AA346" s="575"/>
      <c r="AB346" s="575"/>
      <c r="AC346" s="575"/>
      <c r="AD346" s="575"/>
      <c r="AE346" s="827"/>
      <c r="AF346" s="575"/>
      <c r="AG346" s="960"/>
      <c r="AH346" s="842"/>
      <c r="AI346" s="738">
        <f t="shared" si="16"/>
        <v>0</v>
      </c>
      <c r="AJ346" s="949">
        <v>0</v>
      </c>
      <c r="AK346" s="581">
        <f t="shared" si="17"/>
        <v>0</v>
      </c>
      <c r="AL346" s="750" t="s">
        <v>1636</v>
      </c>
      <c r="AM346" s="743">
        <f t="shared" si="18"/>
        <v>33.6</v>
      </c>
    </row>
    <row r="347" spans="1:39" s="560" customFormat="1">
      <c r="A347" s="604" t="s">
        <v>832</v>
      </c>
      <c r="B347" s="604" t="s">
        <v>1228</v>
      </c>
      <c r="C347" s="614" t="s">
        <v>36</v>
      </c>
      <c r="D347" s="580"/>
      <c r="E347" s="778"/>
      <c r="F347" s="581"/>
      <c r="G347" s="581"/>
      <c r="H347" s="581"/>
      <c r="I347" s="949"/>
      <c r="J347" s="949"/>
      <c r="K347" s="949"/>
      <c r="L347" s="809"/>
      <c r="M347" s="575"/>
      <c r="N347" s="575"/>
      <c r="O347" s="575"/>
      <c r="P347" s="575"/>
      <c r="Q347" s="575"/>
      <c r="R347" s="575"/>
      <c r="S347" s="809"/>
      <c r="T347" s="575"/>
      <c r="U347" s="575"/>
      <c r="V347" s="575"/>
      <c r="W347" s="575"/>
      <c r="X347" s="575"/>
      <c r="Y347" s="575"/>
      <c r="Z347" s="809"/>
      <c r="AA347" s="575"/>
      <c r="AB347" s="575"/>
      <c r="AC347" s="575"/>
      <c r="AD347" s="575"/>
      <c r="AE347" s="827"/>
      <c r="AF347" s="575"/>
      <c r="AG347" s="960"/>
      <c r="AH347" s="842"/>
      <c r="AI347" s="738">
        <f t="shared" si="16"/>
        <v>0</v>
      </c>
      <c r="AJ347" s="949">
        <v>0</v>
      </c>
      <c r="AK347" s="581">
        <f t="shared" si="17"/>
        <v>0</v>
      </c>
      <c r="AL347" s="750" t="s">
        <v>1637</v>
      </c>
      <c r="AM347" s="743">
        <f t="shared" si="18"/>
        <v>27.42</v>
      </c>
    </row>
    <row r="348" spans="1:39" s="560" customFormat="1">
      <c r="A348" s="604" t="s">
        <v>833</v>
      </c>
      <c r="B348" s="604" t="s">
        <v>1229</v>
      </c>
      <c r="C348" s="614" t="s">
        <v>36</v>
      </c>
      <c r="D348" s="580"/>
      <c r="E348" s="778"/>
      <c r="F348" s="581"/>
      <c r="G348" s="581"/>
      <c r="H348" s="581"/>
      <c r="I348" s="949"/>
      <c r="J348" s="949"/>
      <c r="K348" s="949"/>
      <c r="L348" s="809"/>
      <c r="M348" s="575"/>
      <c r="N348" s="575"/>
      <c r="O348" s="575"/>
      <c r="P348" s="575"/>
      <c r="Q348" s="575"/>
      <c r="R348" s="575"/>
      <c r="S348" s="809"/>
      <c r="T348" s="575"/>
      <c r="U348" s="575"/>
      <c r="V348" s="575"/>
      <c r="W348" s="575"/>
      <c r="X348" s="575"/>
      <c r="Y348" s="575"/>
      <c r="Z348" s="809"/>
      <c r="AA348" s="575"/>
      <c r="AB348" s="575"/>
      <c r="AC348" s="575"/>
      <c r="AD348" s="575"/>
      <c r="AE348" s="827"/>
      <c r="AF348" s="575"/>
      <c r="AG348" s="960"/>
      <c r="AH348" s="842"/>
      <c r="AI348" s="738">
        <f t="shared" si="16"/>
        <v>0</v>
      </c>
      <c r="AJ348" s="949">
        <v>0</v>
      </c>
      <c r="AK348" s="581">
        <f t="shared" si="17"/>
        <v>0</v>
      </c>
      <c r="AL348" s="750" t="s">
        <v>1638</v>
      </c>
      <c r="AM348" s="743">
        <f t="shared" si="18"/>
        <v>79.459999999999994</v>
      </c>
    </row>
    <row r="349" spans="1:39" s="560" customFormat="1">
      <c r="A349" s="604" t="s">
        <v>834</v>
      </c>
      <c r="B349" s="604" t="s">
        <v>1230</v>
      </c>
      <c r="C349" s="614" t="s">
        <v>36</v>
      </c>
      <c r="D349" s="580"/>
      <c r="E349" s="778"/>
      <c r="F349" s="581"/>
      <c r="G349" s="581"/>
      <c r="H349" s="581"/>
      <c r="I349" s="949"/>
      <c r="J349" s="949"/>
      <c r="K349" s="949"/>
      <c r="L349" s="809"/>
      <c r="M349" s="575"/>
      <c r="N349" s="575"/>
      <c r="O349" s="575"/>
      <c r="P349" s="575"/>
      <c r="Q349" s="575"/>
      <c r="R349" s="575"/>
      <c r="S349" s="809"/>
      <c r="T349" s="575"/>
      <c r="U349" s="575"/>
      <c r="V349" s="575"/>
      <c r="W349" s="575"/>
      <c r="X349" s="575"/>
      <c r="Y349" s="575"/>
      <c r="Z349" s="809"/>
      <c r="AA349" s="575"/>
      <c r="AB349" s="575"/>
      <c r="AC349" s="575"/>
      <c r="AD349" s="575"/>
      <c r="AE349" s="827"/>
      <c r="AF349" s="575"/>
      <c r="AG349" s="960"/>
      <c r="AH349" s="842"/>
      <c r="AI349" s="738">
        <f t="shared" si="16"/>
        <v>0</v>
      </c>
      <c r="AJ349" s="949">
        <v>0</v>
      </c>
      <c r="AK349" s="581">
        <f t="shared" si="17"/>
        <v>0</v>
      </c>
      <c r="AL349" s="750" t="s">
        <v>1639</v>
      </c>
      <c r="AM349" s="743">
        <f t="shared" si="18"/>
        <v>80.02</v>
      </c>
    </row>
    <row r="350" spans="1:39" s="560" customFormat="1">
      <c r="A350" s="604" t="s">
        <v>835</v>
      </c>
      <c r="B350" s="604" t="s">
        <v>1231</v>
      </c>
      <c r="C350" s="614" t="s">
        <v>37</v>
      </c>
      <c r="D350" s="580"/>
      <c r="E350" s="778"/>
      <c r="F350" s="581"/>
      <c r="G350" s="581"/>
      <c r="H350" s="581"/>
      <c r="I350" s="949"/>
      <c r="J350" s="949"/>
      <c r="K350" s="949"/>
      <c r="L350" s="809"/>
      <c r="M350" s="575"/>
      <c r="N350" s="575"/>
      <c r="O350" s="575"/>
      <c r="P350" s="575"/>
      <c r="Q350" s="575"/>
      <c r="R350" s="575"/>
      <c r="S350" s="809"/>
      <c r="T350" s="575"/>
      <c r="U350" s="575"/>
      <c r="V350" s="575"/>
      <c r="W350" s="575"/>
      <c r="X350" s="575"/>
      <c r="Y350" s="575"/>
      <c r="Z350" s="809"/>
      <c r="AA350" s="575"/>
      <c r="AB350" s="575"/>
      <c r="AC350" s="575"/>
      <c r="AD350" s="575"/>
      <c r="AE350" s="827"/>
      <c r="AF350" s="575"/>
      <c r="AG350" s="960"/>
      <c r="AH350" s="842"/>
      <c r="AI350" s="738">
        <f t="shared" si="16"/>
        <v>0</v>
      </c>
      <c r="AJ350" s="949">
        <v>0</v>
      </c>
      <c r="AK350" s="581">
        <f t="shared" si="17"/>
        <v>0</v>
      </c>
      <c r="AL350" s="750" t="s">
        <v>1640</v>
      </c>
      <c r="AM350" s="743">
        <f t="shared" si="18"/>
        <v>245.52</v>
      </c>
    </row>
    <row r="351" spans="1:39" s="560" customFormat="1">
      <c r="A351" s="604" t="s">
        <v>836</v>
      </c>
      <c r="B351" s="604" t="s">
        <v>1232</v>
      </c>
      <c r="C351" s="614" t="s">
        <v>37</v>
      </c>
      <c r="D351" s="580"/>
      <c r="E351" s="778"/>
      <c r="F351" s="581"/>
      <c r="G351" s="581"/>
      <c r="H351" s="581"/>
      <c r="I351" s="949"/>
      <c r="J351" s="949"/>
      <c r="K351" s="949"/>
      <c r="L351" s="809"/>
      <c r="M351" s="575"/>
      <c r="N351" s="575"/>
      <c r="O351" s="575"/>
      <c r="P351" s="575"/>
      <c r="Q351" s="575"/>
      <c r="R351" s="575"/>
      <c r="S351" s="809"/>
      <c r="T351" s="575"/>
      <c r="U351" s="575"/>
      <c r="V351" s="575"/>
      <c r="W351" s="575"/>
      <c r="X351" s="575"/>
      <c r="Y351" s="575"/>
      <c r="Z351" s="809"/>
      <c r="AA351" s="575"/>
      <c r="AB351" s="575"/>
      <c r="AC351" s="575"/>
      <c r="AD351" s="575"/>
      <c r="AE351" s="827"/>
      <c r="AF351" s="575"/>
      <c r="AG351" s="960"/>
      <c r="AH351" s="842"/>
      <c r="AI351" s="738">
        <f t="shared" si="16"/>
        <v>0</v>
      </c>
      <c r="AJ351" s="949">
        <v>0</v>
      </c>
      <c r="AK351" s="581">
        <f t="shared" si="17"/>
        <v>0</v>
      </c>
      <c r="AL351" s="750"/>
      <c r="AM351" s="743">
        <f t="shared" si="18"/>
        <v>0</v>
      </c>
    </row>
    <row r="352" spans="1:39" s="560" customFormat="1">
      <c r="A352" s="607" t="s">
        <v>464</v>
      </c>
      <c r="B352" s="607" t="s">
        <v>1233</v>
      </c>
      <c r="C352" s="690"/>
      <c r="D352" s="580"/>
      <c r="E352" s="778"/>
      <c r="F352" s="581"/>
      <c r="G352" s="581"/>
      <c r="H352" s="581"/>
      <c r="I352" s="949"/>
      <c r="J352" s="949"/>
      <c r="K352" s="949"/>
      <c r="L352" s="809"/>
      <c r="M352" s="575"/>
      <c r="N352" s="575"/>
      <c r="O352" s="575"/>
      <c r="P352" s="575"/>
      <c r="Q352" s="575"/>
      <c r="R352" s="575"/>
      <c r="S352" s="809"/>
      <c r="T352" s="575"/>
      <c r="U352" s="575"/>
      <c r="V352" s="575"/>
      <c r="W352" s="575"/>
      <c r="X352" s="575"/>
      <c r="Y352" s="575"/>
      <c r="Z352" s="809"/>
      <c r="AA352" s="575"/>
      <c r="AB352" s="575"/>
      <c r="AC352" s="575"/>
      <c r="AD352" s="575"/>
      <c r="AE352" s="827"/>
      <c r="AF352" s="575"/>
      <c r="AG352" s="960"/>
      <c r="AH352" s="842"/>
      <c r="AI352" s="738">
        <f t="shared" si="16"/>
        <v>0</v>
      </c>
      <c r="AJ352" s="949">
        <v>0</v>
      </c>
      <c r="AK352" s="581">
        <f t="shared" si="17"/>
        <v>0</v>
      </c>
      <c r="AL352" s="750" t="s">
        <v>1641</v>
      </c>
      <c r="AM352" s="743">
        <f t="shared" si="18"/>
        <v>65.92</v>
      </c>
    </row>
    <row r="353" spans="1:39" s="560" customFormat="1">
      <c r="A353" s="604" t="s">
        <v>837</v>
      </c>
      <c r="B353" s="604" t="s">
        <v>1234</v>
      </c>
      <c r="C353" s="614" t="s">
        <v>36</v>
      </c>
      <c r="D353" s="580"/>
      <c r="E353" s="778"/>
      <c r="F353" s="581"/>
      <c r="G353" s="581"/>
      <c r="H353" s="581"/>
      <c r="I353" s="949"/>
      <c r="J353" s="949"/>
      <c r="K353" s="949"/>
      <c r="L353" s="809"/>
      <c r="M353" s="575"/>
      <c r="N353" s="575"/>
      <c r="O353" s="575"/>
      <c r="P353" s="575"/>
      <c r="Q353" s="575"/>
      <c r="R353" s="575"/>
      <c r="S353" s="809"/>
      <c r="T353" s="575"/>
      <c r="U353" s="575"/>
      <c r="V353" s="575"/>
      <c r="W353" s="575"/>
      <c r="X353" s="575"/>
      <c r="Y353" s="575"/>
      <c r="Z353" s="809"/>
      <c r="AA353" s="575"/>
      <c r="AB353" s="575"/>
      <c r="AC353" s="575"/>
      <c r="AD353" s="575"/>
      <c r="AE353" s="827"/>
      <c r="AF353" s="575"/>
      <c r="AG353" s="960"/>
      <c r="AH353" s="842"/>
      <c r="AI353" s="738">
        <f t="shared" si="16"/>
        <v>0</v>
      </c>
      <c r="AJ353" s="949">
        <v>0</v>
      </c>
      <c r="AK353" s="581">
        <f t="shared" si="17"/>
        <v>0</v>
      </c>
      <c r="AL353" s="750"/>
      <c r="AM353" s="743">
        <f t="shared" si="18"/>
        <v>0</v>
      </c>
    </row>
    <row r="354" spans="1:39" s="782" customFormat="1">
      <c r="A354" s="885" t="s">
        <v>465</v>
      </c>
      <c r="B354" s="885" t="s">
        <v>1235</v>
      </c>
      <c r="C354" s="898"/>
      <c r="D354" s="795"/>
      <c r="E354" s="778"/>
      <c r="F354" s="778"/>
      <c r="G354" s="778"/>
      <c r="H354" s="778"/>
      <c r="I354" s="777"/>
      <c r="J354" s="777"/>
      <c r="K354" s="777"/>
      <c r="L354" s="809"/>
      <c r="M354" s="809"/>
      <c r="N354" s="809"/>
      <c r="O354" s="809"/>
      <c r="P354" s="809"/>
      <c r="Q354" s="809"/>
      <c r="R354" s="809"/>
      <c r="S354" s="809"/>
      <c r="T354" s="809"/>
      <c r="U354" s="809"/>
      <c r="V354" s="809"/>
      <c r="W354" s="809"/>
      <c r="X354" s="809"/>
      <c r="Y354" s="809"/>
      <c r="Z354" s="809"/>
      <c r="AA354" s="809"/>
      <c r="AB354" s="809"/>
      <c r="AC354" s="809"/>
      <c r="AD354" s="809"/>
      <c r="AE354" s="827"/>
      <c r="AF354" s="809"/>
      <c r="AG354" s="960"/>
      <c r="AH354" s="873"/>
      <c r="AI354" s="839">
        <f t="shared" si="16"/>
        <v>0</v>
      </c>
      <c r="AJ354" s="777">
        <v>0</v>
      </c>
      <c r="AK354" s="778">
        <f t="shared" si="17"/>
        <v>0</v>
      </c>
      <c r="AL354" s="901" t="s">
        <v>1642</v>
      </c>
      <c r="AM354" s="781">
        <f t="shared" si="18"/>
        <v>57.88</v>
      </c>
    </row>
    <row r="355" spans="1:39" s="782" customFormat="1">
      <c r="A355" s="772" t="s">
        <v>838</v>
      </c>
      <c r="B355" s="772" t="s">
        <v>1236</v>
      </c>
      <c r="C355" s="877" t="s">
        <v>36</v>
      </c>
      <c r="D355" s="795"/>
      <c r="E355" s="778"/>
      <c r="F355" s="778"/>
      <c r="G355" s="778"/>
      <c r="H355" s="778"/>
      <c r="I355" s="777"/>
      <c r="J355" s="777"/>
      <c r="K355" s="777"/>
      <c r="L355" s="809"/>
      <c r="M355" s="809"/>
      <c r="N355" s="809"/>
      <c r="O355" s="809"/>
      <c r="P355" s="809"/>
      <c r="Q355" s="809"/>
      <c r="R355" s="809"/>
      <c r="S355" s="809"/>
      <c r="T355" s="809"/>
      <c r="U355" s="809"/>
      <c r="V355" s="809"/>
      <c r="W355" s="809"/>
      <c r="X355" s="809"/>
      <c r="Y355" s="809"/>
      <c r="Z355" s="809"/>
      <c r="AA355" s="809"/>
      <c r="AB355" s="809"/>
      <c r="AC355" s="809"/>
      <c r="AD355" s="809"/>
      <c r="AE355" s="827"/>
      <c r="AF355" s="809"/>
      <c r="AG355" s="960"/>
      <c r="AH355" s="873"/>
      <c r="AI355" s="839">
        <f t="shared" si="16"/>
        <v>0</v>
      </c>
      <c r="AJ355" s="777">
        <v>0</v>
      </c>
      <c r="AK355" s="778">
        <f t="shared" si="17"/>
        <v>0</v>
      </c>
      <c r="AL355" s="901" t="s">
        <v>1643</v>
      </c>
      <c r="AM355" s="781">
        <f t="shared" si="18"/>
        <v>40.200000000000003</v>
      </c>
    </row>
    <row r="356" spans="1:39" s="560" customFormat="1">
      <c r="A356" s="604" t="s">
        <v>839</v>
      </c>
      <c r="B356" s="604" t="s">
        <v>1271</v>
      </c>
      <c r="C356" s="614" t="s">
        <v>36</v>
      </c>
      <c r="D356" s="580"/>
      <c r="E356" s="778"/>
      <c r="F356" s="581"/>
      <c r="G356" s="581"/>
      <c r="H356" s="581"/>
      <c r="I356" s="949"/>
      <c r="J356" s="949"/>
      <c r="K356" s="949"/>
      <c r="L356" s="809"/>
      <c r="M356" s="575"/>
      <c r="N356" s="575"/>
      <c r="O356" s="575"/>
      <c r="P356" s="575"/>
      <c r="Q356" s="575"/>
      <c r="R356" s="575"/>
      <c r="S356" s="809"/>
      <c r="T356" s="575"/>
      <c r="U356" s="575"/>
      <c r="V356" s="575"/>
      <c r="W356" s="575"/>
      <c r="X356" s="575"/>
      <c r="Y356" s="575"/>
      <c r="Z356" s="809"/>
      <c r="AA356" s="575"/>
      <c r="AB356" s="575"/>
      <c r="AC356" s="575"/>
      <c r="AD356" s="575"/>
      <c r="AE356" s="827"/>
      <c r="AF356" s="575"/>
      <c r="AG356" s="960"/>
      <c r="AH356" s="842"/>
      <c r="AI356" s="738">
        <f t="shared" si="16"/>
        <v>0</v>
      </c>
      <c r="AJ356" s="949">
        <v>0</v>
      </c>
      <c r="AK356" s="581">
        <f t="shared" si="17"/>
        <v>0</v>
      </c>
      <c r="AL356" s="750" t="s">
        <v>1644</v>
      </c>
      <c r="AM356" s="743">
        <f t="shared" si="18"/>
        <v>5.72</v>
      </c>
    </row>
    <row r="357" spans="1:39" s="560" customFormat="1">
      <c r="A357" s="604" t="s">
        <v>840</v>
      </c>
      <c r="B357" s="604" t="s">
        <v>1237</v>
      </c>
      <c r="C357" s="614" t="s">
        <v>36</v>
      </c>
      <c r="D357" s="580"/>
      <c r="E357" s="778"/>
      <c r="F357" s="581"/>
      <c r="G357" s="581"/>
      <c r="H357" s="581"/>
      <c r="I357" s="949"/>
      <c r="J357" s="949"/>
      <c r="K357" s="949"/>
      <c r="L357" s="809"/>
      <c r="M357" s="575"/>
      <c r="N357" s="575"/>
      <c r="O357" s="575"/>
      <c r="P357" s="575"/>
      <c r="Q357" s="575"/>
      <c r="R357" s="575"/>
      <c r="S357" s="809"/>
      <c r="T357" s="575"/>
      <c r="U357" s="575"/>
      <c r="V357" s="575"/>
      <c r="W357" s="575"/>
      <c r="X357" s="575"/>
      <c r="Y357" s="575"/>
      <c r="Z357" s="809"/>
      <c r="AA357" s="575"/>
      <c r="AB357" s="575"/>
      <c r="AC357" s="575"/>
      <c r="AD357" s="575"/>
      <c r="AE357" s="827"/>
      <c r="AF357" s="575"/>
      <c r="AG357" s="960"/>
      <c r="AH357" s="842"/>
      <c r="AI357" s="738">
        <f t="shared" si="16"/>
        <v>0</v>
      </c>
      <c r="AJ357" s="949">
        <v>0</v>
      </c>
      <c r="AK357" s="581">
        <f t="shared" si="17"/>
        <v>0</v>
      </c>
      <c r="AL357" s="750" t="s">
        <v>1645</v>
      </c>
      <c r="AM357" s="743">
        <f t="shared" si="18"/>
        <v>11.96</v>
      </c>
    </row>
    <row r="358" spans="1:39" s="560" customFormat="1">
      <c r="A358" s="604" t="s">
        <v>841</v>
      </c>
      <c r="B358" s="604" t="s">
        <v>1238</v>
      </c>
      <c r="C358" s="614" t="s">
        <v>36</v>
      </c>
      <c r="D358" s="580"/>
      <c r="E358" s="778"/>
      <c r="F358" s="581"/>
      <c r="G358" s="581"/>
      <c r="H358" s="581"/>
      <c r="I358" s="949"/>
      <c r="J358" s="949"/>
      <c r="K358" s="949"/>
      <c r="L358" s="809"/>
      <c r="M358" s="575"/>
      <c r="N358" s="575"/>
      <c r="O358" s="575"/>
      <c r="P358" s="575"/>
      <c r="Q358" s="575"/>
      <c r="R358" s="575"/>
      <c r="S358" s="809"/>
      <c r="T358" s="575"/>
      <c r="U358" s="575"/>
      <c r="V358" s="575"/>
      <c r="W358" s="575"/>
      <c r="X358" s="575"/>
      <c r="Y358" s="575"/>
      <c r="Z358" s="809"/>
      <c r="AA358" s="575"/>
      <c r="AB358" s="575"/>
      <c r="AC358" s="575"/>
      <c r="AD358" s="575"/>
      <c r="AE358" s="827"/>
      <c r="AF358" s="575"/>
      <c r="AG358" s="960"/>
      <c r="AH358" s="842"/>
      <c r="AI358" s="738">
        <f t="shared" si="16"/>
        <v>0</v>
      </c>
      <c r="AJ358" s="949">
        <v>0</v>
      </c>
      <c r="AK358" s="581">
        <f t="shared" si="17"/>
        <v>0</v>
      </c>
      <c r="AL358" s="750"/>
      <c r="AM358" s="743">
        <f t="shared" si="18"/>
        <v>0</v>
      </c>
    </row>
    <row r="359" spans="1:39" s="560" customFormat="1">
      <c r="A359" s="607" t="s">
        <v>466</v>
      </c>
      <c r="B359" s="607" t="s">
        <v>1242</v>
      </c>
      <c r="C359" s="690"/>
      <c r="D359" s="580"/>
      <c r="E359" s="778"/>
      <c r="F359" s="581"/>
      <c r="G359" s="581"/>
      <c r="H359" s="581"/>
      <c r="I359" s="949"/>
      <c r="J359" s="949"/>
      <c r="K359" s="949"/>
      <c r="L359" s="809"/>
      <c r="M359" s="575"/>
      <c r="N359" s="575"/>
      <c r="O359" s="575"/>
      <c r="P359" s="575"/>
      <c r="Q359" s="575"/>
      <c r="R359" s="575"/>
      <c r="S359" s="809"/>
      <c r="T359" s="575"/>
      <c r="U359" s="575"/>
      <c r="V359" s="575"/>
      <c r="W359" s="575"/>
      <c r="X359" s="575"/>
      <c r="Y359" s="575"/>
      <c r="Z359" s="809"/>
      <c r="AA359" s="575"/>
      <c r="AB359" s="575"/>
      <c r="AC359" s="575"/>
      <c r="AD359" s="575"/>
      <c r="AE359" s="827"/>
      <c r="AF359" s="575"/>
      <c r="AG359" s="960"/>
      <c r="AH359" s="842"/>
      <c r="AI359" s="738">
        <f t="shared" si="16"/>
        <v>0</v>
      </c>
      <c r="AJ359" s="949">
        <v>0</v>
      </c>
      <c r="AK359" s="581">
        <f t="shared" si="17"/>
        <v>0</v>
      </c>
      <c r="AL359" s="750" t="s">
        <v>1646</v>
      </c>
      <c r="AM359" s="743">
        <f t="shared" si="18"/>
        <v>55.35</v>
      </c>
    </row>
    <row r="360" spans="1:39" s="560" customFormat="1">
      <c r="A360" s="604" t="s">
        <v>842</v>
      </c>
      <c r="B360" s="604" t="s">
        <v>1243</v>
      </c>
      <c r="C360" s="614" t="s">
        <v>36</v>
      </c>
      <c r="D360" s="580"/>
      <c r="E360" s="778"/>
      <c r="F360" s="581"/>
      <c r="G360" s="581"/>
      <c r="H360" s="581"/>
      <c r="I360" s="949"/>
      <c r="J360" s="949"/>
      <c r="K360" s="949"/>
      <c r="L360" s="809"/>
      <c r="M360" s="575"/>
      <c r="N360" s="575"/>
      <c r="O360" s="575"/>
      <c r="P360" s="575"/>
      <c r="Q360" s="575"/>
      <c r="R360" s="575"/>
      <c r="S360" s="809"/>
      <c r="T360" s="575"/>
      <c r="U360" s="575"/>
      <c r="V360" s="575"/>
      <c r="W360" s="575"/>
      <c r="X360" s="575"/>
      <c r="Y360" s="575"/>
      <c r="Z360" s="809"/>
      <c r="AA360" s="575"/>
      <c r="AB360" s="575"/>
      <c r="AC360" s="575"/>
      <c r="AD360" s="575"/>
      <c r="AE360" s="827"/>
      <c r="AF360" s="575"/>
      <c r="AG360" s="960"/>
      <c r="AH360" s="842"/>
      <c r="AI360" s="738">
        <f t="shared" si="16"/>
        <v>0</v>
      </c>
      <c r="AJ360" s="949">
        <v>0</v>
      </c>
      <c r="AK360" s="581">
        <f t="shared" si="17"/>
        <v>0</v>
      </c>
      <c r="AL360" s="750"/>
      <c r="AM360" s="743">
        <f t="shared" si="18"/>
        <v>0</v>
      </c>
    </row>
    <row r="361" spans="1:39" s="560" customFormat="1">
      <c r="A361" s="607" t="s">
        <v>467</v>
      </c>
      <c r="B361" s="607" t="s">
        <v>1244</v>
      </c>
      <c r="C361" s="690"/>
      <c r="D361" s="580"/>
      <c r="E361" s="778"/>
      <c r="F361" s="581"/>
      <c r="G361" s="581"/>
      <c r="H361" s="581"/>
      <c r="I361" s="949"/>
      <c r="J361" s="949"/>
      <c r="K361" s="949"/>
      <c r="L361" s="809"/>
      <c r="M361" s="575"/>
      <c r="N361" s="575"/>
      <c r="O361" s="575"/>
      <c r="P361" s="575"/>
      <c r="Q361" s="575"/>
      <c r="R361" s="575"/>
      <c r="S361" s="809"/>
      <c r="T361" s="575"/>
      <c r="U361" s="575"/>
      <c r="V361" s="575"/>
      <c r="W361" s="575"/>
      <c r="X361" s="575"/>
      <c r="Y361" s="575"/>
      <c r="Z361" s="809"/>
      <c r="AA361" s="575"/>
      <c r="AB361" s="575"/>
      <c r="AC361" s="575"/>
      <c r="AD361" s="575"/>
      <c r="AE361" s="827"/>
      <c r="AF361" s="575"/>
      <c r="AG361" s="960"/>
      <c r="AH361" s="842"/>
      <c r="AI361" s="738">
        <f t="shared" si="16"/>
        <v>0</v>
      </c>
      <c r="AJ361" s="949">
        <v>0</v>
      </c>
      <c r="AK361" s="581">
        <f t="shared" si="17"/>
        <v>0</v>
      </c>
      <c r="AL361" s="750" t="s">
        <v>1621</v>
      </c>
      <c r="AM361" s="743">
        <f t="shared" si="18"/>
        <v>15.8</v>
      </c>
    </row>
    <row r="362" spans="1:39" s="560" customFormat="1">
      <c r="A362" s="604" t="s">
        <v>843</v>
      </c>
      <c r="B362" s="604" t="s">
        <v>1245</v>
      </c>
      <c r="C362" s="614" t="s">
        <v>36</v>
      </c>
      <c r="D362" s="580"/>
      <c r="E362" s="778"/>
      <c r="F362" s="581"/>
      <c r="G362" s="581"/>
      <c r="H362" s="581"/>
      <c r="I362" s="949"/>
      <c r="J362" s="949"/>
      <c r="K362" s="949"/>
      <c r="L362" s="809"/>
      <c r="M362" s="575"/>
      <c r="N362" s="575"/>
      <c r="O362" s="575"/>
      <c r="P362" s="575"/>
      <c r="Q362" s="575"/>
      <c r="R362" s="575"/>
      <c r="S362" s="809"/>
      <c r="T362" s="575"/>
      <c r="U362" s="575"/>
      <c r="V362" s="575"/>
      <c r="W362" s="575"/>
      <c r="X362" s="575"/>
      <c r="Y362" s="575"/>
      <c r="Z362" s="809"/>
      <c r="AA362" s="575"/>
      <c r="AB362" s="575"/>
      <c r="AC362" s="575"/>
      <c r="AD362" s="575"/>
      <c r="AE362" s="827"/>
      <c r="AF362" s="575"/>
      <c r="AG362" s="960"/>
      <c r="AH362" s="842"/>
      <c r="AI362" s="738">
        <f t="shared" si="16"/>
        <v>0</v>
      </c>
      <c r="AJ362" s="949">
        <v>0</v>
      </c>
      <c r="AK362" s="581">
        <f t="shared" si="17"/>
        <v>0</v>
      </c>
      <c r="AL362" s="750" t="s">
        <v>1647</v>
      </c>
      <c r="AM362" s="743">
        <f t="shared" si="18"/>
        <v>29.4</v>
      </c>
    </row>
    <row r="363" spans="1:39" s="560" customFormat="1">
      <c r="A363" s="604" t="s">
        <v>844</v>
      </c>
      <c r="B363" s="604" t="s">
        <v>1272</v>
      </c>
      <c r="C363" s="614" t="s">
        <v>36</v>
      </c>
      <c r="D363" s="580"/>
      <c r="E363" s="778"/>
      <c r="F363" s="581"/>
      <c r="G363" s="581"/>
      <c r="H363" s="581"/>
      <c r="I363" s="949"/>
      <c r="J363" s="949"/>
      <c r="K363" s="949"/>
      <c r="L363" s="809"/>
      <c r="M363" s="575"/>
      <c r="N363" s="575"/>
      <c r="O363" s="575"/>
      <c r="P363" s="575"/>
      <c r="Q363" s="575"/>
      <c r="R363" s="575"/>
      <c r="S363" s="809"/>
      <c r="T363" s="575"/>
      <c r="U363" s="575"/>
      <c r="V363" s="575"/>
      <c r="W363" s="575"/>
      <c r="X363" s="575"/>
      <c r="Y363" s="575"/>
      <c r="Z363" s="809"/>
      <c r="AA363" s="575"/>
      <c r="AB363" s="575"/>
      <c r="AC363" s="575"/>
      <c r="AD363" s="575"/>
      <c r="AE363" s="827"/>
      <c r="AF363" s="575"/>
      <c r="AG363" s="960"/>
      <c r="AH363" s="842"/>
      <c r="AI363" s="738">
        <f t="shared" ref="AI363:AI426" si="19">ROUND((SUM(D363:L363)),2)</f>
        <v>0</v>
      </c>
      <c r="AJ363" s="949">
        <v>0</v>
      </c>
      <c r="AK363" s="581">
        <f t="shared" si="17"/>
        <v>0</v>
      </c>
      <c r="AL363" s="750" t="s">
        <v>1648</v>
      </c>
      <c r="AM363" s="743">
        <f t="shared" si="18"/>
        <v>9.6</v>
      </c>
    </row>
    <row r="364" spans="1:39" s="560" customFormat="1">
      <c r="A364" s="604" t="s">
        <v>845</v>
      </c>
      <c r="B364" s="604" t="s">
        <v>1247</v>
      </c>
      <c r="C364" s="614" t="s">
        <v>37</v>
      </c>
      <c r="D364" s="580"/>
      <c r="E364" s="778"/>
      <c r="F364" s="581"/>
      <c r="G364" s="581"/>
      <c r="H364" s="581"/>
      <c r="I364" s="949"/>
      <c r="J364" s="949"/>
      <c r="K364" s="949"/>
      <c r="L364" s="809"/>
      <c r="M364" s="575"/>
      <c r="N364" s="575"/>
      <c r="O364" s="575"/>
      <c r="P364" s="575"/>
      <c r="Q364" s="575"/>
      <c r="R364" s="575"/>
      <c r="S364" s="809"/>
      <c r="T364" s="575"/>
      <c r="U364" s="575"/>
      <c r="V364" s="575"/>
      <c r="W364" s="575"/>
      <c r="X364" s="575"/>
      <c r="Y364" s="575"/>
      <c r="Z364" s="809"/>
      <c r="AA364" s="575"/>
      <c r="AB364" s="575"/>
      <c r="AC364" s="575"/>
      <c r="AD364" s="575"/>
      <c r="AE364" s="827"/>
      <c r="AF364" s="575"/>
      <c r="AG364" s="960"/>
      <c r="AH364" s="842"/>
      <c r="AI364" s="738">
        <f t="shared" si="19"/>
        <v>0</v>
      </c>
      <c r="AJ364" s="949">
        <v>0</v>
      </c>
      <c r="AK364" s="581">
        <f t="shared" si="17"/>
        <v>0</v>
      </c>
      <c r="AL364" s="750" t="s">
        <v>1649</v>
      </c>
      <c r="AM364" s="743">
        <f t="shared" si="18"/>
        <v>23.08</v>
      </c>
    </row>
    <row r="365" spans="1:39" s="560" customFormat="1">
      <c r="A365" s="604" t="s">
        <v>846</v>
      </c>
      <c r="B365" s="604" t="s">
        <v>1273</v>
      </c>
      <c r="C365" s="614" t="s">
        <v>37</v>
      </c>
      <c r="D365" s="580"/>
      <c r="E365" s="778"/>
      <c r="F365" s="581"/>
      <c r="G365" s="581"/>
      <c r="H365" s="581"/>
      <c r="I365" s="949"/>
      <c r="J365" s="949"/>
      <c r="K365" s="949"/>
      <c r="L365" s="809"/>
      <c r="M365" s="575"/>
      <c r="N365" s="575"/>
      <c r="O365" s="575"/>
      <c r="P365" s="575"/>
      <c r="Q365" s="575"/>
      <c r="R365" s="575"/>
      <c r="S365" s="809"/>
      <c r="T365" s="575"/>
      <c r="U365" s="575"/>
      <c r="V365" s="575"/>
      <c r="W365" s="575"/>
      <c r="X365" s="575"/>
      <c r="Y365" s="575"/>
      <c r="Z365" s="809"/>
      <c r="AA365" s="575"/>
      <c r="AB365" s="575"/>
      <c r="AC365" s="575"/>
      <c r="AD365" s="575"/>
      <c r="AE365" s="827"/>
      <c r="AF365" s="575"/>
      <c r="AG365" s="960"/>
      <c r="AH365" s="842"/>
      <c r="AI365" s="738">
        <f t="shared" si="19"/>
        <v>0</v>
      </c>
      <c r="AJ365" s="949">
        <v>0</v>
      </c>
      <c r="AK365" s="581">
        <f t="shared" si="17"/>
        <v>0</v>
      </c>
      <c r="AL365" s="750"/>
      <c r="AM365" s="743">
        <f t="shared" si="18"/>
        <v>0</v>
      </c>
    </row>
    <row r="366" spans="1:39" s="560" customFormat="1">
      <c r="A366" s="607" t="s">
        <v>468</v>
      </c>
      <c r="B366" s="607" t="s">
        <v>1184</v>
      </c>
      <c r="C366" s="690"/>
      <c r="D366" s="580"/>
      <c r="E366" s="778"/>
      <c r="F366" s="581"/>
      <c r="G366" s="581"/>
      <c r="H366" s="581"/>
      <c r="I366" s="949"/>
      <c r="J366" s="949"/>
      <c r="K366" s="949"/>
      <c r="L366" s="809"/>
      <c r="M366" s="575"/>
      <c r="N366" s="575"/>
      <c r="O366" s="575"/>
      <c r="P366" s="575"/>
      <c r="Q366" s="575"/>
      <c r="R366" s="575"/>
      <c r="S366" s="809"/>
      <c r="T366" s="575"/>
      <c r="U366" s="575"/>
      <c r="V366" s="575"/>
      <c r="W366" s="575"/>
      <c r="X366" s="575"/>
      <c r="Y366" s="575"/>
      <c r="Z366" s="809"/>
      <c r="AA366" s="575"/>
      <c r="AB366" s="575"/>
      <c r="AC366" s="575"/>
      <c r="AD366" s="575"/>
      <c r="AE366" s="827"/>
      <c r="AF366" s="575"/>
      <c r="AG366" s="960"/>
      <c r="AH366" s="842"/>
      <c r="AI366" s="738">
        <f t="shared" si="19"/>
        <v>0</v>
      </c>
      <c r="AJ366" s="949">
        <v>0</v>
      </c>
      <c r="AK366" s="581">
        <f t="shared" si="17"/>
        <v>0</v>
      </c>
      <c r="AL366" s="750" t="s">
        <v>1650</v>
      </c>
      <c r="AM366" s="743">
        <f t="shared" si="18"/>
        <v>48.24</v>
      </c>
    </row>
    <row r="367" spans="1:39" s="560" customFormat="1">
      <c r="A367" s="604" t="s">
        <v>847</v>
      </c>
      <c r="B367" s="604" t="s">
        <v>1248</v>
      </c>
      <c r="C367" s="614" t="s">
        <v>36</v>
      </c>
      <c r="D367" s="580"/>
      <c r="E367" s="778"/>
      <c r="F367" s="581"/>
      <c r="G367" s="581"/>
      <c r="H367" s="581"/>
      <c r="I367" s="949"/>
      <c r="J367" s="949"/>
      <c r="K367" s="949"/>
      <c r="L367" s="809"/>
      <c r="M367" s="575"/>
      <c r="N367" s="575"/>
      <c r="O367" s="575"/>
      <c r="P367" s="575"/>
      <c r="Q367" s="575"/>
      <c r="R367" s="575"/>
      <c r="S367" s="809"/>
      <c r="T367" s="575"/>
      <c r="U367" s="575"/>
      <c r="V367" s="575"/>
      <c r="W367" s="575"/>
      <c r="X367" s="575"/>
      <c r="Y367" s="575"/>
      <c r="Z367" s="809"/>
      <c r="AA367" s="575"/>
      <c r="AB367" s="575"/>
      <c r="AC367" s="575"/>
      <c r="AD367" s="575"/>
      <c r="AE367" s="827"/>
      <c r="AF367" s="575"/>
      <c r="AG367" s="960"/>
      <c r="AH367" s="842"/>
      <c r="AI367" s="738">
        <f t="shared" si="19"/>
        <v>0</v>
      </c>
      <c r="AJ367" s="949">
        <v>0</v>
      </c>
      <c r="AK367" s="581">
        <f t="shared" si="17"/>
        <v>0</v>
      </c>
      <c r="AL367" s="750" t="s">
        <v>1651</v>
      </c>
      <c r="AM367" s="743">
        <f t="shared" si="18"/>
        <v>34.880000000000003</v>
      </c>
    </row>
    <row r="368" spans="1:39" s="560" customFormat="1">
      <c r="A368" s="604" t="s">
        <v>848</v>
      </c>
      <c r="B368" s="604" t="s">
        <v>1249</v>
      </c>
      <c r="C368" s="614" t="s">
        <v>37</v>
      </c>
      <c r="D368" s="580"/>
      <c r="E368" s="778"/>
      <c r="F368" s="581"/>
      <c r="G368" s="581"/>
      <c r="H368" s="581"/>
      <c r="I368" s="949"/>
      <c r="J368" s="949"/>
      <c r="K368" s="949"/>
      <c r="L368" s="809"/>
      <c r="M368" s="575"/>
      <c r="N368" s="575"/>
      <c r="O368" s="575"/>
      <c r="P368" s="575"/>
      <c r="Q368" s="575"/>
      <c r="R368" s="575"/>
      <c r="S368" s="809"/>
      <c r="T368" s="575"/>
      <c r="U368" s="575"/>
      <c r="V368" s="575"/>
      <c r="W368" s="575"/>
      <c r="X368" s="575"/>
      <c r="Y368" s="575"/>
      <c r="Z368" s="809"/>
      <c r="AA368" s="575"/>
      <c r="AB368" s="575"/>
      <c r="AC368" s="575"/>
      <c r="AD368" s="575"/>
      <c r="AE368" s="827"/>
      <c r="AF368" s="575"/>
      <c r="AG368" s="960"/>
      <c r="AH368" s="842"/>
      <c r="AI368" s="738">
        <f t="shared" si="19"/>
        <v>0</v>
      </c>
      <c r="AJ368" s="949">
        <v>0</v>
      </c>
      <c r="AK368" s="581">
        <f t="shared" si="17"/>
        <v>0</v>
      </c>
      <c r="AL368" s="750" t="s">
        <v>1652</v>
      </c>
      <c r="AM368" s="743">
        <f t="shared" si="18"/>
        <v>22.97</v>
      </c>
    </row>
    <row r="369" spans="1:39" s="560" customFormat="1">
      <c r="A369" s="604" t="s">
        <v>849</v>
      </c>
      <c r="B369" s="604" t="s">
        <v>1274</v>
      </c>
      <c r="C369" s="614" t="s">
        <v>36</v>
      </c>
      <c r="D369" s="580"/>
      <c r="E369" s="778"/>
      <c r="F369" s="581"/>
      <c r="G369" s="581"/>
      <c r="H369" s="581"/>
      <c r="I369" s="949"/>
      <c r="J369" s="949"/>
      <c r="K369" s="949"/>
      <c r="L369" s="809"/>
      <c r="M369" s="575"/>
      <c r="N369" s="575"/>
      <c r="O369" s="575"/>
      <c r="P369" s="575"/>
      <c r="Q369" s="575"/>
      <c r="R369" s="575"/>
      <c r="S369" s="809"/>
      <c r="T369" s="575"/>
      <c r="U369" s="575"/>
      <c r="V369" s="575"/>
      <c r="W369" s="575"/>
      <c r="X369" s="575"/>
      <c r="Y369" s="575"/>
      <c r="Z369" s="809"/>
      <c r="AA369" s="575"/>
      <c r="AB369" s="575"/>
      <c r="AC369" s="575"/>
      <c r="AD369" s="575"/>
      <c r="AE369" s="827"/>
      <c r="AF369" s="575"/>
      <c r="AG369" s="960"/>
      <c r="AH369" s="842"/>
      <c r="AI369" s="738">
        <f t="shared" si="19"/>
        <v>0</v>
      </c>
      <c r="AJ369" s="949">
        <v>0</v>
      </c>
      <c r="AK369" s="581">
        <f t="shared" si="17"/>
        <v>0</v>
      </c>
      <c r="AL369" s="750"/>
      <c r="AM369" s="743">
        <f t="shared" si="18"/>
        <v>0</v>
      </c>
    </row>
    <row r="370" spans="1:39" s="560" customFormat="1">
      <c r="A370" s="607" t="s">
        <v>469</v>
      </c>
      <c r="B370" s="607" t="s">
        <v>1250</v>
      </c>
      <c r="C370" s="614"/>
      <c r="D370" s="580"/>
      <c r="E370" s="778"/>
      <c r="F370" s="581"/>
      <c r="G370" s="581"/>
      <c r="H370" s="581"/>
      <c r="I370" s="949"/>
      <c r="J370" s="949"/>
      <c r="K370" s="949"/>
      <c r="L370" s="809"/>
      <c r="M370" s="575"/>
      <c r="N370" s="575"/>
      <c r="O370" s="575"/>
      <c r="P370" s="575"/>
      <c r="Q370" s="575"/>
      <c r="R370" s="575"/>
      <c r="S370" s="809"/>
      <c r="T370" s="575"/>
      <c r="U370" s="575"/>
      <c r="V370" s="575"/>
      <c r="W370" s="575"/>
      <c r="X370" s="575"/>
      <c r="Y370" s="575"/>
      <c r="Z370" s="809"/>
      <c r="AA370" s="575"/>
      <c r="AB370" s="575"/>
      <c r="AC370" s="575"/>
      <c r="AD370" s="575"/>
      <c r="AE370" s="827"/>
      <c r="AF370" s="575"/>
      <c r="AG370" s="960"/>
      <c r="AH370" s="842"/>
      <c r="AI370" s="738">
        <f t="shared" si="19"/>
        <v>0</v>
      </c>
      <c r="AJ370" s="949">
        <v>0</v>
      </c>
      <c r="AK370" s="581">
        <f t="shared" si="17"/>
        <v>0</v>
      </c>
      <c r="AL370" s="750" t="s">
        <v>1653</v>
      </c>
      <c r="AM370" s="743">
        <f t="shared" si="18"/>
        <v>5.88</v>
      </c>
    </row>
    <row r="371" spans="1:39" s="560" customFormat="1">
      <c r="A371" s="604" t="s">
        <v>850</v>
      </c>
      <c r="B371" s="604" t="s">
        <v>1275</v>
      </c>
      <c r="C371" s="614" t="s">
        <v>36</v>
      </c>
      <c r="D371" s="580"/>
      <c r="E371" s="778"/>
      <c r="F371" s="581"/>
      <c r="G371" s="581"/>
      <c r="H371" s="581"/>
      <c r="I371" s="949"/>
      <c r="J371" s="949"/>
      <c r="K371" s="949"/>
      <c r="L371" s="809"/>
      <c r="M371" s="575"/>
      <c r="N371" s="575"/>
      <c r="O371" s="575"/>
      <c r="P371" s="575"/>
      <c r="Q371" s="575"/>
      <c r="R371" s="575"/>
      <c r="S371" s="809"/>
      <c r="T371" s="575"/>
      <c r="U371" s="575"/>
      <c r="V371" s="575"/>
      <c r="W371" s="575"/>
      <c r="X371" s="575"/>
      <c r="Y371" s="575"/>
      <c r="Z371" s="809"/>
      <c r="AA371" s="575"/>
      <c r="AB371" s="575"/>
      <c r="AC371" s="575"/>
      <c r="AD371" s="575"/>
      <c r="AE371" s="827"/>
      <c r="AF371" s="575"/>
      <c r="AG371" s="960"/>
      <c r="AH371" s="842"/>
      <c r="AI371" s="738">
        <f t="shared" si="19"/>
        <v>0</v>
      </c>
      <c r="AJ371" s="949">
        <v>0</v>
      </c>
      <c r="AK371" s="581">
        <f t="shared" si="17"/>
        <v>0</v>
      </c>
      <c r="AL371" s="750" t="s">
        <v>1654</v>
      </c>
      <c r="AM371" s="743">
        <f t="shared" si="18"/>
        <v>1.68</v>
      </c>
    </row>
    <row r="372" spans="1:39" s="560" customFormat="1">
      <c r="A372" s="604" t="s">
        <v>851</v>
      </c>
      <c r="B372" s="604" t="s">
        <v>1276</v>
      </c>
      <c r="C372" s="614" t="s">
        <v>36</v>
      </c>
      <c r="D372" s="580"/>
      <c r="E372" s="778"/>
      <c r="F372" s="581"/>
      <c r="G372" s="581"/>
      <c r="H372" s="581"/>
      <c r="I372" s="949"/>
      <c r="J372" s="949"/>
      <c r="K372" s="949"/>
      <c r="L372" s="809"/>
      <c r="M372" s="575"/>
      <c r="N372" s="575"/>
      <c r="O372" s="575"/>
      <c r="P372" s="575"/>
      <c r="Q372" s="575"/>
      <c r="R372" s="575"/>
      <c r="S372" s="809"/>
      <c r="T372" s="575"/>
      <c r="U372" s="575"/>
      <c r="V372" s="575"/>
      <c r="W372" s="575"/>
      <c r="X372" s="575"/>
      <c r="Y372" s="575"/>
      <c r="Z372" s="809"/>
      <c r="AA372" s="575"/>
      <c r="AB372" s="575"/>
      <c r="AC372" s="575"/>
      <c r="AD372" s="575"/>
      <c r="AE372" s="827"/>
      <c r="AF372" s="575"/>
      <c r="AG372" s="960"/>
      <c r="AH372" s="842"/>
      <c r="AI372" s="738">
        <f t="shared" si="19"/>
        <v>0</v>
      </c>
      <c r="AJ372" s="949">
        <v>0</v>
      </c>
      <c r="AK372" s="581">
        <f t="shared" si="17"/>
        <v>0</v>
      </c>
      <c r="AL372" s="750"/>
      <c r="AM372" s="743">
        <f t="shared" si="18"/>
        <v>0</v>
      </c>
    </row>
    <row r="373" spans="1:39" s="560" customFormat="1">
      <c r="A373" s="607" t="s">
        <v>852</v>
      </c>
      <c r="B373" s="607" t="s">
        <v>1277</v>
      </c>
      <c r="C373" s="690"/>
      <c r="D373" s="580"/>
      <c r="E373" s="778"/>
      <c r="F373" s="581"/>
      <c r="G373" s="581"/>
      <c r="H373" s="581"/>
      <c r="I373" s="949"/>
      <c r="J373" s="949"/>
      <c r="K373" s="949"/>
      <c r="L373" s="809"/>
      <c r="M373" s="575"/>
      <c r="N373" s="575"/>
      <c r="O373" s="575"/>
      <c r="P373" s="575"/>
      <c r="Q373" s="575"/>
      <c r="R373" s="575"/>
      <c r="S373" s="809"/>
      <c r="T373" s="575"/>
      <c r="U373" s="575"/>
      <c r="V373" s="575"/>
      <c r="W373" s="575"/>
      <c r="X373" s="575"/>
      <c r="Y373" s="575"/>
      <c r="Z373" s="809"/>
      <c r="AA373" s="575"/>
      <c r="AB373" s="575"/>
      <c r="AC373" s="575"/>
      <c r="AD373" s="575"/>
      <c r="AE373" s="827"/>
      <c r="AF373" s="575"/>
      <c r="AG373" s="960"/>
      <c r="AH373" s="842"/>
      <c r="AI373" s="738">
        <f t="shared" si="19"/>
        <v>0</v>
      </c>
      <c r="AJ373" s="949">
        <v>0</v>
      </c>
      <c r="AK373" s="581">
        <f t="shared" si="17"/>
        <v>0</v>
      </c>
      <c r="AL373" s="750" t="s">
        <v>1655</v>
      </c>
      <c r="AM373" s="743">
        <f t="shared" si="18"/>
        <v>9.24</v>
      </c>
    </row>
    <row r="374" spans="1:39" s="560" customFormat="1">
      <c r="A374" s="604" t="s">
        <v>853</v>
      </c>
      <c r="B374" s="604" t="s">
        <v>1278</v>
      </c>
      <c r="C374" s="614" t="s">
        <v>36</v>
      </c>
      <c r="D374" s="580"/>
      <c r="E374" s="778"/>
      <c r="F374" s="581"/>
      <c r="G374" s="581"/>
      <c r="H374" s="581"/>
      <c r="I374" s="949"/>
      <c r="J374" s="949"/>
      <c r="K374" s="949"/>
      <c r="L374" s="809"/>
      <c r="M374" s="575"/>
      <c r="N374" s="575"/>
      <c r="O374" s="575"/>
      <c r="P374" s="575"/>
      <c r="Q374" s="575"/>
      <c r="R374" s="575"/>
      <c r="S374" s="809"/>
      <c r="T374" s="575"/>
      <c r="U374" s="575"/>
      <c r="V374" s="575"/>
      <c r="W374" s="575"/>
      <c r="X374" s="575"/>
      <c r="Y374" s="575"/>
      <c r="Z374" s="809"/>
      <c r="AA374" s="575"/>
      <c r="AB374" s="575"/>
      <c r="AC374" s="575"/>
      <c r="AD374" s="575"/>
      <c r="AE374" s="827"/>
      <c r="AF374" s="575"/>
      <c r="AG374" s="960"/>
      <c r="AH374" s="842"/>
      <c r="AI374" s="738">
        <f t="shared" si="19"/>
        <v>0</v>
      </c>
      <c r="AJ374" s="949">
        <v>0</v>
      </c>
      <c r="AK374" s="581">
        <f t="shared" si="17"/>
        <v>0</v>
      </c>
      <c r="AL374" s="750"/>
      <c r="AM374" s="743">
        <f t="shared" si="18"/>
        <v>0</v>
      </c>
    </row>
    <row r="375" spans="1:39" s="560" customFormat="1">
      <c r="A375" s="607" t="s">
        <v>854</v>
      </c>
      <c r="B375" s="607" t="s">
        <v>1252</v>
      </c>
      <c r="C375" s="690"/>
      <c r="D375" s="580"/>
      <c r="E375" s="778"/>
      <c r="F375" s="581"/>
      <c r="G375" s="581"/>
      <c r="H375" s="581"/>
      <c r="I375" s="949"/>
      <c r="J375" s="949"/>
      <c r="K375" s="949"/>
      <c r="L375" s="809"/>
      <c r="M375" s="575"/>
      <c r="N375" s="575"/>
      <c r="O375" s="575"/>
      <c r="P375" s="575"/>
      <c r="Q375" s="575"/>
      <c r="R375" s="575"/>
      <c r="S375" s="809"/>
      <c r="T375" s="575"/>
      <c r="U375" s="575"/>
      <c r="V375" s="575"/>
      <c r="W375" s="575"/>
      <c r="X375" s="575"/>
      <c r="Y375" s="575"/>
      <c r="Z375" s="809"/>
      <c r="AA375" s="575"/>
      <c r="AB375" s="575"/>
      <c r="AC375" s="575"/>
      <c r="AD375" s="575"/>
      <c r="AE375" s="827"/>
      <c r="AF375" s="575"/>
      <c r="AG375" s="960"/>
      <c r="AH375" s="842"/>
      <c r="AI375" s="738">
        <f t="shared" si="19"/>
        <v>0</v>
      </c>
      <c r="AJ375" s="949">
        <v>0</v>
      </c>
      <c r="AK375" s="581">
        <f t="shared" si="17"/>
        <v>0</v>
      </c>
      <c r="AL375" s="750" t="s">
        <v>1656</v>
      </c>
      <c r="AM375" s="743">
        <f t="shared" si="18"/>
        <v>20</v>
      </c>
    </row>
    <row r="376" spans="1:39" s="560" customFormat="1">
      <c r="A376" s="604" t="s">
        <v>855</v>
      </c>
      <c r="B376" s="604" t="s">
        <v>1253</v>
      </c>
      <c r="C376" s="614" t="s">
        <v>1437</v>
      </c>
      <c r="D376" s="580"/>
      <c r="E376" s="778"/>
      <c r="F376" s="581"/>
      <c r="G376" s="581"/>
      <c r="H376" s="581"/>
      <c r="I376" s="949"/>
      <c r="J376" s="949"/>
      <c r="K376" s="949"/>
      <c r="L376" s="809"/>
      <c r="M376" s="575"/>
      <c r="N376" s="575"/>
      <c r="O376" s="575"/>
      <c r="P376" s="575"/>
      <c r="Q376" s="575"/>
      <c r="R376" s="575"/>
      <c r="S376" s="809"/>
      <c r="T376" s="575"/>
      <c r="U376" s="575"/>
      <c r="V376" s="575"/>
      <c r="W376" s="575"/>
      <c r="X376" s="575"/>
      <c r="Y376" s="575"/>
      <c r="Z376" s="809"/>
      <c r="AA376" s="575"/>
      <c r="AB376" s="575"/>
      <c r="AC376" s="575"/>
      <c r="AD376" s="575"/>
      <c r="AE376" s="827"/>
      <c r="AF376" s="575"/>
      <c r="AG376" s="960"/>
      <c r="AH376" s="842"/>
      <c r="AI376" s="738">
        <f t="shared" si="19"/>
        <v>0</v>
      </c>
      <c r="AJ376" s="949">
        <v>0</v>
      </c>
      <c r="AK376" s="581">
        <f t="shared" si="17"/>
        <v>0</v>
      </c>
      <c r="AL376" s="750" t="s">
        <v>1657</v>
      </c>
      <c r="AM376" s="743">
        <f t="shared" si="18"/>
        <v>4</v>
      </c>
    </row>
    <row r="377" spans="1:39" s="560" customFormat="1">
      <c r="A377" s="604" t="s">
        <v>856</v>
      </c>
      <c r="B377" s="604" t="s">
        <v>1254</v>
      </c>
      <c r="C377" s="614" t="s">
        <v>35</v>
      </c>
      <c r="D377" s="580"/>
      <c r="E377" s="778"/>
      <c r="F377" s="581"/>
      <c r="G377" s="581"/>
      <c r="H377" s="581"/>
      <c r="I377" s="949"/>
      <c r="J377" s="949"/>
      <c r="K377" s="949"/>
      <c r="L377" s="809"/>
      <c r="M377" s="575"/>
      <c r="N377" s="575"/>
      <c r="O377" s="575"/>
      <c r="P377" s="575"/>
      <c r="Q377" s="575"/>
      <c r="R377" s="575"/>
      <c r="S377" s="809"/>
      <c r="T377" s="575"/>
      <c r="U377" s="575"/>
      <c r="V377" s="575"/>
      <c r="W377" s="575"/>
      <c r="X377" s="575"/>
      <c r="Y377" s="575"/>
      <c r="Z377" s="809"/>
      <c r="AA377" s="575"/>
      <c r="AB377" s="575"/>
      <c r="AC377" s="575"/>
      <c r="AD377" s="575"/>
      <c r="AE377" s="827"/>
      <c r="AF377" s="575"/>
      <c r="AG377" s="960"/>
      <c r="AH377" s="842"/>
      <c r="AI377" s="738">
        <f t="shared" si="19"/>
        <v>0</v>
      </c>
      <c r="AJ377" s="949">
        <v>0</v>
      </c>
      <c r="AK377" s="581">
        <f t="shared" si="17"/>
        <v>0</v>
      </c>
      <c r="AL377" s="750" t="s">
        <v>1657</v>
      </c>
      <c r="AM377" s="743">
        <f t="shared" si="18"/>
        <v>4</v>
      </c>
    </row>
    <row r="378" spans="1:39" s="560" customFormat="1">
      <c r="A378" s="604" t="s">
        <v>857</v>
      </c>
      <c r="B378" s="604" t="s">
        <v>1279</v>
      </c>
      <c r="C378" s="614" t="s">
        <v>1437</v>
      </c>
      <c r="D378" s="580"/>
      <c r="E378" s="778"/>
      <c r="F378" s="581"/>
      <c r="G378" s="581"/>
      <c r="H378" s="581"/>
      <c r="I378" s="949"/>
      <c r="J378" s="949"/>
      <c r="K378" s="949"/>
      <c r="L378" s="809"/>
      <c r="M378" s="575"/>
      <c r="N378" s="575"/>
      <c r="O378" s="575"/>
      <c r="P378" s="575"/>
      <c r="Q378" s="575"/>
      <c r="R378" s="575"/>
      <c r="S378" s="809"/>
      <c r="T378" s="575"/>
      <c r="U378" s="575"/>
      <c r="V378" s="575"/>
      <c r="W378" s="575"/>
      <c r="X378" s="575"/>
      <c r="Y378" s="575"/>
      <c r="Z378" s="809"/>
      <c r="AA378" s="575"/>
      <c r="AB378" s="575"/>
      <c r="AC378" s="575"/>
      <c r="AD378" s="575"/>
      <c r="AE378" s="827"/>
      <c r="AF378" s="575"/>
      <c r="AG378" s="960"/>
      <c r="AH378" s="842"/>
      <c r="AI378" s="738">
        <f t="shared" si="19"/>
        <v>0</v>
      </c>
      <c r="AJ378" s="949">
        <v>0</v>
      </c>
      <c r="AK378" s="581">
        <f t="shared" si="17"/>
        <v>0</v>
      </c>
      <c r="AL378" s="750"/>
      <c r="AM378" s="743">
        <f t="shared" si="18"/>
        <v>0</v>
      </c>
    </row>
    <row r="379" spans="1:39" s="560" customFormat="1">
      <c r="A379" s="607" t="s">
        <v>858</v>
      </c>
      <c r="B379" s="607" t="s">
        <v>1255</v>
      </c>
      <c r="C379" s="690"/>
      <c r="D379" s="580"/>
      <c r="E379" s="778"/>
      <c r="F379" s="581"/>
      <c r="G379" s="581"/>
      <c r="H379" s="581"/>
      <c r="I379" s="949"/>
      <c r="J379" s="949"/>
      <c r="K379" s="949"/>
      <c r="L379" s="809"/>
      <c r="M379" s="575"/>
      <c r="N379" s="575"/>
      <c r="O379" s="575"/>
      <c r="P379" s="575"/>
      <c r="Q379" s="575"/>
      <c r="R379" s="575"/>
      <c r="S379" s="809"/>
      <c r="T379" s="575"/>
      <c r="U379" s="575"/>
      <c r="V379" s="575"/>
      <c r="W379" s="575"/>
      <c r="X379" s="575"/>
      <c r="Y379" s="575"/>
      <c r="Z379" s="809"/>
      <c r="AA379" s="575"/>
      <c r="AB379" s="575"/>
      <c r="AC379" s="575"/>
      <c r="AD379" s="575"/>
      <c r="AE379" s="827"/>
      <c r="AF379" s="575"/>
      <c r="AG379" s="960"/>
      <c r="AH379" s="842"/>
      <c r="AI379" s="738">
        <f t="shared" si="19"/>
        <v>0</v>
      </c>
      <c r="AJ379" s="949">
        <v>0</v>
      </c>
      <c r="AK379" s="581">
        <f t="shared" si="17"/>
        <v>0</v>
      </c>
      <c r="AL379" s="750" t="s">
        <v>1658</v>
      </c>
      <c r="AM379" s="743">
        <f t="shared" si="18"/>
        <v>18.09</v>
      </c>
    </row>
    <row r="380" spans="1:39" s="560" customFormat="1">
      <c r="A380" s="604" t="s">
        <v>859</v>
      </c>
      <c r="B380" s="604" t="s">
        <v>1256</v>
      </c>
      <c r="C380" s="614" t="s">
        <v>36</v>
      </c>
      <c r="D380" s="580"/>
      <c r="E380" s="778"/>
      <c r="F380" s="581"/>
      <c r="G380" s="581"/>
      <c r="H380" s="581"/>
      <c r="I380" s="949"/>
      <c r="J380" s="949"/>
      <c r="K380" s="949"/>
      <c r="L380" s="809"/>
      <c r="M380" s="575"/>
      <c r="N380" s="575"/>
      <c r="O380" s="575"/>
      <c r="P380" s="575"/>
      <c r="Q380" s="575"/>
      <c r="R380" s="575"/>
      <c r="S380" s="809"/>
      <c r="T380" s="575"/>
      <c r="U380" s="575"/>
      <c r="V380" s="575"/>
      <c r="W380" s="575"/>
      <c r="X380" s="575"/>
      <c r="Y380" s="575"/>
      <c r="Z380" s="809"/>
      <c r="AA380" s="575"/>
      <c r="AB380" s="575"/>
      <c r="AC380" s="575"/>
      <c r="AD380" s="575"/>
      <c r="AE380" s="827"/>
      <c r="AF380" s="575"/>
      <c r="AG380" s="960"/>
      <c r="AH380" s="842"/>
      <c r="AI380" s="738">
        <f t="shared" si="19"/>
        <v>0</v>
      </c>
      <c r="AJ380" s="949">
        <v>0</v>
      </c>
      <c r="AK380" s="581">
        <f t="shared" si="17"/>
        <v>0</v>
      </c>
      <c r="AL380" s="750" t="s">
        <v>1659</v>
      </c>
      <c r="AM380" s="743">
        <f t="shared" si="18"/>
        <v>1.75</v>
      </c>
    </row>
    <row r="381" spans="1:39" s="560" customFormat="1">
      <c r="A381" s="604" t="s">
        <v>860</v>
      </c>
      <c r="B381" s="604" t="s">
        <v>1257</v>
      </c>
      <c r="C381" s="614" t="s">
        <v>36</v>
      </c>
      <c r="D381" s="580"/>
      <c r="E381" s="778"/>
      <c r="F381" s="581"/>
      <c r="G381" s="581"/>
      <c r="H381" s="581"/>
      <c r="I381" s="949"/>
      <c r="J381" s="949"/>
      <c r="K381" s="949"/>
      <c r="L381" s="809"/>
      <c r="M381" s="575"/>
      <c r="N381" s="575"/>
      <c r="O381" s="575"/>
      <c r="P381" s="575"/>
      <c r="Q381" s="575"/>
      <c r="R381" s="575"/>
      <c r="S381" s="809"/>
      <c r="T381" s="575"/>
      <c r="U381" s="575"/>
      <c r="V381" s="575"/>
      <c r="W381" s="575"/>
      <c r="X381" s="575"/>
      <c r="Y381" s="575"/>
      <c r="Z381" s="809"/>
      <c r="AA381" s="575"/>
      <c r="AB381" s="575"/>
      <c r="AC381" s="575"/>
      <c r="AD381" s="575"/>
      <c r="AE381" s="827"/>
      <c r="AF381" s="575"/>
      <c r="AG381" s="960"/>
      <c r="AH381" s="842"/>
      <c r="AI381" s="738">
        <f t="shared" si="19"/>
        <v>0</v>
      </c>
      <c r="AJ381" s="949">
        <v>0</v>
      </c>
      <c r="AK381" s="581">
        <f t="shared" si="17"/>
        <v>0</v>
      </c>
      <c r="AL381" s="750"/>
      <c r="AM381" s="743">
        <f t="shared" si="18"/>
        <v>0</v>
      </c>
    </row>
    <row r="382" spans="1:39" s="560" customFormat="1">
      <c r="A382" s="607" t="s">
        <v>861</v>
      </c>
      <c r="B382" s="607" t="s">
        <v>1258</v>
      </c>
      <c r="C382" s="690"/>
      <c r="D382" s="580"/>
      <c r="E382" s="778"/>
      <c r="F382" s="581"/>
      <c r="G382" s="581"/>
      <c r="H382" s="581"/>
      <c r="I382" s="949"/>
      <c r="J382" s="949"/>
      <c r="K382" s="949"/>
      <c r="L382" s="809"/>
      <c r="M382" s="575"/>
      <c r="N382" s="575"/>
      <c r="O382" s="575"/>
      <c r="P382" s="575"/>
      <c r="Q382" s="575"/>
      <c r="R382" s="575"/>
      <c r="S382" s="809"/>
      <c r="T382" s="575"/>
      <c r="U382" s="575"/>
      <c r="V382" s="575"/>
      <c r="W382" s="575"/>
      <c r="X382" s="575"/>
      <c r="Y382" s="575"/>
      <c r="Z382" s="809"/>
      <c r="AA382" s="575"/>
      <c r="AB382" s="575"/>
      <c r="AC382" s="575"/>
      <c r="AD382" s="575"/>
      <c r="AE382" s="827"/>
      <c r="AF382" s="575"/>
      <c r="AG382" s="960"/>
      <c r="AH382" s="842"/>
      <c r="AI382" s="738">
        <f t="shared" si="19"/>
        <v>0</v>
      </c>
      <c r="AJ382" s="949">
        <v>0</v>
      </c>
      <c r="AK382" s="581">
        <f t="shared" si="17"/>
        <v>0</v>
      </c>
      <c r="AL382" s="750" t="s">
        <v>1641</v>
      </c>
      <c r="AM382" s="743">
        <f t="shared" si="18"/>
        <v>65.92</v>
      </c>
    </row>
    <row r="383" spans="1:39" s="560" customFormat="1">
      <c r="A383" s="604" t="s">
        <v>862</v>
      </c>
      <c r="B383" s="604" t="s">
        <v>1259</v>
      </c>
      <c r="C383" s="614" t="s">
        <v>36</v>
      </c>
      <c r="D383" s="580"/>
      <c r="E383" s="778"/>
      <c r="F383" s="581"/>
      <c r="G383" s="581"/>
      <c r="H383" s="581"/>
      <c r="I383" s="949"/>
      <c r="J383" s="949"/>
      <c r="K383" s="949"/>
      <c r="L383" s="809"/>
      <c r="M383" s="575"/>
      <c r="N383" s="575"/>
      <c r="O383" s="575"/>
      <c r="P383" s="575"/>
      <c r="Q383" s="575"/>
      <c r="R383" s="575"/>
      <c r="S383" s="809"/>
      <c r="T383" s="575"/>
      <c r="U383" s="575"/>
      <c r="V383" s="575"/>
      <c r="W383" s="575"/>
      <c r="X383" s="575"/>
      <c r="Y383" s="575"/>
      <c r="Z383" s="809"/>
      <c r="AA383" s="575"/>
      <c r="AB383" s="575"/>
      <c r="AC383" s="575"/>
      <c r="AD383" s="575"/>
      <c r="AE383" s="827"/>
      <c r="AF383" s="575"/>
      <c r="AG383" s="960"/>
      <c r="AH383" s="842"/>
      <c r="AI383" s="738">
        <f t="shared" si="19"/>
        <v>0</v>
      </c>
      <c r="AJ383" s="949">
        <v>0</v>
      </c>
      <c r="AK383" s="581">
        <f t="shared" si="17"/>
        <v>0</v>
      </c>
      <c r="AL383" s="750" t="s">
        <v>1634</v>
      </c>
      <c r="AM383" s="743">
        <f t="shared" si="18"/>
        <v>99.99</v>
      </c>
    </row>
    <row r="384" spans="1:39" s="560" customFormat="1">
      <c r="A384" s="604" t="s">
        <v>863</v>
      </c>
      <c r="B384" s="604" t="s">
        <v>1260</v>
      </c>
      <c r="C384" s="614" t="s">
        <v>36</v>
      </c>
      <c r="D384" s="580"/>
      <c r="E384" s="778"/>
      <c r="F384" s="581"/>
      <c r="G384" s="581"/>
      <c r="H384" s="581"/>
      <c r="I384" s="949"/>
      <c r="J384" s="949"/>
      <c r="K384" s="949"/>
      <c r="L384" s="809"/>
      <c r="M384" s="575"/>
      <c r="N384" s="575"/>
      <c r="O384" s="575"/>
      <c r="P384" s="575"/>
      <c r="Q384" s="575"/>
      <c r="R384" s="575"/>
      <c r="S384" s="809"/>
      <c r="T384" s="575"/>
      <c r="U384" s="575"/>
      <c r="V384" s="575"/>
      <c r="W384" s="575"/>
      <c r="X384" s="575"/>
      <c r="Y384" s="575"/>
      <c r="Z384" s="809"/>
      <c r="AA384" s="575"/>
      <c r="AB384" s="575"/>
      <c r="AC384" s="575"/>
      <c r="AD384" s="575"/>
      <c r="AE384" s="827"/>
      <c r="AF384" s="575"/>
      <c r="AG384" s="960"/>
      <c r="AH384" s="842"/>
      <c r="AI384" s="738">
        <f t="shared" si="19"/>
        <v>0</v>
      </c>
      <c r="AJ384" s="949">
        <v>0</v>
      </c>
      <c r="AK384" s="581">
        <f t="shared" si="17"/>
        <v>0</v>
      </c>
      <c r="AL384" s="750" t="s">
        <v>1635</v>
      </c>
      <c r="AM384" s="743">
        <f t="shared" si="18"/>
        <v>60.07</v>
      </c>
    </row>
    <row r="385" spans="1:39" s="560" customFormat="1">
      <c r="A385" s="604" t="s">
        <v>864</v>
      </c>
      <c r="B385" s="604" t="s">
        <v>1261</v>
      </c>
      <c r="C385" s="614" t="s">
        <v>36</v>
      </c>
      <c r="D385" s="580"/>
      <c r="E385" s="778"/>
      <c r="F385" s="581"/>
      <c r="G385" s="581"/>
      <c r="H385" s="581"/>
      <c r="I385" s="949"/>
      <c r="J385" s="949"/>
      <c r="K385" s="949"/>
      <c r="L385" s="809"/>
      <c r="M385" s="575"/>
      <c r="N385" s="575"/>
      <c r="O385" s="575"/>
      <c r="P385" s="575"/>
      <c r="Q385" s="575"/>
      <c r="R385" s="575"/>
      <c r="S385" s="809"/>
      <c r="T385" s="575"/>
      <c r="U385" s="575"/>
      <c r="V385" s="575"/>
      <c r="W385" s="575"/>
      <c r="X385" s="575"/>
      <c r="Y385" s="575"/>
      <c r="Z385" s="809"/>
      <c r="AA385" s="575"/>
      <c r="AB385" s="575"/>
      <c r="AC385" s="575"/>
      <c r="AD385" s="575"/>
      <c r="AE385" s="827"/>
      <c r="AF385" s="575"/>
      <c r="AG385" s="960"/>
      <c r="AH385" s="842"/>
      <c r="AI385" s="738">
        <f t="shared" si="19"/>
        <v>0</v>
      </c>
      <c r="AJ385" s="949">
        <v>0</v>
      </c>
      <c r="AK385" s="581">
        <f t="shared" si="17"/>
        <v>0</v>
      </c>
      <c r="AL385" s="750" t="s">
        <v>1636</v>
      </c>
      <c r="AM385" s="743">
        <f t="shared" si="18"/>
        <v>33.6</v>
      </c>
    </row>
    <row r="386" spans="1:39" s="560" customFormat="1">
      <c r="A386" s="604" t="s">
        <v>865</v>
      </c>
      <c r="B386" s="604" t="s">
        <v>1262</v>
      </c>
      <c r="C386" s="614" t="s">
        <v>36</v>
      </c>
      <c r="D386" s="580"/>
      <c r="E386" s="778"/>
      <c r="F386" s="581"/>
      <c r="G386" s="581"/>
      <c r="H386" s="581"/>
      <c r="I386" s="949"/>
      <c r="J386" s="949"/>
      <c r="K386" s="949"/>
      <c r="L386" s="809"/>
      <c r="M386" s="575"/>
      <c r="N386" s="575"/>
      <c r="O386" s="575"/>
      <c r="P386" s="575"/>
      <c r="Q386" s="575"/>
      <c r="R386" s="575"/>
      <c r="S386" s="809"/>
      <c r="T386" s="575"/>
      <c r="U386" s="575"/>
      <c r="V386" s="575"/>
      <c r="W386" s="575"/>
      <c r="X386" s="575"/>
      <c r="Y386" s="575"/>
      <c r="Z386" s="809"/>
      <c r="AA386" s="575"/>
      <c r="AB386" s="575"/>
      <c r="AC386" s="575"/>
      <c r="AD386" s="575"/>
      <c r="AE386" s="827"/>
      <c r="AF386" s="575"/>
      <c r="AG386" s="960"/>
      <c r="AH386" s="842"/>
      <c r="AI386" s="738">
        <f t="shared" si="19"/>
        <v>0</v>
      </c>
      <c r="AJ386" s="949">
        <v>0</v>
      </c>
      <c r="AK386" s="581">
        <f t="shared" si="17"/>
        <v>0</v>
      </c>
      <c r="AL386" s="750" t="s">
        <v>1637</v>
      </c>
      <c r="AM386" s="743">
        <f t="shared" si="18"/>
        <v>27.42</v>
      </c>
    </row>
    <row r="387" spans="1:39" s="560" customFormat="1">
      <c r="A387" s="604" t="s">
        <v>866</v>
      </c>
      <c r="B387" s="604" t="s">
        <v>1263</v>
      </c>
      <c r="C387" s="614" t="s">
        <v>36</v>
      </c>
      <c r="D387" s="580"/>
      <c r="E387" s="778"/>
      <c r="F387" s="581"/>
      <c r="G387" s="581"/>
      <c r="H387" s="581"/>
      <c r="I387" s="949"/>
      <c r="J387" s="949"/>
      <c r="K387" s="949"/>
      <c r="L387" s="809"/>
      <c r="M387" s="575"/>
      <c r="N387" s="575"/>
      <c r="O387" s="575"/>
      <c r="P387" s="575"/>
      <c r="Q387" s="575"/>
      <c r="R387" s="575"/>
      <c r="S387" s="809"/>
      <c r="T387" s="575"/>
      <c r="U387" s="575"/>
      <c r="V387" s="575"/>
      <c r="W387" s="575"/>
      <c r="X387" s="575"/>
      <c r="Y387" s="575"/>
      <c r="Z387" s="809"/>
      <c r="AA387" s="575"/>
      <c r="AB387" s="575"/>
      <c r="AC387" s="575"/>
      <c r="AD387" s="575"/>
      <c r="AE387" s="827"/>
      <c r="AF387" s="575"/>
      <c r="AG387" s="960"/>
      <c r="AH387" s="842"/>
      <c r="AI387" s="738">
        <f t="shared" si="19"/>
        <v>0</v>
      </c>
      <c r="AJ387" s="949">
        <v>0</v>
      </c>
      <c r="AK387" s="581">
        <f t="shared" si="17"/>
        <v>0</v>
      </c>
      <c r="AL387" s="750" t="s">
        <v>1621</v>
      </c>
      <c r="AM387" s="743">
        <f t="shared" si="18"/>
        <v>15.8</v>
      </c>
    </row>
    <row r="388" spans="1:39" s="560" customFormat="1">
      <c r="A388" s="604" t="s">
        <v>867</v>
      </c>
      <c r="B388" s="604" t="s">
        <v>1264</v>
      </c>
      <c r="C388" s="614" t="s">
        <v>36</v>
      </c>
      <c r="D388" s="580"/>
      <c r="E388" s="778"/>
      <c r="F388" s="581"/>
      <c r="G388" s="581"/>
      <c r="H388" s="581"/>
      <c r="I388" s="949"/>
      <c r="J388" s="949"/>
      <c r="K388" s="949"/>
      <c r="L388" s="809"/>
      <c r="M388" s="575"/>
      <c r="N388" s="575"/>
      <c r="O388" s="575"/>
      <c r="P388" s="575"/>
      <c r="Q388" s="575"/>
      <c r="R388" s="575"/>
      <c r="S388" s="809"/>
      <c r="T388" s="575"/>
      <c r="U388" s="575"/>
      <c r="V388" s="575"/>
      <c r="W388" s="575"/>
      <c r="X388" s="575"/>
      <c r="Y388" s="575"/>
      <c r="Z388" s="809"/>
      <c r="AA388" s="575"/>
      <c r="AB388" s="575"/>
      <c r="AC388" s="575"/>
      <c r="AD388" s="575"/>
      <c r="AE388" s="827"/>
      <c r="AF388" s="575"/>
      <c r="AG388" s="960"/>
      <c r="AH388" s="842"/>
      <c r="AI388" s="738">
        <f t="shared" si="19"/>
        <v>0</v>
      </c>
      <c r="AJ388" s="949">
        <v>0</v>
      </c>
      <c r="AK388" s="581">
        <f t="shared" si="17"/>
        <v>0</v>
      </c>
      <c r="AL388" s="750" t="s">
        <v>1660</v>
      </c>
      <c r="AM388" s="743">
        <f t="shared" si="18"/>
        <v>14.7</v>
      </c>
    </row>
    <row r="389" spans="1:39" s="560" customFormat="1">
      <c r="A389" s="604" t="s">
        <v>868</v>
      </c>
      <c r="B389" s="604" t="s">
        <v>1265</v>
      </c>
      <c r="C389" s="614" t="s">
        <v>36</v>
      </c>
      <c r="D389" s="580"/>
      <c r="E389" s="778"/>
      <c r="F389" s="581"/>
      <c r="G389" s="581"/>
      <c r="H389" s="581"/>
      <c r="I389" s="949"/>
      <c r="J389" s="949"/>
      <c r="K389" s="949"/>
      <c r="L389" s="809"/>
      <c r="M389" s="575"/>
      <c r="N389" s="575"/>
      <c r="O389" s="575"/>
      <c r="P389" s="575"/>
      <c r="Q389" s="575"/>
      <c r="R389" s="575"/>
      <c r="S389" s="809"/>
      <c r="T389" s="575"/>
      <c r="U389" s="575"/>
      <c r="V389" s="575"/>
      <c r="W389" s="575"/>
      <c r="X389" s="575"/>
      <c r="Y389" s="575"/>
      <c r="Z389" s="809"/>
      <c r="AA389" s="575"/>
      <c r="AB389" s="575"/>
      <c r="AC389" s="575"/>
      <c r="AD389" s="575"/>
      <c r="AE389" s="827"/>
      <c r="AF389" s="575"/>
      <c r="AG389" s="960"/>
      <c r="AH389" s="842"/>
      <c r="AI389" s="738">
        <f t="shared" si="19"/>
        <v>0</v>
      </c>
      <c r="AJ389" s="949">
        <v>0</v>
      </c>
      <c r="AK389" s="581">
        <f t="shared" si="17"/>
        <v>0</v>
      </c>
      <c r="AL389" s="750"/>
      <c r="AM389" s="743">
        <f t="shared" si="18"/>
        <v>0</v>
      </c>
    </row>
    <row r="390" spans="1:39" s="560" customFormat="1">
      <c r="A390" s="607" t="s">
        <v>869</v>
      </c>
      <c r="B390" s="607" t="s">
        <v>1266</v>
      </c>
      <c r="C390" s="690"/>
      <c r="D390" s="580"/>
      <c r="E390" s="778"/>
      <c r="F390" s="581"/>
      <c r="G390" s="581"/>
      <c r="H390" s="581"/>
      <c r="I390" s="949"/>
      <c r="J390" s="949"/>
      <c r="K390" s="949"/>
      <c r="L390" s="809"/>
      <c r="M390" s="575"/>
      <c r="N390" s="575"/>
      <c r="O390" s="575"/>
      <c r="P390" s="575"/>
      <c r="Q390" s="575"/>
      <c r="R390" s="575"/>
      <c r="S390" s="809"/>
      <c r="T390" s="575"/>
      <c r="U390" s="575"/>
      <c r="V390" s="575"/>
      <c r="W390" s="575"/>
      <c r="X390" s="575"/>
      <c r="Y390" s="575"/>
      <c r="Z390" s="809"/>
      <c r="AA390" s="575"/>
      <c r="AB390" s="575"/>
      <c r="AC390" s="575"/>
      <c r="AD390" s="575"/>
      <c r="AE390" s="827"/>
      <c r="AF390" s="575"/>
      <c r="AG390" s="960"/>
      <c r="AH390" s="842"/>
      <c r="AI390" s="738">
        <f t="shared" si="19"/>
        <v>0</v>
      </c>
      <c r="AJ390" s="949">
        <v>0</v>
      </c>
      <c r="AK390" s="581">
        <f t="shared" si="17"/>
        <v>0</v>
      </c>
      <c r="AL390" s="750" t="s">
        <v>1661</v>
      </c>
      <c r="AM390" s="743">
        <f t="shared" si="18"/>
        <v>8</v>
      </c>
    </row>
    <row r="391" spans="1:39" s="560" customFormat="1">
      <c r="A391" s="604" t="s">
        <v>870</v>
      </c>
      <c r="B391" s="604" t="s">
        <v>1267</v>
      </c>
      <c r="C391" s="614" t="s">
        <v>1436</v>
      </c>
      <c r="D391" s="580"/>
      <c r="E391" s="778"/>
      <c r="F391" s="581"/>
      <c r="G391" s="581"/>
      <c r="H391" s="581"/>
      <c r="I391" s="949"/>
      <c r="J391" s="949"/>
      <c r="K391" s="949"/>
      <c r="L391" s="809"/>
      <c r="M391" s="575"/>
      <c r="N391" s="575"/>
      <c r="O391" s="575"/>
      <c r="P391" s="575"/>
      <c r="Q391" s="575"/>
      <c r="R391" s="575"/>
      <c r="S391" s="809"/>
      <c r="T391" s="575"/>
      <c r="U391" s="575"/>
      <c r="V391" s="575"/>
      <c r="W391" s="575"/>
      <c r="X391" s="575"/>
      <c r="Y391" s="575"/>
      <c r="Z391" s="809"/>
      <c r="AA391" s="575"/>
      <c r="AB391" s="575"/>
      <c r="AC391" s="575"/>
      <c r="AD391" s="575"/>
      <c r="AE391" s="827"/>
      <c r="AF391" s="575"/>
      <c r="AG391" s="960"/>
      <c r="AH391" s="842"/>
      <c r="AI391" s="738">
        <f t="shared" si="19"/>
        <v>0</v>
      </c>
      <c r="AJ391" s="949">
        <v>0</v>
      </c>
      <c r="AK391" s="581">
        <f t="shared" si="17"/>
        <v>0</v>
      </c>
      <c r="AL391" s="750" t="s">
        <v>1441</v>
      </c>
      <c r="AM391" s="743">
        <f t="shared" si="18"/>
        <v>1</v>
      </c>
    </row>
    <row r="392" spans="1:39" s="560" customFormat="1">
      <c r="A392" s="604" t="s">
        <v>871</v>
      </c>
      <c r="B392" s="604" t="s">
        <v>1268</v>
      </c>
      <c r="C392" s="614" t="s">
        <v>63</v>
      </c>
      <c r="D392" s="580"/>
      <c r="E392" s="778"/>
      <c r="F392" s="581"/>
      <c r="G392" s="581"/>
      <c r="H392" s="581"/>
      <c r="I392" s="949"/>
      <c r="J392" s="949"/>
      <c r="K392" s="949"/>
      <c r="L392" s="809"/>
      <c r="M392" s="575"/>
      <c r="N392" s="575"/>
      <c r="O392" s="575"/>
      <c r="P392" s="575"/>
      <c r="Q392" s="575"/>
      <c r="R392" s="575"/>
      <c r="S392" s="809"/>
      <c r="T392" s="575"/>
      <c r="U392" s="575"/>
      <c r="V392" s="575"/>
      <c r="W392" s="575"/>
      <c r="X392" s="575"/>
      <c r="Y392" s="575"/>
      <c r="Z392" s="809"/>
      <c r="AA392" s="575"/>
      <c r="AB392" s="575"/>
      <c r="AC392" s="575"/>
      <c r="AD392" s="575"/>
      <c r="AE392" s="827"/>
      <c r="AF392" s="575"/>
      <c r="AG392" s="960"/>
      <c r="AH392" s="842"/>
      <c r="AI392" s="738">
        <f t="shared" si="19"/>
        <v>0</v>
      </c>
      <c r="AJ392" s="949">
        <v>0</v>
      </c>
      <c r="AK392" s="581">
        <f t="shared" si="17"/>
        <v>0</v>
      </c>
      <c r="AL392" s="750" t="s">
        <v>1662</v>
      </c>
      <c r="AM392" s="743">
        <f t="shared" si="18"/>
        <v>19.84</v>
      </c>
    </row>
    <row r="393" spans="1:39" s="560" customFormat="1">
      <c r="A393" s="604" t="s">
        <v>872</v>
      </c>
      <c r="B393" s="604" t="s">
        <v>1269</v>
      </c>
      <c r="C393" s="614" t="s">
        <v>36</v>
      </c>
      <c r="D393" s="580"/>
      <c r="E393" s="778"/>
      <c r="F393" s="581"/>
      <c r="G393" s="581"/>
      <c r="H393" s="581"/>
      <c r="I393" s="949"/>
      <c r="J393" s="949"/>
      <c r="K393" s="949"/>
      <c r="L393" s="809"/>
      <c r="M393" s="575"/>
      <c r="N393" s="575"/>
      <c r="O393" s="575"/>
      <c r="P393" s="575"/>
      <c r="Q393" s="575"/>
      <c r="R393" s="575"/>
      <c r="S393" s="809"/>
      <c r="T393" s="575"/>
      <c r="U393" s="575"/>
      <c r="V393" s="575"/>
      <c r="W393" s="575"/>
      <c r="X393" s="575"/>
      <c r="Y393" s="575"/>
      <c r="Z393" s="809"/>
      <c r="AA393" s="575"/>
      <c r="AB393" s="575"/>
      <c r="AC393" s="575"/>
      <c r="AD393" s="575"/>
      <c r="AE393" s="827"/>
      <c r="AF393" s="575"/>
      <c r="AG393" s="960"/>
      <c r="AH393" s="842"/>
      <c r="AI393" s="738">
        <f t="shared" si="19"/>
        <v>0</v>
      </c>
      <c r="AJ393" s="949">
        <v>0</v>
      </c>
      <c r="AK393" s="581">
        <f t="shared" si="17"/>
        <v>0</v>
      </c>
      <c r="AL393" s="750"/>
      <c r="AM393" s="743">
        <f t="shared" si="18"/>
        <v>0</v>
      </c>
    </row>
    <row r="394" spans="1:39" s="560" customFormat="1">
      <c r="A394" s="492" t="s">
        <v>470</v>
      </c>
      <c r="B394" s="608" t="s">
        <v>1141</v>
      </c>
      <c r="C394" s="690"/>
      <c r="D394" s="580"/>
      <c r="E394" s="778"/>
      <c r="F394" s="581"/>
      <c r="G394" s="581"/>
      <c r="H394" s="581"/>
      <c r="I394" s="949"/>
      <c r="J394" s="949"/>
      <c r="K394" s="949"/>
      <c r="L394" s="809"/>
      <c r="M394" s="575"/>
      <c r="N394" s="575"/>
      <c r="O394" s="575"/>
      <c r="P394" s="575"/>
      <c r="Q394" s="575"/>
      <c r="R394" s="575"/>
      <c r="S394" s="809"/>
      <c r="T394" s="575"/>
      <c r="U394" s="575"/>
      <c r="V394" s="575"/>
      <c r="W394" s="575"/>
      <c r="X394" s="575"/>
      <c r="Y394" s="575"/>
      <c r="Z394" s="809"/>
      <c r="AA394" s="575"/>
      <c r="AB394" s="575"/>
      <c r="AC394" s="575"/>
      <c r="AD394" s="575"/>
      <c r="AE394" s="827"/>
      <c r="AF394" s="575"/>
      <c r="AG394" s="960"/>
      <c r="AH394" s="842"/>
      <c r="AI394" s="738">
        <f t="shared" si="19"/>
        <v>0</v>
      </c>
      <c r="AJ394" s="949">
        <v>0</v>
      </c>
      <c r="AK394" s="581">
        <f t="shared" si="17"/>
        <v>0</v>
      </c>
      <c r="AL394" s="750"/>
      <c r="AM394" s="743">
        <f t="shared" si="18"/>
        <v>0</v>
      </c>
    </row>
    <row r="395" spans="1:39" s="560" customFormat="1">
      <c r="A395" s="607" t="s">
        <v>471</v>
      </c>
      <c r="B395" s="607" t="s">
        <v>1222</v>
      </c>
      <c r="C395" s="690"/>
      <c r="D395" s="580"/>
      <c r="E395" s="778"/>
      <c r="F395" s="581"/>
      <c r="G395" s="581"/>
      <c r="H395" s="581"/>
      <c r="I395" s="949"/>
      <c r="J395" s="949"/>
      <c r="K395" s="949"/>
      <c r="L395" s="809"/>
      <c r="M395" s="575"/>
      <c r="N395" s="575"/>
      <c r="O395" s="575"/>
      <c r="P395" s="575"/>
      <c r="Q395" s="575"/>
      <c r="R395" s="575"/>
      <c r="S395" s="809"/>
      <c r="T395" s="575"/>
      <c r="U395" s="575"/>
      <c r="V395" s="575"/>
      <c r="W395" s="575"/>
      <c r="X395" s="575"/>
      <c r="Y395" s="575"/>
      <c r="Z395" s="809"/>
      <c r="AA395" s="575"/>
      <c r="AB395" s="575"/>
      <c r="AC395" s="575"/>
      <c r="AD395" s="575"/>
      <c r="AE395" s="827"/>
      <c r="AF395" s="575"/>
      <c r="AG395" s="960"/>
      <c r="AH395" s="842"/>
      <c r="AI395" s="738">
        <f t="shared" si="19"/>
        <v>0</v>
      </c>
      <c r="AJ395" s="949">
        <v>0</v>
      </c>
      <c r="AK395" s="581">
        <f t="shared" si="17"/>
        <v>0</v>
      </c>
      <c r="AL395" s="750" t="s">
        <v>1663</v>
      </c>
      <c r="AM395" s="743">
        <f t="shared" si="18"/>
        <v>45.75</v>
      </c>
    </row>
    <row r="396" spans="1:39" s="560" customFormat="1">
      <c r="A396" s="604" t="s">
        <v>873</v>
      </c>
      <c r="B396" s="604" t="s">
        <v>1223</v>
      </c>
      <c r="C396" s="614" t="s">
        <v>36</v>
      </c>
      <c r="D396" s="580"/>
      <c r="E396" s="778"/>
      <c r="F396" s="581"/>
      <c r="G396" s="581"/>
      <c r="H396" s="581"/>
      <c r="I396" s="949"/>
      <c r="J396" s="949"/>
      <c r="K396" s="949"/>
      <c r="L396" s="809"/>
      <c r="M396" s="575"/>
      <c r="N396" s="575"/>
      <c r="O396" s="575"/>
      <c r="P396" s="575"/>
      <c r="Q396" s="575"/>
      <c r="R396" s="575"/>
      <c r="S396" s="809"/>
      <c r="T396" s="575"/>
      <c r="U396" s="575"/>
      <c r="V396" s="575"/>
      <c r="W396" s="575"/>
      <c r="X396" s="575"/>
      <c r="Y396" s="575"/>
      <c r="Z396" s="809"/>
      <c r="AA396" s="575"/>
      <c r="AB396" s="575"/>
      <c r="AC396" s="575"/>
      <c r="AD396" s="575"/>
      <c r="AE396" s="827"/>
      <c r="AF396" s="575"/>
      <c r="AG396" s="960"/>
      <c r="AH396" s="842"/>
      <c r="AI396" s="738">
        <f t="shared" si="19"/>
        <v>0</v>
      </c>
      <c r="AJ396" s="949">
        <v>0</v>
      </c>
      <c r="AK396" s="581">
        <f t="shared" si="17"/>
        <v>0</v>
      </c>
      <c r="AL396" s="750" t="s">
        <v>1664</v>
      </c>
      <c r="AM396" s="743">
        <f t="shared" si="18"/>
        <v>18.920000000000002</v>
      </c>
    </row>
    <row r="397" spans="1:39" s="560" customFormat="1">
      <c r="A397" s="604" t="s">
        <v>874</v>
      </c>
      <c r="B397" s="604" t="s">
        <v>1224</v>
      </c>
      <c r="C397" s="614" t="s">
        <v>36</v>
      </c>
      <c r="D397" s="580"/>
      <c r="E397" s="778"/>
      <c r="F397" s="581"/>
      <c r="G397" s="581"/>
      <c r="H397" s="581"/>
      <c r="I397" s="949"/>
      <c r="J397" s="949"/>
      <c r="K397" s="949"/>
      <c r="L397" s="809"/>
      <c r="M397" s="575"/>
      <c r="N397" s="575"/>
      <c r="O397" s="575"/>
      <c r="P397" s="575"/>
      <c r="Q397" s="575"/>
      <c r="R397" s="575"/>
      <c r="S397" s="809"/>
      <c r="T397" s="575"/>
      <c r="U397" s="575"/>
      <c r="V397" s="575"/>
      <c r="W397" s="575"/>
      <c r="X397" s="575"/>
      <c r="Y397" s="575"/>
      <c r="Z397" s="809"/>
      <c r="AA397" s="575"/>
      <c r="AB397" s="575"/>
      <c r="AC397" s="575"/>
      <c r="AD397" s="575"/>
      <c r="AE397" s="827"/>
      <c r="AF397" s="575"/>
      <c r="AG397" s="960"/>
      <c r="AH397" s="842"/>
      <c r="AI397" s="738">
        <f t="shared" si="19"/>
        <v>0</v>
      </c>
      <c r="AJ397" s="949">
        <v>0</v>
      </c>
      <c r="AK397" s="581">
        <f t="shared" si="17"/>
        <v>0</v>
      </c>
      <c r="AL397" s="750"/>
      <c r="AM397" s="743">
        <f t="shared" si="18"/>
        <v>0</v>
      </c>
    </row>
    <row r="398" spans="1:39" s="560" customFormat="1">
      <c r="A398" s="607" t="s">
        <v>472</v>
      </c>
      <c r="B398" s="607" t="s">
        <v>1225</v>
      </c>
      <c r="C398" s="690"/>
      <c r="D398" s="580"/>
      <c r="E398" s="778"/>
      <c r="F398" s="581"/>
      <c r="G398" s="581"/>
      <c r="H398" s="581"/>
      <c r="I398" s="949"/>
      <c r="J398" s="949"/>
      <c r="K398" s="949"/>
      <c r="L398" s="809"/>
      <c r="M398" s="575"/>
      <c r="N398" s="575"/>
      <c r="O398" s="575"/>
      <c r="P398" s="575"/>
      <c r="Q398" s="575"/>
      <c r="R398" s="575"/>
      <c r="S398" s="809"/>
      <c r="T398" s="575"/>
      <c r="U398" s="575"/>
      <c r="V398" s="575"/>
      <c r="W398" s="575"/>
      <c r="X398" s="575"/>
      <c r="Y398" s="575"/>
      <c r="Z398" s="809"/>
      <c r="AA398" s="575"/>
      <c r="AB398" s="575"/>
      <c r="AC398" s="575"/>
      <c r="AD398" s="575"/>
      <c r="AE398" s="827"/>
      <c r="AF398" s="575"/>
      <c r="AG398" s="960"/>
      <c r="AH398" s="842"/>
      <c r="AI398" s="738">
        <f t="shared" si="19"/>
        <v>0</v>
      </c>
      <c r="AJ398" s="949">
        <v>0</v>
      </c>
      <c r="AK398" s="581">
        <f t="shared" ref="AK398:AK461" si="20">AI398+AJ398</f>
        <v>0</v>
      </c>
      <c r="AL398" s="750" t="s">
        <v>1665</v>
      </c>
      <c r="AM398" s="743">
        <f t="shared" ref="AM398:AM461" si="21">AL398-AK398</f>
        <v>83.58</v>
      </c>
    </row>
    <row r="399" spans="1:39" s="560" customFormat="1">
      <c r="A399" s="604" t="s">
        <v>875</v>
      </c>
      <c r="B399" s="604" t="s">
        <v>1226</v>
      </c>
      <c r="C399" s="614" t="s">
        <v>36</v>
      </c>
      <c r="D399" s="580"/>
      <c r="E399" s="778"/>
      <c r="F399" s="581"/>
      <c r="G399" s="581"/>
      <c r="H399" s="581"/>
      <c r="I399" s="949"/>
      <c r="J399" s="949"/>
      <c r="K399" s="949"/>
      <c r="L399" s="809"/>
      <c r="M399" s="575"/>
      <c r="N399" s="575"/>
      <c r="O399" s="575"/>
      <c r="P399" s="575"/>
      <c r="Q399" s="575"/>
      <c r="R399" s="575"/>
      <c r="S399" s="809"/>
      <c r="T399" s="575"/>
      <c r="U399" s="575"/>
      <c r="V399" s="575"/>
      <c r="W399" s="575"/>
      <c r="X399" s="575"/>
      <c r="Y399" s="575"/>
      <c r="Z399" s="809"/>
      <c r="AA399" s="575"/>
      <c r="AB399" s="575"/>
      <c r="AC399" s="575"/>
      <c r="AD399" s="575"/>
      <c r="AE399" s="827"/>
      <c r="AF399" s="575"/>
      <c r="AG399" s="960"/>
      <c r="AH399" s="842"/>
      <c r="AI399" s="738">
        <f t="shared" si="19"/>
        <v>0</v>
      </c>
      <c r="AJ399" s="949">
        <v>0</v>
      </c>
      <c r="AK399" s="581">
        <f t="shared" si="20"/>
        <v>0</v>
      </c>
      <c r="AL399" s="750" t="s">
        <v>1663</v>
      </c>
      <c r="AM399" s="743">
        <f t="shared" si="21"/>
        <v>45.75</v>
      </c>
    </row>
    <row r="400" spans="1:39" s="560" customFormat="1">
      <c r="A400" s="604" t="s">
        <v>876</v>
      </c>
      <c r="B400" s="604" t="s">
        <v>1227</v>
      </c>
      <c r="C400" s="614" t="s">
        <v>36</v>
      </c>
      <c r="D400" s="580"/>
      <c r="E400" s="778"/>
      <c r="F400" s="581"/>
      <c r="G400" s="581"/>
      <c r="H400" s="581"/>
      <c r="I400" s="949"/>
      <c r="J400" s="949"/>
      <c r="K400" s="949"/>
      <c r="L400" s="809"/>
      <c r="M400" s="575"/>
      <c r="N400" s="575"/>
      <c r="O400" s="575"/>
      <c r="P400" s="575"/>
      <c r="Q400" s="575"/>
      <c r="R400" s="575"/>
      <c r="S400" s="809"/>
      <c r="T400" s="575"/>
      <c r="U400" s="575"/>
      <c r="V400" s="575"/>
      <c r="W400" s="575"/>
      <c r="X400" s="575"/>
      <c r="Y400" s="575"/>
      <c r="Z400" s="809"/>
      <c r="AA400" s="575"/>
      <c r="AB400" s="575"/>
      <c r="AC400" s="575"/>
      <c r="AD400" s="575"/>
      <c r="AE400" s="827"/>
      <c r="AF400" s="575"/>
      <c r="AG400" s="960"/>
      <c r="AH400" s="842"/>
      <c r="AI400" s="738">
        <f t="shared" si="19"/>
        <v>0</v>
      </c>
      <c r="AJ400" s="949">
        <v>0</v>
      </c>
      <c r="AK400" s="581">
        <f t="shared" si="20"/>
        <v>0</v>
      </c>
      <c r="AL400" s="750" t="s">
        <v>1666</v>
      </c>
      <c r="AM400" s="743">
        <f t="shared" si="21"/>
        <v>12.95</v>
      </c>
    </row>
    <row r="401" spans="1:39" s="560" customFormat="1">
      <c r="A401" s="604" t="s">
        <v>877</v>
      </c>
      <c r="B401" s="604" t="s">
        <v>1228</v>
      </c>
      <c r="C401" s="614" t="s">
        <v>36</v>
      </c>
      <c r="D401" s="580"/>
      <c r="E401" s="778"/>
      <c r="F401" s="581"/>
      <c r="G401" s="581"/>
      <c r="H401" s="581"/>
      <c r="I401" s="949"/>
      <c r="J401" s="949"/>
      <c r="K401" s="949"/>
      <c r="L401" s="809"/>
      <c r="M401" s="575"/>
      <c r="N401" s="575"/>
      <c r="O401" s="575"/>
      <c r="P401" s="575"/>
      <c r="Q401" s="575"/>
      <c r="R401" s="575"/>
      <c r="S401" s="809"/>
      <c r="T401" s="575"/>
      <c r="U401" s="575"/>
      <c r="V401" s="575"/>
      <c r="W401" s="575"/>
      <c r="X401" s="575"/>
      <c r="Y401" s="575"/>
      <c r="Z401" s="809"/>
      <c r="AA401" s="575"/>
      <c r="AB401" s="575"/>
      <c r="AC401" s="575"/>
      <c r="AD401" s="575"/>
      <c r="AE401" s="827"/>
      <c r="AF401" s="575"/>
      <c r="AG401" s="960"/>
      <c r="AH401" s="842"/>
      <c r="AI401" s="738">
        <f t="shared" si="19"/>
        <v>0</v>
      </c>
      <c r="AJ401" s="949">
        <v>0</v>
      </c>
      <c r="AK401" s="581">
        <f t="shared" si="20"/>
        <v>0</v>
      </c>
      <c r="AL401" s="750" t="s">
        <v>1667</v>
      </c>
      <c r="AM401" s="743">
        <f t="shared" si="21"/>
        <v>24.87</v>
      </c>
    </row>
    <row r="402" spans="1:39" s="560" customFormat="1">
      <c r="A402" s="604" t="s">
        <v>878</v>
      </c>
      <c r="B402" s="604" t="s">
        <v>1229</v>
      </c>
      <c r="C402" s="614" t="s">
        <v>36</v>
      </c>
      <c r="D402" s="580"/>
      <c r="E402" s="778"/>
      <c r="F402" s="581"/>
      <c r="G402" s="581"/>
      <c r="H402" s="581"/>
      <c r="I402" s="949"/>
      <c r="J402" s="949"/>
      <c r="K402" s="949"/>
      <c r="L402" s="809"/>
      <c r="M402" s="575"/>
      <c r="N402" s="575"/>
      <c r="O402" s="575"/>
      <c r="P402" s="575"/>
      <c r="Q402" s="575"/>
      <c r="R402" s="575"/>
      <c r="S402" s="809"/>
      <c r="T402" s="575"/>
      <c r="U402" s="575"/>
      <c r="V402" s="575"/>
      <c r="W402" s="575"/>
      <c r="X402" s="575"/>
      <c r="Y402" s="575"/>
      <c r="Z402" s="809"/>
      <c r="AA402" s="575"/>
      <c r="AB402" s="575"/>
      <c r="AC402" s="575"/>
      <c r="AD402" s="575"/>
      <c r="AE402" s="827"/>
      <c r="AF402" s="575"/>
      <c r="AG402" s="960"/>
      <c r="AH402" s="842"/>
      <c r="AI402" s="738">
        <f t="shared" si="19"/>
        <v>0</v>
      </c>
      <c r="AJ402" s="949">
        <v>0</v>
      </c>
      <c r="AK402" s="581">
        <f t="shared" si="20"/>
        <v>0</v>
      </c>
      <c r="AL402" s="750" t="s">
        <v>1668</v>
      </c>
      <c r="AM402" s="743">
        <f t="shared" si="21"/>
        <v>17.22</v>
      </c>
    </row>
    <row r="403" spans="1:39" s="560" customFormat="1">
      <c r="A403" s="604" t="s">
        <v>879</v>
      </c>
      <c r="B403" s="604" t="s">
        <v>1230</v>
      </c>
      <c r="C403" s="614" t="s">
        <v>36</v>
      </c>
      <c r="D403" s="580"/>
      <c r="E403" s="778"/>
      <c r="F403" s="581"/>
      <c r="G403" s="581"/>
      <c r="H403" s="581"/>
      <c r="I403" s="949"/>
      <c r="J403" s="949"/>
      <c r="K403" s="949"/>
      <c r="L403" s="809"/>
      <c r="M403" s="575"/>
      <c r="N403" s="575"/>
      <c r="O403" s="575"/>
      <c r="P403" s="575"/>
      <c r="Q403" s="575"/>
      <c r="R403" s="575"/>
      <c r="S403" s="809"/>
      <c r="T403" s="575"/>
      <c r="U403" s="575"/>
      <c r="V403" s="575"/>
      <c r="W403" s="575"/>
      <c r="X403" s="575"/>
      <c r="Y403" s="575"/>
      <c r="Z403" s="809"/>
      <c r="AA403" s="575"/>
      <c r="AB403" s="575"/>
      <c r="AC403" s="575"/>
      <c r="AD403" s="575"/>
      <c r="AE403" s="827"/>
      <c r="AF403" s="575"/>
      <c r="AG403" s="960"/>
      <c r="AH403" s="842"/>
      <c r="AI403" s="738">
        <f t="shared" si="19"/>
        <v>0</v>
      </c>
      <c r="AJ403" s="949">
        <v>0</v>
      </c>
      <c r="AK403" s="581">
        <f t="shared" si="20"/>
        <v>0</v>
      </c>
      <c r="AL403" s="750" t="s">
        <v>1669</v>
      </c>
      <c r="AM403" s="743">
        <f t="shared" si="21"/>
        <v>48.7</v>
      </c>
    </row>
    <row r="404" spans="1:39" s="560" customFormat="1">
      <c r="A404" s="604" t="s">
        <v>880</v>
      </c>
      <c r="B404" s="604" t="s">
        <v>1231</v>
      </c>
      <c r="C404" s="614" t="s">
        <v>37</v>
      </c>
      <c r="D404" s="580"/>
      <c r="E404" s="778"/>
      <c r="F404" s="581"/>
      <c r="G404" s="581"/>
      <c r="H404" s="581"/>
      <c r="I404" s="949"/>
      <c r="J404" s="949"/>
      <c r="K404" s="949"/>
      <c r="L404" s="809"/>
      <c r="M404" s="575"/>
      <c r="N404" s="575"/>
      <c r="O404" s="575"/>
      <c r="P404" s="575"/>
      <c r="Q404" s="575"/>
      <c r="R404" s="575"/>
      <c r="S404" s="809"/>
      <c r="T404" s="575"/>
      <c r="U404" s="575"/>
      <c r="V404" s="575"/>
      <c r="W404" s="575"/>
      <c r="X404" s="575"/>
      <c r="Y404" s="575"/>
      <c r="Z404" s="809"/>
      <c r="AA404" s="575"/>
      <c r="AB404" s="575"/>
      <c r="AC404" s="575"/>
      <c r="AD404" s="575"/>
      <c r="AE404" s="827"/>
      <c r="AF404" s="575"/>
      <c r="AG404" s="960"/>
      <c r="AH404" s="842"/>
      <c r="AI404" s="738">
        <f t="shared" si="19"/>
        <v>0</v>
      </c>
      <c r="AJ404" s="949">
        <v>0</v>
      </c>
      <c r="AK404" s="581">
        <f t="shared" si="20"/>
        <v>0</v>
      </c>
      <c r="AL404" s="750" t="s">
        <v>1670</v>
      </c>
      <c r="AM404" s="743">
        <f t="shared" si="21"/>
        <v>172.48</v>
      </c>
    </row>
    <row r="405" spans="1:39" s="560" customFormat="1">
      <c r="A405" s="604" t="s">
        <v>881</v>
      </c>
      <c r="B405" s="604" t="s">
        <v>1232</v>
      </c>
      <c r="C405" s="614" t="s">
        <v>37</v>
      </c>
      <c r="D405" s="580"/>
      <c r="E405" s="778"/>
      <c r="F405" s="581"/>
      <c r="G405" s="581"/>
      <c r="H405" s="581"/>
      <c r="I405" s="949"/>
      <c r="J405" s="949"/>
      <c r="K405" s="949"/>
      <c r="L405" s="809"/>
      <c r="M405" s="575"/>
      <c r="N405" s="575"/>
      <c r="O405" s="575"/>
      <c r="P405" s="575"/>
      <c r="Q405" s="575"/>
      <c r="R405" s="575"/>
      <c r="S405" s="809"/>
      <c r="T405" s="575"/>
      <c r="U405" s="575"/>
      <c r="V405" s="575"/>
      <c r="W405" s="575"/>
      <c r="X405" s="575"/>
      <c r="Y405" s="575"/>
      <c r="Z405" s="809"/>
      <c r="AA405" s="575"/>
      <c r="AB405" s="575"/>
      <c r="AC405" s="575"/>
      <c r="AD405" s="575"/>
      <c r="AE405" s="827"/>
      <c r="AF405" s="575"/>
      <c r="AG405" s="960"/>
      <c r="AH405" s="842"/>
      <c r="AI405" s="738">
        <f t="shared" si="19"/>
        <v>0</v>
      </c>
      <c r="AJ405" s="949">
        <v>0</v>
      </c>
      <c r="AK405" s="581">
        <f t="shared" si="20"/>
        <v>0</v>
      </c>
      <c r="AL405" s="750"/>
      <c r="AM405" s="743">
        <f t="shared" si="21"/>
        <v>0</v>
      </c>
    </row>
    <row r="406" spans="1:39" s="560" customFormat="1">
      <c r="A406" s="607" t="s">
        <v>473</v>
      </c>
      <c r="B406" s="607" t="s">
        <v>1233</v>
      </c>
      <c r="C406" s="690"/>
      <c r="D406" s="580"/>
      <c r="E406" s="778"/>
      <c r="F406" s="581"/>
      <c r="G406" s="581"/>
      <c r="H406" s="581"/>
      <c r="I406" s="949"/>
      <c r="J406" s="949"/>
      <c r="K406" s="949"/>
      <c r="L406" s="809"/>
      <c r="M406" s="575"/>
      <c r="N406" s="575"/>
      <c r="O406" s="575"/>
      <c r="P406" s="575"/>
      <c r="Q406" s="575"/>
      <c r="R406" s="575"/>
      <c r="S406" s="809"/>
      <c r="T406" s="575"/>
      <c r="U406" s="575"/>
      <c r="V406" s="575"/>
      <c r="W406" s="575"/>
      <c r="X406" s="575"/>
      <c r="Y406" s="575"/>
      <c r="Z406" s="809"/>
      <c r="AA406" s="575"/>
      <c r="AB406" s="575"/>
      <c r="AC406" s="575"/>
      <c r="AD406" s="575"/>
      <c r="AE406" s="827"/>
      <c r="AF406" s="575"/>
      <c r="AG406" s="960"/>
      <c r="AH406" s="842"/>
      <c r="AI406" s="738">
        <f t="shared" si="19"/>
        <v>0</v>
      </c>
      <c r="AJ406" s="949">
        <v>0</v>
      </c>
      <c r="AK406" s="581">
        <f t="shared" si="20"/>
        <v>0</v>
      </c>
      <c r="AL406" s="750" t="s">
        <v>1671</v>
      </c>
      <c r="AM406" s="743">
        <f t="shared" si="21"/>
        <v>38.24</v>
      </c>
    </row>
    <row r="407" spans="1:39" s="560" customFormat="1">
      <c r="A407" s="604" t="s">
        <v>882</v>
      </c>
      <c r="B407" s="604" t="s">
        <v>1234</v>
      </c>
      <c r="C407" s="614" t="s">
        <v>36</v>
      </c>
      <c r="D407" s="580"/>
      <c r="E407" s="778"/>
      <c r="F407" s="581"/>
      <c r="G407" s="581"/>
      <c r="H407" s="581"/>
      <c r="I407" s="949"/>
      <c r="J407" s="949"/>
      <c r="K407" s="949"/>
      <c r="L407" s="809"/>
      <c r="M407" s="575"/>
      <c r="N407" s="575"/>
      <c r="O407" s="575"/>
      <c r="P407" s="575"/>
      <c r="Q407" s="575"/>
      <c r="R407" s="575"/>
      <c r="S407" s="809"/>
      <c r="T407" s="575"/>
      <c r="U407" s="575"/>
      <c r="V407" s="575"/>
      <c r="W407" s="575"/>
      <c r="X407" s="575"/>
      <c r="Y407" s="575"/>
      <c r="Z407" s="809"/>
      <c r="AA407" s="575"/>
      <c r="AB407" s="575"/>
      <c r="AC407" s="575"/>
      <c r="AD407" s="575"/>
      <c r="AE407" s="827"/>
      <c r="AF407" s="575"/>
      <c r="AG407" s="960"/>
      <c r="AH407" s="842"/>
      <c r="AI407" s="738">
        <f t="shared" si="19"/>
        <v>0</v>
      </c>
      <c r="AJ407" s="949">
        <v>0</v>
      </c>
      <c r="AK407" s="581">
        <f t="shared" si="20"/>
        <v>0</v>
      </c>
      <c r="AL407" s="750"/>
      <c r="AM407" s="743">
        <f t="shared" si="21"/>
        <v>0</v>
      </c>
    </row>
    <row r="408" spans="1:39" s="560" customFormat="1">
      <c r="A408" s="607" t="s">
        <v>883</v>
      </c>
      <c r="B408" s="607" t="s">
        <v>1235</v>
      </c>
      <c r="C408" s="690"/>
      <c r="D408" s="580"/>
      <c r="E408" s="778"/>
      <c r="F408" s="581"/>
      <c r="G408" s="581"/>
      <c r="H408" s="581"/>
      <c r="I408" s="949"/>
      <c r="J408" s="949"/>
      <c r="K408" s="949"/>
      <c r="L408" s="809"/>
      <c r="M408" s="575"/>
      <c r="N408" s="575"/>
      <c r="O408" s="575"/>
      <c r="P408" s="575"/>
      <c r="Q408" s="575"/>
      <c r="R408" s="575"/>
      <c r="S408" s="809"/>
      <c r="T408" s="575"/>
      <c r="U408" s="575"/>
      <c r="V408" s="575"/>
      <c r="W408" s="575"/>
      <c r="X408" s="575"/>
      <c r="Y408" s="575"/>
      <c r="Z408" s="809"/>
      <c r="AA408" s="575"/>
      <c r="AB408" s="575"/>
      <c r="AC408" s="575"/>
      <c r="AD408" s="575"/>
      <c r="AE408" s="827"/>
      <c r="AF408" s="575"/>
      <c r="AG408" s="960"/>
      <c r="AH408" s="842"/>
      <c r="AI408" s="738">
        <f t="shared" si="19"/>
        <v>0</v>
      </c>
      <c r="AJ408" s="949">
        <v>0</v>
      </c>
      <c r="AK408" s="581">
        <f t="shared" si="20"/>
        <v>0</v>
      </c>
      <c r="AL408" s="750" t="s">
        <v>1672</v>
      </c>
      <c r="AM408" s="743">
        <f t="shared" si="21"/>
        <v>33.03</v>
      </c>
    </row>
    <row r="409" spans="1:39" s="560" customFormat="1">
      <c r="A409" s="604" t="s">
        <v>884</v>
      </c>
      <c r="B409" s="604" t="s">
        <v>1236</v>
      </c>
      <c r="C409" s="614" t="s">
        <v>36</v>
      </c>
      <c r="D409" s="580"/>
      <c r="E409" s="778"/>
      <c r="F409" s="581"/>
      <c r="G409" s="581"/>
      <c r="H409" s="581"/>
      <c r="I409" s="949"/>
      <c r="J409" s="949"/>
      <c r="K409" s="949"/>
      <c r="L409" s="809"/>
      <c r="M409" s="575"/>
      <c r="N409" s="575"/>
      <c r="O409" s="575"/>
      <c r="P409" s="575"/>
      <c r="Q409" s="575"/>
      <c r="R409" s="575"/>
      <c r="S409" s="809"/>
      <c r="T409" s="575"/>
      <c r="U409" s="575"/>
      <c r="V409" s="575"/>
      <c r="W409" s="575"/>
      <c r="X409" s="575"/>
      <c r="Y409" s="575"/>
      <c r="Z409" s="809"/>
      <c r="AA409" s="575"/>
      <c r="AB409" s="575"/>
      <c r="AC409" s="575"/>
      <c r="AD409" s="575"/>
      <c r="AE409" s="827"/>
      <c r="AF409" s="575"/>
      <c r="AG409" s="960"/>
      <c r="AH409" s="842"/>
      <c r="AI409" s="738">
        <f t="shared" si="19"/>
        <v>0</v>
      </c>
      <c r="AJ409" s="949">
        <v>0</v>
      </c>
      <c r="AK409" s="581">
        <f t="shared" si="20"/>
        <v>0</v>
      </c>
      <c r="AL409" s="750" t="s">
        <v>1673</v>
      </c>
      <c r="AM409" s="743">
        <f t="shared" si="21"/>
        <v>30.08</v>
      </c>
    </row>
    <row r="410" spans="1:39" s="560" customFormat="1">
      <c r="A410" s="604" t="s">
        <v>885</v>
      </c>
      <c r="B410" s="604" t="s">
        <v>1237</v>
      </c>
      <c r="C410" s="614" t="s">
        <v>36</v>
      </c>
      <c r="D410" s="580"/>
      <c r="E410" s="778"/>
      <c r="F410" s="581"/>
      <c r="G410" s="581"/>
      <c r="H410" s="581"/>
      <c r="I410" s="949"/>
      <c r="J410" s="949"/>
      <c r="K410" s="949"/>
      <c r="L410" s="809"/>
      <c r="M410" s="575"/>
      <c r="N410" s="575"/>
      <c r="O410" s="575"/>
      <c r="P410" s="575"/>
      <c r="Q410" s="575"/>
      <c r="R410" s="575"/>
      <c r="S410" s="809"/>
      <c r="T410" s="575"/>
      <c r="U410" s="575"/>
      <c r="V410" s="575"/>
      <c r="W410" s="575"/>
      <c r="X410" s="575"/>
      <c r="Y410" s="575"/>
      <c r="Z410" s="809"/>
      <c r="AA410" s="575"/>
      <c r="AB410" s="575"/>
      <c r="AC410" s="575"/>
      <c r="AD410" s="575"/>
      <c r="AE410" s="827"/>
      <c r="AF410" s="575"/>
      <c r="AG410" s="960"/>
      <c r="AH410" s="842"/>
      <c r="AI410" s="738">
        <f t="shared" si="19"/>
        <v>0</v>
      </c>
      <c r="AJ410" s="949">
        <v>0</v>
      </c>
      <c r="AK410" s="581">
        <f t="shared" si="20"/>
        <v>0</v>
      </c>
      <c r="AL410" s="750" t="s">
        <v>1674</v>
      </c>
      <c r="AM410" s="743">
        <f t="shared" si="21"/>
        <v>2.95</v>
      </c>
    </row>
    <row r="411" spans="1:39" s="560" customFormat="1">
      <c r="A411" s="604" t="s">
        <v>886</v>
      </c>
      <c r="B411" s="604" t="s">
        <v>1238</v>
      </c>
      <c r="C411" s="614" t="s">
        <v>36</v>
      </c>
      <c r="D411" s="580"/>
      <c r="E411" s="778"/>
      <c r="F411" s="581"/>
      <c r="G411" s="581"/>
      <c r="H411" s="581"/>
      <c r="I411" s="949"/>
      <c r="J411" s="949"/>
      <c r="K411" s="949"/>
      <c r="L411" s="809"/>
      <c r="M411" s="575"/>
      <c r="N411" s="575"/>
      <c r="O411" s="575"/>
      <c r="P411" s="575"/>
      <c r="Q411" s="575"/>
      <c r="R411" s="575"/>
      <c r="S411" s="809"/>
      <c r="T411" s="575"/>
      <c r="U411" s="575"/>
      <c r="V411" s="575"/>
      <c r="W411" s="575"/>
      <c r="X411" s="575"/>
      <c r="Y411" s="575"/>
      <c r="Z411" s="809"/>
      <c r="AA411" s="575"/>
      <c r="AB411" s="575"/>
      <c r="AC411" s="575"/>
      <c r="AD411" s="575"/>
      <c r="AE411" s="827"/>
      <c r="AF411" s="575"/>
      <c r="AG411" s="960"/>
      <c r="AH411" s="842"/>
      <c r="AI411" s="738">
        <f t="shared" si="19"/>
        <v>0</v>
      </c>
      <c r="AJ411" s="949">
        <v>0</v>
      </c>
      <c r="AK411" s="581">
        <f t="shared" si="20"/>
        <v>0</v>
      </c>
      <c r="AL411" s="750"/>
      <c r="AM411" s="743">
        <f t="shared" si="21"/>
        <v>0</v>
      </c>
    </row>
    <row r="412" spans="1:39" s="560" customFormat="1">
      <c r="A412" s="607" t="s">
        <v>887</v>
      </c>
      <c r="B412" s="607" t="s">
        <v>1239</v>
      </c>
      <c r="C412" s="690"/>
      <c r="D412" s="580"/>
      <c r="E412" s="778"/>
      <c r="F412" s="581"/>
      <c r="G412" s="581"/>
      <c r="H412" s="581"/>
      <c r="I412" s="949"/>
      <c r="J412" s="949"/>
      <c r="K412" s="949"/>
      <c r="L412" s="809"/>
      <c r="M412" s="575"/>
      <c r="N412" s="575"/>
      <c r="O412" s="575"/>
      <c r="P412" s="575"/>
      <c r="Q412" s="575"/>
      <c r="R412" s="575"/>
      <c r="S412" s="809"/>
      <c r="T412" s="575"/>
      <c r="U412" s="575"/>
      <c r="V412" s="575"/>
      <c r="W412" s="575"/>
      <c r="X412" s="575"/>
      <c r="Y412" s="575"/>
      <c r="Z412" s="809"/>
      <c r="AA412" s="575"/>
      <c r="AB412" s="575"/>
      <c r="AC412" s="575"/>
      <c r="AD412" s="575"/>
      <c r="AE412" s="827"/>
      <c r="AF412" s="575"/>
      <c r="AG412" s="960"/>
      <c r="AH412" s="842"/>
      <c r="AI412" s="738">
        <f t="shared" si="19"/>
        <v>0</v>
      </c>
      <c r="AJ412" s="949">
        <v>0</v>
      </c>
      <c r="AK412" s="581">
        <f t="shared" si="20"/>
        <v>0</v>
      </c>
      <c r="AL412" s="750" t="s">
        <v>1675</v>
      </c>
      <c r="AM412" s="743">
        <f t="shared" si="21"/>
        <v>6.15</v>
      </c>
    </row>
    <row r="413" spans="1:39" s="560" customFormat="1">
      <c r="A413" s="604" t="s">
        <v>888</v>
      </c>
      <c r="B413" s="604" t="s">
        <v>1280</v>
      </c>
      <c r="C413" s="614" t="s">
        <v>37</v>
      </c>
      <c r="D413" s="580"/>
      <c r="E413" s="778"/>
      <c r="F413" s="581"/>
      <c r="G413" s="581"/>
      <c r="H413" s="581"/>
      <c r="I413" s="949"/>
      <c r="J413" s="949"/>
      <c r="K413" s="949"/>
      <c r="L413" s="809"/>
      <c r="M413" s="575"/>
      <c r="N413" s="575"/>
      <c r="O413" s="575"/>
      <c r="P413" s="575"/>
      <c r="Q413" s="575"/>
      <c r="R413" s="575"/>
      <c r="S413" s="809"/>
      <c r="T413" s="575"/>
      <c r="U413" s="575"/>
      <c r="V413" s="575"/>
      <c r="W413" s="575"/>
      <c r="X413" s="575"/>
      <c r="Y413" s="575"/>
      <c r="Z413" s="809"/>
      <c r="AA413" s="575"/>
      <c r="AB413" s="575"/>
      <c r="AC413" s="575"/>
      <c r="AD413" s="575"/>
      <c r="AE413" s="827"/>
      <c r="AF413" s="575"/>
      <c r="AG413" s="960"/>
      <c r="AH413" s="842"/>
      <c r="AI413" s="738">
        <f t="shared" si="19"/>
        <v>0</v>
      </c>
      <c r="AJ413" s="949">
        <v>0</v>
      </c>
      <c r="AK413" s="581">
        <f t="shared" si="20"/>
        <v>0</v>
      </c>
      <c r="AL413" s="750" t="s">
        <v>1676</v>
      </c>
      <c r="AM413" s="743">
        <f t="shared" si="21"/>
        <v>2.77</v>
      </c>
    </row>
    <row r="414" spans="1:39" s="560" customFormat="1">
      <c r="A414" s="604" t="s">
        <v>889</v>
      </c>
      <c r="B414" s="604" t="s">
        <v>1241</v>
      </c>
      <c r="C414" s="614" t="s">
        <v>36</v>
      </c>
      <c r="D414" s="580"/>
      <c r="E414" s="778"/>
      <c r="F414" s="581"/>
      <c r="G414" s="581"/>
      <c r="H414" s="581"/>
      <c r="I414" s="949"/>
      <c r="J414" s="949"/>
      <c r="K414" s="949"/>
      <c r="L414" s="809"/>
      <c r="M414" s="575"/>
      <c r="N414" s="575"/>
      <c r="O414" s="575"/>
      <c r="P414" s="575"/>
      <c r="Q414" s="575"/>
      <c r="R414" s="575"/>
      <c r="S414" s="809"/>
      <c r="T414" s="575"/>
      <c r="U414" s="575"/>
      <c r="V414" s="575"/>
      <c r="W414" s="575"/>
      <c r="X414" s="575"/>
      <c r="Y414" s="575"/>
      <c r="Z414" s="809"/>
      <c r="AA414" s="575"/>
      <c r="AB414" s="575"/>
      <c r="AC414" s="575"/>
      <c r="AD414" s="575"/>
      <c r="AE414" s="827"/>
      <c r="AF414" s="575"/>
      <c r="AG414" s="960"/>
      <c r="AH414" s="842"/>
      <c r="AI414" s="738">
        <f t="shared" si="19"/>
        <v>0</v>
      </c>
      <c r="AJ414" s="949">
        <v>0</v>
      </c>
      <c r="AK414" s="581">
        <f t="shared" si="20"/>
        <v>0</v>
      </c>
      <c r="AL414" s="750"/>
      <c r="AM414" s="743">
        <f t="shared" si="21"/>
        <v>0</v>
      </c>
    </row>
    <row r="415" spans="1:39" s="560" customFormat="1">
      <c r="A415" s="607" t="s">
        <v>890</v>
      </c>
      <c r="B415" s="607" t="s">
        <v>1242</v>
      </c>
      <c r="C415" s="690"/>
      <c r="D415" s="580"/>
      <c r="E415" s="778"/>
      <c r="F415" s="581"/>
      <c r="G415" s="581"/>
      <c r="H415" s="581"/>
      <c r="I415" s="949"/>
      <c r="J415" s="949"/>
      <c r="K415" s="949"/>
      <c r="L415" s="809"/>
      <c r="M415" s="575"/>
      <c r="N415" s="575"/>
      <c r="O415" s="575"/>
      <c r="P415" s="575"/>
      <c r="Q415" s="575"/>
      <c r="R415" s="575"/>
      <c r="S415" s="809"/>
      <c r="T415" s="575"/>
      <c r="U415" s="575"/>
      <c r="V415" s="575"/>
      <c r="W415" s="575"/>
      <c r="X415" s="575"/>
      <c r="Y415" s="575"/>
      <c r="Z415" s="809"/>
      <c r="AA415" s="575"/>
      <c r="AB415" s="575"/>
      <c r="AC415" s="575"/>
      <c r="AD415" s="575"/>
      <c r="AE415" s="827"/>
      <c r="AF415" s="575"/>
      <c r="AG415" s="960"/>
      <c r="AH415" s="842"/>
      <c r="AI415" s="738">
        <f t="shared" si="19"/>
        <v>0</v>
      </c>
      <c r="AJ415" s="949">
        <v>0</v>
      </c>
      <c r="AK415" s="581">
        <f t="shared" si="20"/>
        <v>0</v>
      </c>
      <c r="AL415" s="750" t="s">
        <v>1677</v>
      </c>
      <c r="AM415" s="743">
        <f t="shared" si="21"/>
        <v>8.3000000000000007</v>
      </c>
    </row>
    <row r="416" spans="1:39" s="560" customFormat="1">
      <c r="A416" s="604" t="s">
        <v>891</v>
      </c>
      <c r="B416" s="604" t="s">
        <v>1243</v>
      </c>
      <c r="C416" s="614" t="s">
        <v>36</v>
      </c>
      <c r="D416" s="580"/>
      <c r="E416" s="778"/>
      <c r="F416" s="581"/>
      <c r="G416" s="581"/>
      <c r="H416" s="581"/>
      <c r="I416" s="949"/>
      <c r="J416" s="949"/>
      <c r="K416" s="949"/>
      <c r="L416" s="809"/>
      <c r="M416" s="575"/>
      <c r="N416" s="575"/>
      <c r="O416" s="575"/>
      <c r="P416" s="575"/>
      <c r="Q416" s="575"/>
      <c r="R416" s="575"/>
      <c r="S416" s="809"/>
      <c r="T416" s="575"/>
      <c r="U416" s="575"/>
      <c r="V416" s="575"/>
      <c r="W416" s="575"/>
      <c r="X416" s="575"/>
      <c r="Y416" s="575"/>
      <c r="Z416" s="809"/>
      <c r="AA416" s="575"/>
      <c r="AB416" s="575"/>
      <c r="AC416" s="575"/>
      <c r="AD416" s="575"/>
      <c r="AE416" s="827"/>
      <c r="AF416" s="575"/>
      <c r="AG416" s="960"/>
      <c r="AH416" s="842"/>
      <c r="AI416" s="738">
        <f t="shared" si="19"/>
        <v>0</v>
      </c>
      <c r="AJ416" s="949">
        <v>0</v>
      </c>
      <c r="AK416" s="581">
        <f t="shared" si="20"/>
        <v>0</v>
      </c>
      <c r="AL416" s="750"/>
      <c r="AM416" s="743">
        <f t="shared" si="21"/>
        <v>0</v>
      </c>
    </row>
    <row r="417" spans="1:39" s="560" customFormat="1">
      <c r="A417" s="604" t="s">
        <v>892</v>
      </c>
      <c r="B417" s="604" t="s">
        <v>1244</v>
      </c>
      <c r="C417" s="690"/>
      <c r="D417" s="580"/>
      <c r="E417" s="778"/>
      <c r="F417" s="581"/>
      <c r="G417" s="581"/>
      <c r="H417" s="581"/>
      <c r="I417" s="949"/>
      <c r="J417" s="949"/>
      <c r="K417" s="949"/>
      <c r="L417" s="809"/>
      <c r="M417" s="575"/>
      <c r="N417" s="575"/>
      <c r="O417" s="575"/>
      <c r="P417" s="575"/>
      <c r="Q417" s="575"/>
      <c r="R417" s="575"/>
      <c r="S417" s="809"/>
      <c r="T417" s="575"/>
      <c r="U417" s="575"/>
      <c r="V417" s="575"/>
      <c r="W417" s="575"/>
      <c r="X417" s="575"/>
      <c r="Y417" s="575"/>
      <c r="Z417" s="809"/>
      <c r="AA417" s="575"/>
      <c r="AB417" s="575"/>
      <c r="AC417" s="575"/>
      <c r="AD417" s="575"/>
      <c r="AE417" s="827"/>
      <c r="AF417" s="575"/>
      <c r="AG417" s="960"/>
      <c r="AH417" s="842"/>
      <c r="AI417" s="738">
        <f t="shared" si="19"/>
        <v>0</v>
      </c>
      <c r="AJ417" s="949">
        <v>0</v>
      </c>
      <c r="AK417" s="581">
        <f t="shared" si="20"/>
        <v>0</v>
      </c>
      <c r="AL417" s="750" t="s">
        <v>1678</v>
      </c>
      <c r="AM417" s="743">
        <f t="shared" si="21"/>
        <v>6.66</v>
      </c>
    </row>
    <row r="418" spans="1:39" s="560" customFormat="1">
      <c r="A418" s="604" t="s">
        <v>893</v>
      </c>
      <c r="B418" s="604" t="s">
        <v>1245</v>
      </c>
      <c r="C418" s="614" t="s">
        <v>36</v>
      </c>
      <c r="D418" s="580"/>
      <c r="E418" s="778"/>
      <c r="F418" s="581"/>
      <c r="G418" s="581"/>
      <c r="H418" s="581"/>
      <c r="I418" s="949"/>
      <c r="J418" s="949"/>
      <c r="K418" s="949"/>
      <c r="L418" s="809"/>
      <c r="M418" s="575"/>
      <c r="N418" s="575"/>
      <c r="O418" s="575"/>
      <c r="P418" s="575"/>
      <c r="Q418" s="575"/>
      <c r="R418" s="575"/>
      <c r="S418" s="809"/>
      <c r="T418" s="575"/>
      <c r="U418" s="575"/>
      <c r="V418" s="575"/>
      <c r="W418" s="575"/>
      <c r="X418" s="575"/>
      <c r="Y418" s="575"/>
      <c r="Z418" s="809"/>
      <c r="AA418" s="575"/>
      <c r="AB418" s="575"/>
      <c r="AC418" s="575"/>
      <c r="AD418" s="575"/>
      <c r="AE418" s="827"/>
      <c r="AF418" s="575"/>
      <c r="AG418" s="960"/>
      <c r="AH418" s="842"/>
      <c r="AI418" s="738">
        <f t="shared" si="19"/>
        <v>0</v>
      </c>
      <c r="AJ418" s="949">
        <v>0</v>
      </c>
      <c r="AK418" s="581">
        <f t="shared" si="20"/>
        <v>0</v>
      </c>
      <c r="AL418" s="750" t="s">
        <v>1679</v>
      </c>
      <c r="AM418" s="743">
        <f t="shared" si="21"/>
        <v>7.76</v>
      </c>
    </row>
    <row r="419" spans="1:39" s="560" customFormat="1">
      <c r="A419" s="604" t="s">
        <v>894</v>
      </c>
      <c r="B419" s="604" t="s">
        <v>1272</v>
      </c>
      <c r="C419" s="614" t="s">
        <v>36</v>
      </c>
      <c r="D419" s="580"/>
      <c r="E419" s="778"/>
      <c r="F419" s="581"/>
      <c r="G419" s="581"/>
      <c r="H419" s="581"/>
      <c r="I419" s="949"/>
      <c r="J419" s="949"/>
      <c r="K419" s="949"/>
      <c r="L419" s="809"/>
      <c r="M419" s="575"/>
      <c r="N419" s="575"/>
      <c r="O419" s="575"/>
      <c r="P419" s="575"/>
      <c r="Q419" s="575"/>
      <c r="R419" s="575"/>
      <c r="S419" s="809"/>
      <c r="T419" s="575"/>
      <c r="U419" s="575"/>
      <c r="V419" s="575"/>
      <c r="W419" s="575"/>
      <c r="X419" s="575"/>
      <c r="Y419" s="575"/>
      <c r="Z419" s="809"/>
      <c r="AA419" s="575"/>
      <c r="AB419" s="575"/>
      <c r="AC419" s="575"/>
      <c r="AD419" s="575"/>
      <c r="AE419" s="827"/>
      <c r="AF419" s="575"/>
      <c r="AG419" s="960"/>
      <c r="AH419" s="842"/>
      <c r="AI419" s="738">
        <f t="shared" si="19"/>
        <v>0</v>
      </c>
      <c r="AJ419" s="949">
        <v>0</v>
      </c>
      <c r="AK419" s="581">
        <f t="shared" si="20"/>
        <v>0</v>
      </c>
      <c r="AL419" s="750" t="s">
        <v>1680</v>
      </c>
      <c r="AM419" s="743">
        <f t="shared" si="21"/>
        <v>25.31</v>
      </c>
    </row>
    <row r="420" spans="1:39" s="560" customFormat="1">
      <c r="A420" s="604" t="s">
        <v>895</v>
      </c>
      <c r="B420" s="604" t="s">
        <v>1247</v>
      </c>
      <c r="C420" s="614" t="s">
        <v>37</v>
      </c>
      <c r="D420" s="580"/>
      <c r="E420" s="778"/>
      <c r="F420" s="581"/>
      <c r="G420" s="581"/>
      <c r="H420" s="581"/>
      <c r="I420" s="949"/>
      <c r="J420" s="949"/>
      <c r="K420" s="949"/>
      <c r="L420" s="809"/>
      <c r="M420" s="575"/>
      <c r="N420" s="575"/>
      <c r="O420" s="575"/>
      <c r="P420" s="575"/>
      <c r="Q420" s="575"/>
      <c r="R420" s="575"/>
      <c r="S420" s="809"/>
      <c r="T420" s="575"/>
      <c r="U420" s="575"/>
      <c r="V420" s="575"/>
      <c r="W420" s="575"/>
      <c r="X420" s="575"/>
      <c r="Y420" s="575"/>
      <c r="Z420" s="809"/>
      <c r="AA420" s="575"/>
      <c r="AB420" s="575"/>
      <c r="AC420" s="575"/>
      <c r="AD420" s="575"/>
      <c r="AE420" s="827"/>
      <c r="AF420" s="575"/>
      <c r="AG420" s="960"/>
      <c r="AH420" s="842"/>
      <c r="AI420" s="738">
        <f t="shared" si="19"/>
        <v>0</v>
      </c>
      <c r="AJ420" s="949">
        <v>0</v>
      </c>
      <c r="AK420" s="581">
        <f t="shared" si="20"/>
        <v>0</v>
      </c>
      <c r="AL420" s="750"/>
      <c r="AM420" s="743">
        <f t="shared" si="21"/>
        <v>0</v>
      </c>
    </row>
    <row r="421" spans="1:39" s="560" customFormat="1">
      <c r="A421" s="607" t="s">
        <v>896</v>
      </c>
      <c r="B421" s="607" t="s">
        <v>1184</v>
      </c>
      <c r="C421" s="690"/>
      <c r="D421" s="580"/>
      <c r="E421" s="778"/>
      <c r="F421" s="581"/>
      <c r="G421" s="581"/>
      <c r="H421" s="581"/>
      <c r="I421" s="949"/>
      <c r="J421" s="949"/>
      <c r="K421" s="949"/>
      <c r="L421" s="809"/>
      <c r="M421" s="575"/>
      <c r="N421" s="575"/>
      <c r="O421" s="575"/>
      <c r="P421" s="575"/>
      <c r="Q421" s="575"/>
      <c r="R421" s="575"/>
      <c r="S421" s="809"/>
      <c r="T421" s="575"/>
      <c r="U421" s="575"/>
      <c r="V421" s="575"/>
      <c r="W421" s="575"/>
      <c r="X421" s="575"/>
      <c r="Y421" s="575"/>
      <c r="Z421" s="809"/>
      <c r="AA421" s="575"/>
      <c r="AB421" s="575"/>
      <c r="AC421" s="575"/>
      <c r="AD421" s="575"/>
      <c r="AE421" s="827"/>
      <c r="AF421" s="575"/>
      <c r="AG421" s="960"/>
      <c r="AH421" s="842"/>
      <c r="AI421" s="738">
        <f t="shared" si="19"/>
        <v>0</v>
      </c>
      <c r="AJ421" s="949">
        <v>0</v>
      </c>
      <c r="AK421" s="581">
        <f t="shared" si="20"/>
        <v>0</v>
      </c>
      <c r="AL421" s="750" t="s">
        <v>1681</v>
      </c>
      <c r="AM421" s="743">
        <f t="shared" si="21"/>
        <v>34.93</v>
      </c>
    </row>
    <row r="422" spans="1:39" s="560" customFormat="1">
      <c r="A422" s="604" t="s">
        <v>897</v>
      </c>
      <c r="B422" s="604" t="s">
        <v>1248</v>
      </c>
      <c r="C422" s="614" t="s">
        <v>36</v>
      </c>
      <c r="D422" s="580"/>
      <c r="E422" s="778"/>
      <c r="F422" s="581"/>
      <c r="G422" s="581"/>
      <c r="H422" s="581"/>
      <c r="I422" s="949"/>
      <c r="J422" s="949"/>
      <c r="K422" s="949"/>
      <c r="L422" s="809"/>
      <c r="M422" s="575"/>
      <c r="N422" s="575"/>
      <c r="O422" s="575"/>
      <c r="P422" s="575"/>
      <c r="Q422" s="575"/>
      <c r="R422" s="575"/>
      <c r="S422" s="809"/>
      <c r="T422" s="575"/>
      <c r="U422" s="575"/>
      <c r="V422" s="575"/>
      <c r="W422" s="575"/>
      <c r="X422" s="575"/>
      <c r="Y422" s="575"/>
      <c r="Z422" s="809"/>
      <c r="AA422" s="575"/>
      <c r="AB422" s="575"/>
      <c r="AC422" s="575"/>
      <c r="AD422" s="575"/>
      <c r="AE422" s="827"/>
      <c r="AF422" s="575"/>
      <c r="AG422" s="960"/>
      <c r="AH422" s="842"/>
      <c r="AI422" s="738">
        <f t="shared" si="19"/>
        <v>0</v>
      </c>
      <c r="AJ422" s="949">
        <v>0</v>
      </c>
      <c r="AK422" s="581">
        <f t="shared" si="20"/>
        <v>0</v>
      </c>
      <c r="AL422" s="750" t="s">
        <v>1675</v>
      </c>
      <c r="AM422" s="743">
        <f t="shared" si="21"/>
        <v>6.15</v>
      </c>
    </row>
    <row r="423" spans="1:39" s="560" customFormat="1">
      <c r="A423" s="604" t="s">
        <v>898</v>
      </c>
      <c r="B423" s="604" t="s">
        <v>1249</v>
      </c>
      <c r="C423" s="614" t="s">
        <v>37</v>
      </c>
      <c r="D423" s="580"/>
      <c r="E423" s="778"/>
      <c r="F423" s="581"/>
      <c r="G423" s="581"/>
      <c r="H423" s="581"/>
      <c r="I423" s="949"/>
      <c r="J423" s="949"/>
      <c r="K423" s="949"/>
      <c r="L423" s="809"/>
      <c r="M423" s="575"/>
      <c r="N423" s="575"/>
      <c r="O423" s="575"/>
      <c r="P423" s="575"/>
      <c r="Q423" s="575"/>
      <c r="R423" s="575"/>
      <c r="S423" s="809"/>
      <c r="T423" s="575"/>
      <c r="U423" s="575"/>
      <c r="V423" s="575"/>
      <c r="W423" s="575"/>
      <c r="X423" s="575"/>
      <c r="Y423" s="575"/>
      <c r="Z423" s="809"/>
      <c r="AA423" s="575"/>
      <c r="AB423" s="575"/>
      <c r="AC423" s="575"/>
      <c r="AD423" s="575"/>
      <c r="AE423" s="827"/>
      <c r="AF423" s="575"/>
      <c r="AG423" s="960"/>
      <c r="AH423" s="842"/>
      <c r="AI423" s="738">
        <f t="shared" si="19"/>
        <v>0</v>
      </c>
      <c r="AJ423" s="949">
        <v>0</v>
      </c>
      <c r="AK423" s="581">
        <f t="shared" si="20"/>
        <v>0</v>
      </c>
      <c r="AL423" s="750"/>
      <c r="AM423" s="743">
        <f t="shared" si="21"/>
        <v>0</v>
      </c>
    </row>
    <row r="424" spans="1:39" s="560" customFormat="1">
      <c r="A424" s="607" t="s">
        <v>899</v>
      </c>
      <c r="B424" s="607" t="s">
        <v>1250</v>
      </c>
      <c r="C424" s="690"/>
      <c r="D424" s="580"/>
      <c r="E424" s="778"/>
      <c r="F424" s="581"/>
      <c r="G424" s="581"/>
      <c r="H424" s="581"/>
      <c r="I424" s="949"/>
      <c r="J424" s="949"/>
      <c r="K424" s="949"/>
      <c r="L424" s="809"/>
      <c r="M424" s="575"/>
      <c r="N424" s="575"/>
      <c r="O424" s="575"/>
      <c r="P424" s="575"/>
      <c r="Q424" s="575"/>
      <c r="R424" s="575"/>
      <c r="S424" s="809"/>
      <c r="T424" s="575"/>
      <c r="U424" s="575"/>
      <c r="V424" s="575"/>
      <c r="W424" s="575"/>
      <c r="X424" s="575"/>
      <c r="Y424" s="575"/>
      <c r="Z424" s="809"/>
      <c r="AA424" s="575"/>
      <c r="AB424" s="575"/>
      <c r="AC424" s="575"/>
      <c r="AD424" s="575"/>
      <c r="AE424" s="827"/>
      <c r="AF424" s="575"/>
      <c r="AG424" s="960"/>
      <c r="AH424" s="842"/>
      <c r="AI424" s="738">
        <f t="shared" si="19"/>
        <v>0</v>
      </c>
      <c r="AJ424" s="949">
        <v>0</v>
      </c>
      <c r="AK424" s="581">
        <f t="shared" si="20"/>
        <v>0</v>
      </c>
      <c r="AL424" s="750" t="s">
        <v>1682</v>
      </c>
      <c r="AM424" s="743">
        <f t="shared" si="21"/>
        <v>3.78</v>
      </c>
    </row>
    <row r="425" spans="1:39" s="560" customFormat="1">
      <c r="A425" s="604" t="s">
        <v>900</v>
      </c>
      <c r="B425" s="604" t="s">
        <v>1251</v>
      </c>
      <c r="C425" s="614" t="s">
        <v>36</v>
      </c>
      <c r="D425" s="580"/>
      <c r="E425" s="778"/>
      <c r="F425" s="581"/>
      <c r="G425" s="581"/>
      <c r="H425" s="581"/>
      <c r="I425" s="949"/>
      <c r="J425" s="949"/>
      <c r="K425" s="949"/>
      <c r="L425" s="809"/>
      <c r="M425" s="575"/>
      <c r="N425" s="575"/>
      <c r="O425" s="575"/>
      <c r="P425" s="575"/>
      <c r="Q425" s="575"/>
      <c r="R425" s="575"/>
      <c r="S425" s="809"/>
      <c r="T425" s="575"/>
      <c r="U425" s="575"/>
      <c r="V425" s="575"/>
      <c r="W425" s="575"/>
      <c r="X425" s="575"/>
      <c r="Y425" s="575"/>
      <c r="Z425" s="809"/>
      <c r="AA425" s="575"/>
      <c r="AB425" s="575"/>
      <c r="AC425" s="575"/>
      <c r="AD425" s="575"/>
      <c r="AE425" s="827"/>
      <c r="AF425" s="575"/>
      <c r="AG425" s="960"/>
      <c r="AH425" s="842"/>
      <c r="AI425" s="738">
        <f t="shared" si="19"/>
        <v>0</v>
      </c>
      <c r="AJ425" s="949">
        <v>0</v>
      </c>
      <c r="AK425" s="581">
        <f t="shared" si="20"/>
        <v>0</v>
      </c>
      <c r="AL425" s="750" t="s">
        <v>1683</v>
      </c>
      <c r="AM425" s="743">
        <f t="shared" si="21"/>
        <v>1.47</v>
      </c>
    </row>
    <row r="426" spans="1:39" s="560" customFormat="1">
      <c r="A426" s="604" t="s">
        <v>901</v>
      </c>
      <c r="B426" s="604" t="s">
        <v>1281</v>
      </c>
      <c r="C426" s="614" t="s">
        <v>36</v>
      </c>
      <c r="D426" s="580"/>
      <c r="E426" s="778"/>
      <c r="F426" s="581"/>
      <c r="G426" s="581"/>
      <c r="H426" s="581"/>
      <c r="I426" s="949"/>
      <c r="J426" s="949"/>
      <c r="K426" s="949"/>
      <c r="L426" s="809"/>
      <c r="M426" s="575"/>
      <c r="N426" s="575"/>
      <c r="O426" s="575"/>
      <c r="P426" s="575"/>
      <c r="Q426" s="575"/>
      <c r="R426" s="575"/>
      <c r="S426" s="809"/>
      <c r="T426" s="575"/>
      <c r="U426" s="575"/>
      <c r="V426" s="575"/>
      <c r="W426" s="575"/>
      <c r="X426" s="575"/>
      <c r="Y426" s="575"/>
      <c r="Z426" s="809"/>
      <c r="AA426" s="575"/>
      <c r="AB426" s="575"/>
      <c r="AC426" s="575"/>
      <c r="AD426" s="575"/>
      <c r="AE426" s="827"/>
      <c r="AF426" s="575"/>
      <c r="AG426" s="960"/>
      <c r="AH426" s="842"/>
      <c r="AI426" s="738">
        <f t="shared" si="19"/>
        <v>0</v>
      </c>
      <c r="AJ426" s="949">
        <v>0</v>
      </c>
      <c r="AK426" s="581">
        <f t="shared" si="20"/>
        <v>0</v>
      </c>
      <c r="AL426" s="750"/>
      <c r="AM426" s="743">
        <f t="shared" si="21"/>
        <v>0</v>
      </c>
    </row>
    <row r="427" spans="1:39" s="560" customFormat="1">
      <c r="A427" s="607" t="s">
        <v>902</v>
      </c>
      <c r="B427" s="607" t="s">
        <v>1252</v>
      </c>
      <c r="C427" s="690"/>
      <c r="D427" s="580"/>
      <c r="E427" s="778"/>
      <c r="F427" s="581"/>
      <c r="G427" s="581"/>
      <c r="H427" s="581"/>
      <c r="I427" s="949"/>
      <c r="J427" s="949"/>
      <c r="K427" s="949"/>
      <c r="L427" s="809"/>
      <c r="M427" s="575"/>
      <c r="N427" s="575"/>
      <c r="O427" s="575"/>
      <c r="P427" s="575"/>
      <c r="Q427" s="575"/>
      <c r="R427" s="575"/>
      <c r="S427" s="809"/>
      <c r="T427" s="575"/>
      <c r="U427" s="575"/>
      <c r="V427" s="575"/>
      <c r="W427" s="575"/>
      <c r="X427" s="575"/>
      <c r="Y427" s="575"/>
      <c r="Z427" s="809"/>
      <c r="AA427" s="575"/>
      <c r="AB427" s="575"/>
      <c r="AC427" s="575"/>
      <c r="AD427" s="575"/>
      <c r="AE427" s="827"/>
      <c r="AF427" s="575"/>
      <c r="AG427" s="960"/>
      <c r="AH427" s="842"/>
      <c r="AI427" s="738">
        <f t="shared" ref="AI427:AI490" si="22">ROUND((SUM(D427:L427)),2)</f>
        <v>0</v>
      </c>
      <c r="AJ427" s="949">
        <v>0</v>
      </c>
      <c r="AK427" s="581">
        <f t="shared" si="20"/>
        <v>0</v>
      </c>
      <c r="AL427" s="750" t="s">
        <v>1627</v>
      </c>
      <c r="AM427" s="743">
        <f t="shared" si="21"/>
        <v>9</v>
      </c>
    </row>
    <row r="428" spans="1:39" s="560" customFormat="1">
      <c r="A428" s="604" t="s">
        <v>903</v>
      </c>
      <c r="B428" s="604" t="s">
        <v>1253</v>
      </c>
      <c r="C428" s="614" t="s">
        <v>1437</v>
      </c>
      <c r="D428" s="580"/>
      <c r="E428" s="778"/>
      <c r="F428" s="581"/>
      <c r="G428" s="581"/>
      <c r="H428" s="581"/>
      <c r="I428" s="949"/>
      <c r="J428" s="949"/>
      <c r="K428" s="949"/>
      <c r="L428" s="809"/>
      <c r="M428" s="575"/>
      <c r="N428" s="575"/>
      <c r="O428" s="575"/>
      <c r="P428" s="575"/>
      <c r="Q428" s="575"/>
      <c r="R428" s="575"/>
      <c r="S428" s="809"/>
      <c r="T428" s="575"/>
      <c r="U428" s="575"/>
      <c r="V428" s="575"/>
      <c r="W428" s="575"/>
      <c r="X428" s="575"/>
      <c r="Y428" s="575"/>
      <c r="Z428" s="809"/>
      <c r="AA428" s="575"/>
      <c r="AB428" s="575"/>
      <c r="AC428" s="575"/>
      <c r="AD428" s="575"/>
      <c r="AE428" s="827"/>
      <c r="AF428" s="575"/>
      <c r="AG428" s="960"/>
      <c r="AH428" s="842"/>
      <c r="AI428" s="738">
        <f t="shared" si="22"/>
        <v>0</v>
      </c>
      <c r="AJ428" s="949">
        <v>0</v>
      </c>
      <c r="AK428" s="581">
        <f t="shared" si="20"/>
        <v>0</v>
      </c>
      <c r="AL428" s="750" t="s">
        <v>1684</v>
      </c>
      <c r="AM428" s="743">
        <f t="shared" si="21"/>
        <v>2</v>
      </c>
    </row>
    <row r="429" spans="1:39" s="560" customFormat="1">
      <c r="A429" s="604" t="s">
        <v>904</v>
      </c>
      <c r="B429" s="604" t="s">
        <v>1254</v>
      </c>
      <c r="C429" s="614" t="s">
        <v>35</v>
      </c>
      <c r="D429" s="580"/>
      <c r="E429" s="778"/>
      <c r="F429" s="581"/>
      <c r="G429" s="581"/>
      <c r="H429" s="581"/>
      <c r="I429" s="949"/>
      <c r="J429" s="949"/>
      <c r="K429" s="949"/>
      <c r="L429" s="809"/>
      <c r="M429" s="575"/>
      <c r="N429" s="575"/>
      <c r="O429" s="575"/>
      <c r="P429" s="575"/>
      <c r="Q429" s="575"/>
      <c r="R429" s="575"/>
      <c r="S429" s="809"/>
      <c r="T429" s="575"/>
      <c r="U429" s="575"/>
      <c r="V429" s="575"/>
      <c r="W429" s="575"/>
      <c r="X429" s="575"/>
      <c r="Y429" s="575"/>
      <c r="Z429" s="809"/>
      <c r="AA429" s="575"/>
      <c r="AB429" s="575"/>
      <c r="AC429" s="575"/>
      <c r="AD429" s="575"/>
      <c r="AE429" s="827"/>
      <c r="AF429" s="575"/>
      <c r="AG429" s="960"/>
      <c r="AH429" s="842"/>
      <c r="AI429" s="738">
        <f t="shared" si="22"/>
        <v>0</v>
      </c>
      <c r="AJ429" s="949">
        <v>0</v>
      </c>
      <c r="AK429" s="581">
        <f t="shared" si="20"/>
        <v>0</v>
      </c>
      <c r="AL429" s="750" t="s">
        <v>1441</v>
      </c>
      <c r="AM429" s="743">
        <f t="shared" si="21"/>
        <v>1</v>
      </c>
    </row>
    <row r="430" spans="1:39" s="560" customFormat="1">
      <c r="A430" s="604" t="s">
        <v>905</v>
      </c>
      <c r="B430" s="604" t="s">
        <v>1282</v>
      </c>
      <c r="C430" s="614" t="s">
        <v>35</v>
      </c>
      <c r="D430" s="580"/>
      <c r="E430" s="778"/>
      <c r="F430" s="581"/>
      <c r="G430" s="581"/>
      <c r="H430" s="581"/>
      <c r="I430" s="949"/>
      <c r="J430" s="949"/>
      <c r="K430" s="949"/>
      <c r="L430" s="809"/>
      <c r="M430" s="575"/>
      <c r="N430" s="575"/>
      <c r="O430" s="575"/>
      <c r="P430" s="575"/>
      <c r="Q430" s="575"/>
      <c r="R430" s="575"/>
      <c r="S430" s="809"/>
      <c r="T430" s="575"/>
      <c r="U430" s="575"/>
      <c r="V430" s="575"/>
      <c r="W430" s="575"/>
      <c r="X430" s="575"/>
      <c r="Y430" s="575"/>
      <c r="Z430" s="809"/>
      <c r="AA430" s="575"/>
      <c r="AB430" s="575"/>
      <c r="AC430" s="575"/>
      <c r="AD430" s="575"/>
      <c r="AE430" s="827"/>
      <c r="AF430" s="575"/>
      <c r="AG430" s="960"/>
      <c r="AH430" s="842"/>
      <c r="AI430" s="738">
        <f t="shared" si="22"/>
        <v>0</v>
      </c>
      <c r="AJ430" s="949">
        <v>0</v>
      </c>
      <c r="AK430" s="581">
        <f t="shared" si="20"/>
        <v>0</v>
      </c>
      <c r="AL430" s="750"/>
      <c r="AM430" s="743">
        <f t="shared" si="21"/>
        <v>0</v>
      </c>
    </row>
    <row r="431" spans="1:39" s="560" customFormat="1">
      <c r="A431" s="607" t="s">
        <v>906</v>
      </c>
      <c r="B431" s="607" t="s">
        <v>1255</v>
      </c>
      <c r="C431" s="690"/>
      <c r="D431" s="580"/>
      <c r="E431" s="778"/>
      <c r="F431" s="581"/>
      <c r="G431" s="581"/>
      <c r="H431" s="581"/>
      <c r="I431" s="949"/>
      <c r="J431" s="949"/>
      <c r="K431" s="949"/>
      <c r="L431" s="809"/>
      <c r="M431" s="575"/>
      <c r="N431" s="575"/>
      <c r="O431" s="575"/>
      <c r="P431" s="575"/>
      <c r="Q431" s="575"/>
      <c r="R431" s="575"/>
      <c r="S431" s="809"/>
      <c r="T431" s="575"/>
      <c r="U431" s="575"/>
      <c r="V431" s="575"/>
      <c r="W431" s="575"/>
      <c r="X431" s="575"/>
      <c r="Y431" s="575"/>
      <c r="Z431" s="809"/>
      <c r="AA431" s="575"/>
      <c r="AB431" s="575"/>
      <c r="AC431" s="575"/>
      <c r="AD431" s="575"/>
      <c r="AE431" s="827"/>
      <c r="AF431" s="575"/>
      <c r="AG431" s="960"/>
      <c r="AH431" s="842"/>
      <c r="AI431" s="738">
        <f t="shared" si="22"/>
        <v>0</v>
      </c>
      <c r="AJ431" s="949">
        <v>0</v>
      </c>
      <c r="AK431" s="581">
        <f t="shared" si="20"/>
        <v>0</v>
      </c>
      <c r="AL431" s="750" t="s">
        <v>1685</v>
      </c>
      <c r="AM431" s="743">
        <f t="shared" si="21"/>
        <v>7.54</v>
      </c>
    </row>
    <row r="432" spans="1:39" s="560" customFormat="1">
      <c r="A432" s="604" t="s">
        <v>907</v>
      </c>
      <c r="B432" s="604" t="s">
        <v>1256</v>
      </c>
      <c r="C432" s="614" t="s">
        <v>36</v>
      </c>
      <c r="D432" s="580"/>
      <c r="E432" s="778"/>
      <c r="F432" s="581"/>
      <c r="G432" s="581"/>
      <c r="H432" s="581"/>
      <c r="I432" s="949"/>
      <c r="J432" s="949"/>
      <c r="K432" s="949"/>
      <c r="L432" s="809"/>
      <c r="M432" s="575"/>
      <c r="N432" s="575"/>
      <c r="O432" s="575"/>
      <c r="P432" s="575"/>
      <c r="Q432" s="575"/>
      <c r="R432" s="575"/>
      <c r="S432" s="809"/>
      <c r="T432" s="575"/>
      <c r="U432" s="575"/>
      <c r="V432" s="575"/>
      <c r="W432" s="575"/>
      <c r="X432" s="575"/>
      <c r="Y432" s="575"/>
      <c r="Z432" s="809"/>
      <c r="AA432" s="575"/>
      <c r="AB432" s="575"/>
      <c r="AC432" s="575"/>
      <c r="AD432" s="575"/>
      <c r="AE432" s="827"/>
      <c r="AF432" s="575"/>
      <c r="AG432" s="960"/>
      <c r="AH432" s="842"/>
      <c r="AI432" s="738">
        <f t="shared" si="22"/>
        <v>0</v>
      </c>
      <c r="AJ432" s="949">
        <v>0</v>
      </c>
      <c r="AK432" s="581">
        <f t="shared" si="20"/>
        <v>0</v>
      </c>
      <c r="AL432" s="750" t="s">
        <v>1686</v>
      </c>
      <c r="AM432" s="743">
        <f t="shared" si="21"/>
        <v>1.25</v>
      </c>
    </row>
    <row r="433" spans="1:39" s="560" customFormat="1">
      <c r="A433" s="604" t="s">
        <v>908</v>
      </c>
      <c r="B433" s="604" t="s">
        <v>1257</v>
      </c>
      <c r="C433" s="614" t="s">
        <v>36</v>
      </c>
      <c r="D433" s="580"/>
      <c r="E433" s="778"/>
      <c r="F433" s="581"/>
      <c r="G433" s="581"/>
      <c r="H433" s="581"/>
      <c r="I433" s="949"/>
      <c r="J433" s="949"/>
      <c r="K433" s="949"/>
      <c r="L433" s="809"/>
      <c r="M433" s="575"/>
      <c r="N433" s="575"/>
      <c r="O433" s="575"/>
      <c r="P433" s="575"/>
      <c r="Q433" s="575"/>
      <c r="R433" s="575"/>
      <c r="S433" s="809"/>
      <c r="T433" s="575"/>
      <c r="U433" s="575"/>
      <c r="V433" s="575"/>
      <c r="W433" s="575"/>
      <c r="X433" s="575"/>
      <c r="Y433" s="575"/>
      <c r="Z433" s="809"/>
      <c r="AA433" s="575"/>
      <c r="AB433" s="575"/>
      <c r="AC433" s="575"/>
      <c r="AD433" s="575"/>
      <c r="AE433" s="827"/>
      <c r="AF433" s="575"/>
      <c r="AG433" s="960"/>
      <c r="AH433" s="842"/>
      <c r="AI433" s="738">
        <f t="shared" si="22"/>
        <v>0</v>
      </c>
      <c r="AJ433" s="949">
        <v>0</v>
      </c>
      <c r="AK433" s="581">
        <f t="shared" si="20"/>
        <v>0</v>
      </c>
      <c r="AL433" s="750"/>
      <c r="AM433" s="743">
        <f t="shared" si="21"/>
        <v>0</v>
      </c>
    </row>
    <row r="434" spans="1:39" s="560" customFormat="1">
      <c r="A434" s="607" t="s">
        <v>909</v>
      </c>
      <c r="B434" s="607" t="s">
        <v>1258</v>
      </c>
      <c r="C434" s="690"/>
      <c r="D434" s="580"/>
      <c r="E434" s="778"/>
      <c r="F434" s="581"/>
      <c r="G434" s="581"/>
      <c r="H434" s="581"/>
      <c r="I434" s="949"/>
      <c r="J434" s="949"/>
      <c r="K434" s="949"/>
      <c r="L434" s="809"/>
      <c r="M434" s="575"/>
      <c r="N434" s="575"/>
      <c r="O434" s="575"/>
      <c r="P434" s="575"/>
      <c r="Q434" s="575"/>
      <c r="R434" s="575"/>
      <c r="S434" s="809"/>
      <c r="T434" s="575"/>
      <c r="U434" s="575"/>
      <c r="V434" s="575"/>
      <c r="W434" s="575"/>
      <c r="X434" s="575"/>
      <c r="Y434" s="575"/>
      <c r="Z434" s="809"/>
      <c r="AA434" s="575"/>
      <c r="AB434" s="575"/>
      <c r="AC434" s="575"/>
      <c r="AD434" s="575"/>
      <c r="AE434" s="827"/>
      <c r="AF434" s="575"/>
      <c r="AG434" s="960"/>
      <c r="AH434" s="842"/>
      <c r="AI434" s="738">
        <f t="shared" si="22"/>
        <v>0</v>
      </c>
      <c r="AJ434" s="949">
        <v>0</v>
      </c>
      <c r="AK434" s="581">
        <f t="shared" si="20"/>
        <v>0</v>
      </c>
      <c r="AL434" s="750" t="s">
        <v>1671</v>
      </c>
      <c r="AM434" s="743">
        <f t="shared" si="21"/>
        <v>38.24</v>
      </c>
    </row>
    <row r="435" spans="1:39" s="560" customFormat="1">
      <c r="A435" s="604" t="s">
        <v>910</v>
      </c>
      <c r="B435" s="604" t="s">
        <v>1259</v>
      </c>
      <c r="C435" s="614" t="s">
        <v>36</v>
      </c>
      <c r="D435" s="580"/>
      <c r="E435" s="778"/>
      <c r="F435" s="581"/>
      <c r="G435" s="581"/>
      <c r="H435" s="581"/>
      <c r="I435" s="949"/>
      <c r="J435" s="949"/>
      <c r="K435" s="949"/>
      <c r="L435" s="809"/>
      <c r="M435" s="575"/>
      <c r="N435" s="575"/>
      <c r="O435" s="575"/>
      <c r="P435" s="575"/>
      <c r="Q435" s="575"/>
      <c r="R435" s="575"/>
      <c r="S435" s="809"/>
      <c r="T435" s="575"/>
      <c r="U435" s="575"/>
      <c r="V435" s="575"/>
      <c r="W435" s="575"/>
      <c r="X435" s="575"/>
      <c r="Y435" s="575"/>
      <c r="Z435" s="809"/>
      <c r="AA435" s="575"/>
      <c r="AB435" s="575"/>
      <c r="AC435" s="575"/>
      <c r="AD435" s="575"/>
      <c r="AE435" s="827"/>
      <c r="AF435" s="575"/>
      <c r="AG435" s="960"/>
      <c r="AH435" s="842"/>
      <c r="AI435" s="738">
        <f t="shared" si="22"/>
        <v>0</v>
      </c>
      <c r="AJ435" s="949">
        <v>0</v>
      </c>
      <c r="AK435" s="581">
        <f t="shared" si="20"/>
        <v>0</v>
      </c>
      <c r="AL435" s="750" t="s">
        <v>1665</v>
      </c>
      <c r="AM435" s="743">
        <f t="shared" si="21"/>
        <v>83.58</v>
      </c>
    </row>
    <row r="436" spans="1:39" s="560" customFormat="1">
      <c r="A436" s="604" t="s">
        <v>911</v>
      </c>
      <c r="B436" s="604" t="s">
        <v>1260</v>
      </c>
      <c r="C436" s="614" t="s">
        <v>36</v>
      </c>
      <c r="D436" s="580"/>
      <c r="E436" s="778"/>
      <c r="F436" s="581"/>
      <c r="G436" s="581"/>
      <c r="H436" s="581"/>
      <c r="I436" s="949"/>
      <c r="J436" s="949"/>
      <c r="K436" s="949"/>
      <c r="L436" s="809"/>
      <c r="M436" s="575"/>
      <c r="N436" s="575"/>
      <c r="O436" s="575"/>
      <c r="P436" s="575"/>
      <c r="Q436" s="575"/>
      <c r="R436" s="575"/>
      <c r="S436" s="809"/>
      <c r="T436" s="575"/>
      <c r="U436" s="575"/>
      <c r="V436" s="575"/>
      <c r="W436" s="575"/>
      <c r="X436" s="575"/>
      <c r="Y436" s="575"/>
      <c r="Z436" s="809"/>
      <c r="AA436" s="575"/>
      <c r="AB436" s="575"/>
      <c r="AC436" s="575"/>
      <c r="AD436" s="575"/>
      <c r="AE436" s="827"/>
      <c r="AF436" s="575"/>
      <c r="AG436" s="960"/>
      <c r="AH436" s="842"/>
      <c r="AI436" s="738">
        <f t="shared" si="22"/>
        <v>0</v>
      </c>
      <c r="AJ436" s="949">
        <v>0</v>
      </c>
      <c r="AK436" s="581">
        <f t="shared" si="20"/>
        <v>0</v>
      </c>
      <c r="AL436" s="750" t="s">
        <v>1663</v>
      </c>
      <c r="AM436" s="743">
        <f t="shared" si="21"/>
        <v>45.75</v>
      </c>
    </row>
    <row r="437" spans="1:39" s="560" customFormat="1">
      <c r="A437" s="604" t="s">
        <v>912</v>
      </c>
      <c r="B437" s="604" t="s">
        <v>1261</v>
      </c>
      <c r="C437" s="614" t="s">
        <v>36</v>
      </c>
      <c r="D437" s="580"/>
      <c r="E437" s="778"/>
      <c r="F437" s="581"/>
      <c r="G437" s="581"/>
      <c r="H437" s="581"/>
      <c r="I437" s="949"/>
      <c r="J437" s="949"/>
      <c r="K437" s="949"/>
      <c r="L437" s="809"/>
      <c r="M437" s="575"/>
      <c r="N437" s="575"/>
      <c r="O437" s="575"/>
      <c r="P437" s="575"/>
      <c r="Q437" s="575"/>
      <c r="R437" s="575"/>
      <c r="S437" s="809"/>
      <c r="T437" s="575"/>
      <c r="U437" s="575"/>
      <c r="V437" s="575"/>
      <c r="W437" s="575"/>
      <c r="X437" s="575"/>
      <c r="Y437" s="575"/>
      <c r="Z437" s="809"/>
      <c r="AA437" s="575"/>
      <c r="AB437" s="575"/>
      <c r="AC437" s="575"/>
      <c r="AD437" s="575"/>
      <c r="AE437" s="827"/>
      <c r="AF437" s="575"/>
      <c r="AG437" s="960"/>
      <c r="AH437" s="842"/>
      <c r="AI437" s="738">
        <f t="shared" si="22"/>
        <v>0</v>
      </c>
      <c r="AJ437" s="949">
        <v>0</v>
      </c>
      <c r="AK437" s="581">
        <f t="shared" si="20"/>
        <v>0</v>
      </c>
      <c r="AL437" s="750" t="s">
        <v>1666</v>
      </c>
      <c r="AM437" s="743">
        <f t="shared" si="21"/>
        <v>12.95</v>
      </c>
    </row>
    <row r="438" spans="1:39" s="560" customFormat="1">
      <c r="A438" s="604" t="s">
        <v>913</v>
      </c>
      <c r="B438" s="604" t="s">
        <v>1262</v>
      </c>
      <c r="C438" s="614" t="s">
        <v>36</v>
      </c>
      <c r="D438" s="580"/>
      <c r="E438" s="778"/>
      <c r="F438" s="581"/>
      <c r="G438" s="581"/>
      <c r="H438" s="581"/>
      <c r="I438" s="949"/>
      <c r="J438" s="949"/>
      <c r="K438" s="949"/>
      <c r="L438" s="809"/>
      <c r="M438" s="575"/>
      <c r="N438" s="575"/>
      <c r="O438" s="575"/>
      <c r="P438" s="575"/>
      <c r="Q438" s="575"/>
      <c r="R438" s="575"/>
      <c r="S438" s="809"/>
      <c r="T438" s="575"/>
      <c r="U438" s="575"/>
      <c r="V438" s="575"/>
      <c r="W438" s="575"/>
      <c r="X438" s="575"/>
      <c r="Y438" s="575"/>
      <c r="Z438" s="809"/>
      <c r="AA438" s="575"/>
      <c r="AB438" s="575"/>
      <c r="AC438" s="575"/>
      <c r="AD438" s="575"/>
      <c r="AE438" s="827"/>
      <c r="AF438" s="575"/>
      <c r="AG438" s="960"/>
      <c r="AH438" s="842"/>
      <c r="AI438" s="738">
        <f t="shared" si="22"/>
        <v>0</v>
      </c>
      <c r="AJ438" s="949">
        <v>0</v>
      </c>
      <c r="AK438" s="581">
        <f t="shared" si="20"/>
        <v>0</v>
      </c>
      <c r="AL438" s="750" t="s">
        <v>1667</v>
      </c>
      <c r="AM438" s="743">
        <f t="shared" si="21"/>
        <v>24.87</v>
      </c>
    </row>
    <row r="439" spans="1:39" s="560" customFormat="1">
      <c r="A439" s="604" t="s">
        <v>914</v>
      </c>
      <c r="B439" s="604" t="s">
        <v>1263</v>
      </c>
      <c r="C439" s="614" t="s">
        <v>36</v>
      </c>
      <c r="D439" s="580"/>
      <c r="E439" s="778"/>
      <c r="F439" s="581"/>
      <c r="G439" s="581"/>
      <c r="H439" s="581"/>
      <c r="I439" s="949"/>
      <c r="J439" s="949"/>
      <c r="K439" s="949"/>
      <c r="L439" s="809"/>
      <c r="M439" s="575"/>
      <c r="N439" s="575"/>
      <c r="O439" s="575"/>
      <c r="P439" s="575"/>
      <c r="Q439" s="575"/>
      <c r="R439" s="575"/>
      <c r="S439" s="809"/>
      <c r="T439" s="575"/>
      <c r="U439" s="575"/>
      <c r="V439" s="575"/>
      <c r="W439" s="575"/>
      <c r="X439" s="575"/>
      <c r="Y439" s="575"/>
      <c r="Z439" s="809"/>
      <c r="AA439" s="575"/>
      <c r="AB439" s="575"/>
      <c r="AC439" s="575"/>
      <c r="AD439" s="575"/>
      <c r="AE439" s="827"/>
      <c r="AF439" s="575"/>
      <c r="AG439" s="960"/>
      <c r="AH439" s="842"/>
      <c r="AI439" s="738">
        <f t="shared" si="22"/>
        <v>0</v>
      </c>
      <c r="AJ439" s="949">
        <v>0</v>
      </c>
      <c r="AK439" s="581">
        <f t="shared" si="20"/>
        <v>0</v>
      </c>
      <c r="AL439" s="750" t="s">
        <v>1678</v>
      </c>
      <c r="AM439" s="743">
        <f t="shared" si="21"/>
        <v>6.66</v>
      </c>
    </row>
    <row r="440" spans="1:39" s="560" customFormat="1">
      <c r="A440" s="604" t="s">
        <v>915</v>
      </c>
      <c r="B440" s="604" t="s">
        <v>1264</v>
      </c>
      <c r="C440" s="614" t="s">
        <v>36</v>
      </c>
      <c r="D440" s="580"/>
      <c r="E440" s="778"/>
      <c r="F440" s="581"/>
      <c r="G440" s="581"/>
      <c r="H440" s="581"/>
      <c r="I440" s="949"/>
      <c r="J440" s="949"/>
      <c r="K440" s="949"/>
      <c r="L440" s="809"/>
      <c r="M440" s="575"/>
      <c r="N440" s="575"/>
      <c r="O440" s="575"/>
      <c r="P440" s="575"/>
      <c r="Q440" s="575"/>
      <c r="R440" s="575"/>
      <c r="S440" s="809"/>
      <c r="T440" s="575"/>
      <c r="U440" s="575"/>
      <c r="V440" s="575"/>
      <c r="W440" s="575"/>
      <c r="X440" s="575"/>
      <c r="Y440" s="575"/>
      <c r="Z440" s="809"/>
      <c r="AA440" s="575"/>
      <c r="AB440" s="575"/>
      <c r="AC440" s="575"/>
      <c r="AD440" s="575"/>
      <c r="AE440" s="827"/>
      <c r="AF440" s="575"/>
      <c r="AG440" s="960"/>
      <c r="AH440" s="842"/>
      <c r="AI440" s="738">
        <f t="shared" si="22"/>
        <v>0</v>
      </c>
      <c r="AJ440" s="949">
        <v>0</v>
      </c>
      <c r="AK440" s="581">
        <f t="shared" si="20"/>
        <v>0</v>
      </c>
      <c r="AL440" s="750" t="s">
        <v>1687</v>
      </c>
      <c r="AM440" s="743">
        <f t="shared" si="21"/>
        <v>12.48</v>
      </c>
    </row>
    <row r="441" spans="1:39" s="560" customFormat="1">
      <c r="A441" s="604" t="s">
        <v>916</v>
      </c>
      <c r="B441" s="604" t="s">
        <v>1265</v>
      </c>
      <c r="C441" s="614" t="s">
        <v>36</v>
      </c>
      <c r="D441" s="580"/>
      <c r="E441" s="778"/>
      <c r="F441" s="581"/>
      <c r="G441" s="581"/>
      <c r="H441" s="581"/>
      <c r="I441" s="949"/>
      <c r="J441" s="949"/>
      <c r="K441" s="949"/>
      <c r="L441" s="809"/>
      <c r="M441" s="575"/>
      <c r="N441" s="575"/>
      <c r="O441" s="575"/>
      <c r="P441" s="575"/>
      <c r="Q441" s="575"/>
      <c r="R441" s="575"/>
      <c r="S441" s="809"/>
      <c r="T441" s="575"/>
      <c r="U441" s="575"/>
      <c r="V441" s="575"/>
      <c r="W441" s="575"/>
      <c r="X441" s="575"/>
      <c r="Y441" s="575"/>
      <c r="Z441" s="809"/>
      <c r="AA441" s="575"/>
      <c r="AB441" s="575"/>
      <c r="AC441" s="575"/>
      <c r="AD441" s="575"/>
      <c r="AE441" s="827"/>
      <c r="AF441" s="575"/>
      <c r="AG441" s="960"/>
      <c r="AH441" s="842"/>
      <c r="AI441" s="738">
        <f t="shared" si="22"/>
        <v>0</v>
      </c>
      <c r="AJ441" s="949">
        <v>0</v>
      </c>
      <c r="AK441" s="581">
        <f t="shared" si="20"/>
        <v>0</v>
      </c>
      <c r="AL441" s="750"/>
      <c r="AM441" s="743">
        <f t="shared" si="21"/>
        <v>0</v>
      </c>
    </row>
    <row r="442" spans="1:39" s="560" customFormat="1">
      <c r="A442" s="607" t="s">
        <v>917</v>
      </c>
      <c r="B442" s="607" t="s">
        <v>1266</v>
      </c>
      <c r="C442" s="690"/>
      <c r="D442" s="580"/>
      <c r="E442" s="778"/>
      <c r="F442" s="581"/>
      <c r="G442" s="581"/>
      <c r="H442" s="581"/>
      <c r="I442" s="949"/>
      <c r="J442" s="949"/>
      <c r="K442" s="949"/>
      <c r="L442" s="809"/>
      <c r="M442" s="575"/>
      <c r="N442" s="575"/>
      <c r="O442" s="575"/>
      <c r="P442" s="575"/>
      <c r="Q442" s="575"/>
      <c r="R442" s="575"/>
      <c r="S442" s="809"/>
      <c r="T442" s="575"/>
      <c r="U442" s="575"/>
      <c r="V442" s="575"/>
      <c r="W442" s="575"/>
      <c r="X442" s="575"/>
      <c r="Y442" s="575"/>
      <c r="Z442" s="809"/>
      <c r="AA442" s="575"/>
      <c r="AB442" s="575"/>
      <c r="AC442" s="575"/>
      <c r="AD442" s="575"/>
      <c r="AE442" s="827"/>
      <c r="AF442" s="575"/>
      <c r="AG442" s="960"/>
      <c r="AH442" s="842"/>
      <c r="AI442" s="738">
        <f t="shared" si="22"/>
        <v>0</v>
      </c>
      <c r="AJ442" s="949">
        <v>0</v>
      </c>
      <c r="AK442" s="581">
        <f t="shared" si="20"/>
        <v>0</v>
      </c>
      <c r="AL442" s="750" t="s">
        <v>1441</v>
      </c>
      <c r="AM442" s="743">
        <f t="shared" si="21"/>
        <v>1</v>
      </c>
    </row>
    <row r="443" spans="1:39" s="560" customFormat="1">
      <c r="A443" s="604" t="s">
        <v>918</v>
      </c>
      <c r="B443" s="604" t="s">
        <v>1267</v>
      </c>
      <c r="C443" s="614" t="s">
        <v>1436</v>
      </c>
      <c r="D443" s="580"/>
      <c r="E443" s="778"/>
      <c r="F443" s="581"/>
      <c r="G443" s="581"/>
      <c r="H443" s="581"/>
      <c r="I443" s="949"/>
      <c r="J443" s="949"/>
      <c r="K443" s="949"/>
      <c r="L443" s="809"/>
      <c r="M443" s="575"/>
      <c r="N443" s="575"/>
      <c r="O443" s="575"/>
      <c r="P443" s="575"/>
      <c r="Q443" s="575"/>
      <c r="R443" s="575"/>
      <c r="S443" s="809"/>
      <c r="T443" s="575"/>
      <c r="U443" s="575"/>
      <c r="V443" s="575"/>
      <c r="W443" s="575"/>
      <c r="X443" s="575"/>
      <c r="Y443" s="575"/>
      <c r="Z443" s="809"/>
      <c r="AA443" s="575"/>
      <c r="AB443" s="575"/>
      <c r="AC443" s="575"/>
      <c r="AD443" s="575"/>
      <c r="AE443" s="827"/>
      <c r="AF443" s="575"/>
      <c r="AG443" s="960"/>
      <c r="AH443" s="842"/>
      <c r="AI443" s="738">
        <f t="shared" si="22"/>
        <v>0</v>
      </c>
      <c r="AJ443" s="949">
        <v>0</v>
      </c>
      <c r="AK443" s="581">
        <f t="shared" si="20"/>
        <v>0</v>
      </c>
      <c r="AL443" s="750" t="s">
        <v>1441</v>
      </c>
      <c r="AM443" s="743">
        <f t="shared" si="21"/>
        <v>1</v>
      </c>
    </row>
    <row r="444" spans="1:39" s="560" customFormat="1">
      <c r="A444" s="604" t="s">
        <v>919</v>
      </c>
      <c r="B444" s="604" t="s">
        <v>1268</v>
      </c>
      <c r="C444" s="614" t="s">
        <v>63</v>
      </c>
      <c r="D444" s="580"/>
      <c r="E444" s="778"/>
      <c r="F444" s="581"/>
      <c r="G444" s="581"/>
      <c r="H444" s="581"/>
      <c r="I444" s="949"/>
      <c r="J444" s="949"/>
      <c r="K444" s="949"/>
      <c r="L444" s="809"/>
      <c r="M444" s="575"/>
      <c r="N444" s="575"/>
      <c r="O444" s="575"/>
      <c r="P444" s="575"/>
      <c r="Q444" s="575"/>
      <c r="R444" s="575"/>
      <c r="S444" s="809"/>
      <c r="T444" s="575"/>
      <c r="U444" s="575"/>
      <c r="V444" s="575"/>
      <c r="W444" s="575"/>
      <c r="X444" s="575"/>
      <c r="Y444" s="575"/>
      <c r="Z444" s="809"/>
      <c r="AA444" s="575"/>
      <c r="AB444" s="575"/>
      <c r="AC444" s="575"/>
      <c r="AD444" s="575"/>
      <c r="AE444" s="827"/>
      <c r="AF444" s="575"/>
      <c r="AG444" s="960"/>
      <c r="AH444" s="842"/>
      <c r="AI444" s="738">
        <f t="shared" si="22"/>
        <v>0</v>
      </c>
      <c r="AJ444" s="949">
        <v>0</v>
      </c>
      <c r="AK444" s="581">
        <f t="shared" si="20"/>
        <v>0</v>
      </c>
      <c r="AL444" s="750" t="s">
        <v>1688</v>
      </c>
      <c r="AM444" s="743">
        <f t="shared" si="21"/>
        <v>6.79</v>
      </c>
    </row>
    <row r="445" spans="1:39" s="560" customFormat="1">
      <c r="A445" s="604" t="s">
        <v>920</v>
      </c>
      <c r="B445" s="604" t="s">
        <v>1269</v>
      </c>
      <c r="C445" s="614" t="s">
        <v>36</v>
      </c>
      <c r="D445" s="580"/>
      <c r="E445" s="778"/>
      <c r="F445" s="581"/>
      <c r="G445" s="581"/>
      <c r="H445" s="581"/>
      <c r="I445" s="949"/>
      <c r="J445" s="949"/>
      <c r="K445" s="949"/>
      <c r="L445" s="809"/>
      <c r="M445" s="575"/>
      <c r="N445" s="575"/>
      <c r="O445" s="575"/>
      <c r="P445" s="575"/>
      <c r="Q445" s="575"/>
      <c r="R445" s="575"/>
      <c r="S445" s="809"/>
      <c r="T445" s="575"/>
      <c r="U445" s="575"/>
      <c r="V445" s="575"/>
      <c r="W445" s="575"/>
      <c r="X445" s="575"/>
      <c r="Y445" s="575"/>
      <c r="Z445" s="809"/>
      <c r="AA445" s="575"/>
      <c r="AB445" s="575"/>
      <c r="AC445" s="575"/>
      <c r="AD445" s="575"/>
      <c r="AE445" s="827"/>
      <c r="AF445" s="575"/>
      <c r="AG445" s="960"/>
      <c r="AH445" s="842"/>
      <c r="AI445" s="738">
        <f t="shared" si="22"/>
        <v>0</v>
      </c>
      <c r="AJ445" s="949">
        <v>0</v>
      </c>
      <c r="AK445" s="581">
        <f t="shared" si="20"/>
        <v>0</v>
      </c>
      <c r="AL445" s="750"/>
      <c r="AM445" s="743">
        <f t="shared" si="21"/>
        <v>0</v>
      </c>
    </row>
    <row r="446" spans="1:39" s="560" customFormat="1">
      <c r="A446" s="492" t="s">
        <v>504</v>
      </c>
      <c r="B446" s="608" t="s">
        <v>1283</v>
      </c>
      <c r="C446" s="690"/>
      <c r="D446" s="580"/>
      <c r="E446" s="778"/>
      <c r="F446" s="581"/>
      <c r="G446" s="581"/>
      <c r="H446" s="581"/>
      <c r="I446" s="949"/>
      <c r="J446" s="949"/>
      <c r="K446" s="949"/>
      <c r="L446" s="809"/>
      <c r="M446" s="575"/>
      <c r="N446" s="575"/>
      <c r="O446" s="575"/>
      <c r="P446" s="575"/>
      <c r="Q446" s="575"/>
      <c r="R446" s="575"/>
      <c r="S446" s="809"/>
      <c r="T446" s="575"/>
      <c r="U446" s="575"/>
      <c r="V446" s="575"/>
      <c r="W446" s="575"/>
      <c r="X446" s="575"/>
      <c r="Y446" s="575"/>
      <c r="Z446" s="809"/>
      <c r="AA446" s="575"/>
      <c r="AB446" s="575"/>
      <c r="AC446" s="575"/>
      <c r="AD446" s="575"/>
      <c r="AE446" s="827"/>
      <c r="AF446" s="575"/>
      <c r="AG446" s="960"/>
      <c r="AH446" s="842"/>
      <c r="AI446" s="738">
        <f t="shared" si="22"/>
        <v>0</v>
      </c>
      <c r="AJ446" s="949">
        <v>0</v>
      </c>
      <c r="AK446" s="581">
        <f t="shared" si="20"/>
        <v>0</v>
      </c>
      <c r="AL446" s="750"/>
      <c r="AM446" s="743">
        <f t="shared" si="21"/>
        <v>0</v>
      </c>
    </row>
    <row r="447" spans="1:39" s="560" customFormat="1">
      <c r="A447" s="607" t="s">
        <v>505</v>
      </c>
      <c r="B447" s="607" t="s">
        <v>1222</v>
      </c>
      <c r="C447" s="690"/>
      <c r="D447" s="580"/>
      <c r="E447" s="778"/>
      <c r="F447" s="581"/>
      <c r="G447" s="581"/>
      <c r="H447" s="581"/>
      <c r="I447" s="949"/>
      <c r="J447" s="949"/>
      <c r="K447" s="949"/>
      <c r="L447" s="809"/>
      <c r="M447" s="575"/>
      <c r="N447" s="575"/>
      <c r="O447" s="575"/>
      <c r="P447" s="575"/>
      <c r="Q447" s="575"/>
      <c r="R447" s="575"/>
      <c r="S447" s="809"/>
      <c r="T447" s="575"/>
      <c r="U447" s="575"/>
      <c r="V447" s="575"/>
      <c r="W447" s="575"/>
      <c r="X447" s="575"/>
      <c r="Y447" s="575"/>
      <c r="Z447" s="809"/>
      <c r="AA447" s="575"/>
      <c r="AB447" s="575"/>
      <c r="AC447" s="575"/>
      <c r="AD447" s="575"/>
      <c r="AE447" s="827"/>
      <c r="AF447" s="575"/>
      <c r="AG447" s="960"/>
      <c r="AH447" s="842"/>
      <c r="AI447" s="738">
        <f t="shared" si="22"/>
        <v>0</v>
      </c>
      <c r="AJ447" s="949">
        <v>0</v>
      </c>
      <c r="AK447" s="581">
        <f t="shared" si="20"/>
        <v>0</v>
      </c>
      <c r="AL447" s="750" t="s">
        <v>1689</v>
      </c>
      <c r="AM447" s="743">
        <f t="shared" si="21"/>
        <v>56.66</v>
      </c>
    </row>
    <row r="448" spans="1:39" s="560" customFormat="1">
      <c r="A448" s="604" t="s">
        <v>506</v>
      </c>
      <c r="B448" s="604" t="s">
        <v>1223</v>
      </c>
      <c r="C448" s="614" t="s">
        <v>36</v>
      </c>
      <c r="D448" s="580"/>
      <c r="E448" s="778"/>
      <c r="F448" s="581"/>
      <c r="G448" s="581"/>
      <c r="H448" s="581"/>
      <c r="I448" s="949"/>
      <c r="J448" s="949"/>
      <c r="K448" s="949"/>
      <c r="L448" s="809"/>
      <c r="M448" s="575"/>
      <c r="N448" s="575"/>
      <c r="O448" s="575"/>
      <c r="P448" s="575"/>
      <c r="Q448" s="575"/>
      <c r="R448" s="575"/>
      <c r="S448" s="809"/>
      <c r="T448" s="575"/>
      <c r="U448" s="575"/>
      <c r="V448" s="575"/>
      <c r="W448" s="575"/>
      <c r="X448" s="575"/>
      <c r="Y448" s="575"/>
      <c r="Z448" s="809"/>
      <c r="AA448" s="575"/>
      <c r="AB448" s="575"/>
      <c r="AC448" s="575"/>
      <c r="AD448" s="575"/>
      <c r="AE448" s="827"/>
      <c r="AF448" s="575"/>
      <c r="AG448" s="960"/>
      <c r="AH448" s="842"/>
      <c r="AI448" s="738">
        <f t="shared" si="22"/>
        <v>0</v>
      </c>
      <c r="AJ448" s="949">
        <v>0</v>
      </c>
      <c r="AK448" s="581">
        <f t="shared" si="20"/>
        <v>0</v>
      </c>
      <c r="AL448" s="750" t="s">
        <v>1690</v>
      </c>
      <c r="AM448" s="743">
        <f t="shared" si="21"/>
        <v>8.17</v>
      </c>
    </row>
    <row r="449" spans="1:39" s="560" customFormat="1">
      <c r="A449" s="604" t="s">
        <v>507</v>
      </c>
      <c r="B449" s="604" t="s">
        <v>1224</v>
      </c>
      <c r="C449" s="614" t="s">
        <v>36</v>
      </c>
      <c r="D449" s="580"/>
      <c r="E449" s="778"/>
      <c r="F449" s="581"/>
      <c r="G449" s="581"/>
      <c r="H449" s="581"/>
      <c r="I449" s="949"/>
      <c r="J449" s="949"/>
      <c r="K449" s="949"/>
      <c r="L449" s="809"/>
      <c r="M449" s="575"/>
      <c r="N449" s="575"/>
      <c r="O449" s="575"/>
      <c r="P449" s="575"/>
      <c r="Q449" s="575"/>
      <c r="R449" s="575"/>
      <c r="S449" s="809"/>
      <c r="T449" s="575"/>
      <c r="U449" s="575"/>
      <c r="V449" s="575"/>
      <c r="W449" s="575"/>
      <c r="X449" s="575"/>
      <c r="Y449" s="575"/>
      <c r="Z449" s="809"/>
      <c r="AA449" s="575"/>
      <c r="AB449" s="575"/>
      <c r="AC449" s="575"/>
      <c r="AD449" s="575"/>
      <c r="AE449" s="827"/>
      <c r="AF449" s="575"/>
      <c r="AG449" s="960"/>
      <c r="AH449" s="842"/>
      <c r="AI449" s="738">
        <f t="shared" si="22"/>
        <v>0</v>
      </c>
      <c r="AJ449" s="949">
        <v>0</v>
      </c>
      <c r="AK449" s="581">
        <f t="shared" si="20"/>
        <v>0</v>
      </c>
      <c r="AL449" s="750"/>
      <c r="AM449" s="743">
        <f t="shared" si="21"/>
        <v>0</v>
      </c>
    </row>
    <row r="450" spans="1:39" s="560" customFormat="1">
      <c r="A450" s="607" t="s">
        <v>508</v>
      </c>
      <c r="B450" s="607" t="s">
        <v>1225</v>
      </c>
      <c r="C450" s="690"/>
      <c r="D450" s="580"/>
      <c r="E450" s="778"/>
      <c r="F450" s="581"/>
      <c r="G450" s="581"/>
      <c r="H450" s="581"/>
      <c r="I450" s="949"/>
      <c r="J450" s="949"/>
      <c r="K450" s="949"/>
      <c r="L450" s="809"/>
      <c r="M450" s="575"/>
      <c r="N450" s="575"/>
      <c r="O450" s="575"/>
      <c r="P450" s="575"/>
      <c r="Q450" s="575"/>
      <c r="R450" s="575"/>
      <c r="S450" s="809"/>
      <c r="T450" s="575"/>
      <c r="U450" s="575"/>
      <c r="V450" s="575"/>
      <c r="W450" s="575"/>
      <c r="X450" s="575"/>
      <c r="Y450" s="575"/>
      <c r="Z450" s="809"/>
      <c r="AA450" s="575"/>
      <c r="AB450" s="575"/>
      <c r="AC450" s="575"/>
      <c r="AD450" s="575"/>
      <c r="AE450" s="827"/>
      <c r="AF450" s="575"/>
      <c r="AG450" s="960"/>
      <c r="AH450" s="842"/>
      <c r="AI450" s="738">
        <f t="shared" si="22"/>
        <v>0</v>
      </c>
      <c r="AJ450" s="949">
        <v>0</v>
      </c>
      <c r="AK450" s="581">
        <f t="shared" si="20"/>
        <v>0</v>
      </c>
      <c r="AL450" s="750" t="s">
        <v>1691</v>
      </c>
      <c r="AM450" s="743">
        <f t="shared" si="21"/>
        <v>77.680000000000007</v>
      </c>
    </row>
    <row r="451" spans="1:39" s="560" customFormat="1">
      <c r="A451" s="604" t="s">
        <v>509</v>
      </c>
      <c r="B451" s="604" t="s">
        <v>1226</v>
      </c>
      <c r="C451" s="614" t="s">
        <v>36</v>
      </c>
      <c r="D451" s="580"/>
      <c r="E451" s="778"/>
      <c r="F451" s="581"/>
      <c r="G451" s="581"/>
      <c r="H451" s="581"/>
      <c r="I451" s="949"/>
      <c r="J451" s="949"/>
      <c r="K451" s="949"/>
      <c r="L451" s="809"/>
      <c r="M451" s="575"/>
      <c r="N451" s="575"/>
      <c r="O451" s="575"/>
      <c r="P451" s="575"/>
      <c r="Q451" s="575"/>
      <c r="R451" s="575"/>
      <c r="S451" s="809"/>
      <c r="T451" s="575"/>
      <c r="U451" s="575"/>
      <c r="V451" s="575"/>
      <c r="W451" s="575"/>
      <c r="X451" s="575"/>
      <c r="Y451" s="575"/>
      <c r="Z451" s="809"/>
      <c r="AA451" s="575"/>
      <c r="AB451" s="575"/>
      <c r="AC451" s="575"/>
      <c r="AD451" s="575"/>
      <c r="AE451" s="827"/>
      <c r="AF451" s="575"/>
      <c r="AG451" s="960"/>
      <c r="AH451" s="842"/>
      <c r="AI451" s="738">
        <f t="shared" si="22"/>
        <v>0</v>
      </c>
      <c r="AJ451" s="949">
        <v>0</v>
      </c>
      <c r="AK451" s="581">
        <f t="shared" si="20"/>
        <v>0</v>
      </c>
      <c r="AL451" s="750" t="s">
        <v>1692</v>
      </c>
      <c r="AM451" s="743">
        <f t="shared" si="21"/>
        <v>51.98</v>
      </c>
    </row>
    <row r="452" spans="1:39" s="560" customFormat="1">
      <c r="A452" s="604" t="s">
        <v>921</v>
      </c>
      <c r="B452" s="604" t="s">
        <v>1227</v>
      </c>
      <c r="C452" s="614" t="s">
        <v>36</v>
      </c>
      <c r="D452" s="580"/>
      <c r="E452" s="778"/>
      <c r="F452" s="581"/>
      <c r="G452" s="581"/>
      <c r="H452" s="581"/>
      <c r="I452" s="949"/>
      <c r="J452" s="949"/>
      <c r="K452" s="949"/>
      <c r="L452" s="809"/>
      <c r="M452" s="575"/>
      <c r="N452" s="575"/>
      <c r="O452" s="575"/>
      <c r="P452" s="575"/>
      <c r="Q452" s="575"/>
      <c r="R452" s="575"/>
      <c r="S452" s="809"/>
      <c r="T452" s="575"/>
      <c r="U452" s="575"/>
      <c r="V452" s="575"/>
      <c r="W452" s="575"/>
      <c r="X452" s="575"/>
      <c r="Y452" s="575"/>
      <c r="Z452" s="809"/>
      <c r="AA452" s="575"/>
      <c r="AB452" s="575"/>
      <c r="AC452" s="575"/>
      <c r="AD452" s="575"/>
      <c r="AE452" s="827"/>
      <c r="AF452" s="575"/>
      <c r="AG452" s="960"/>
      <c r="AH452" s="842"/>
      <c r="AI452" s="738">
        <f t="shared" si="22"/>
        <v>0</v>
      </c>
      <c r="AJ452" s="949">
        <v>0</v>
      </c>
      <c r="AK452" s="581">
        <f t="shared" si="20"/>
        <v>0</v>
      </c>
      <c r="AL452" s="750" t="s">
        <v>1693</v>
      </c>
      <c r="AM452" s="743">
        <f t="shared" si="21"/>
        <v>12</v>
      </c>
    </row>
    <row r="453" spans="1:39" s="560" customFormat="1">
      <c r="A453" s="604" t="s">
        <v>922</v>
      </c>
      <c r="B453" s="604" t="s">
        <v>1228</v>
      </c>
      <c r="C453" s="614" t="s">
        <v>36</v>
      </c>
      <c r="D453" s="580"/>
      <c r="E453" s="778"/>
      <c r="F453" s="581"/>
      <c r="G453" s="581"/>
      <c r="H453" s="581"/>
      <c r="I453" s="949"/>
      <c r="J453" s="949"/>
      <c r="K453" s="949"/>
      <c r="L453" s="809"/>
      <c r="M453" s="575"/>
      <c r="N453" s="575"/>
      <c r="O453" s="575"/>
      <c r="P453" s="575"/>
      <c r="Q453" s="575"/>
      <c r="R453" s="575"/>
      <c r="S453" s="809"/>
      <c r="T453" s="575"/>
      <c r="U453" s="575"/>
      <c r="V453" s="575"/>
      <c r="W453" s="575"/>
      <c r="X453" s="575"/>
      <c r="Y453" s="575"/>
      <c r="Z453" s="809"/>
      <c r="AA453" s="575"/>
      <c r="AB453" s="575"/>
      <c r="AC453" s="575"/>
      <c r="AD453" s="575"/>
      <c r="AE453" s="827"/>
      <c r="AF453" s="575"/>
      <c r="AG453" s="960"/>
      <c r="AH453" s="842"/>
      <c r="AI453" s="738">
        <f t="shared" si="22"/>
        <v>0</v>
      </c>
      <c r="AJ453" s="949">
        <v>0</v>
      </c>
      <c r="AK453" s="581">
        <f t="shared" si="20"/>
        <v>0</v>
      </c>
      <c r="AL453" s="750" t="s">
        <v>1694</v>
      </c>
      <c r="AM453" s="743">
        <f t="shared" si="21"/>
        <v>19.97</v>
      </c>
    </row>
    <row r="454" spans="1:39" s="560" customFormat="1">
      <c r="A454" s="604" t="s">
        <v>923</v>
      </c>
      <c r="B454" s="604" t="s">
        <v>1229</v>
      </c>
      <c r="C454" s="614" t="s">
        <v>36</v>
      </c>
      <c r="D454" s="580"/>
      <c r="E454" s="778"/>
      <c r="F454" s="581"/>
      <c r="G454" s="581"/>
      <c r="H454" s="581"/>
      <c r="I454" s="949"/>
      <c r="J454" s="949"/>
      <c r="K454" s="949"/>
      <c r="L454" s="809"/>
      <c r="M454" s="575"/>
      <c r="N454" s="575"/>
      <c r="O454" s="575"/>
      <c r="P454" s="575"/>
      <c r="Q454" s="575"/>
      <c r="R454" s="575"/>
      <c r="S454" s="809"/>
      <c r="T454" s="575"/>
      <c r="U454" s="575"/>
      <c r="V454" s="575"/>
      <c r="W454" s="575"/>
      <c r="X454" s="575"/>
      <c r="Y454" s="575"/>
      <c r="Z454" s="809"/>
      <c r="AA454" s="575"/>
      <c r="AB454" s="575"/>
      <c r="AC454" s="575"/>
      <c r="AD454" s="575"/>
      <c r="AE454" s="827"/>
      <c r="AF454" s="575"/>
      <c r="AG454" s="960"/>
      <c r="AH454" s="842"/>
      <c r="AI454" s="738">
        <f t="shared" si="22"/>
        <v>0</v>
      </c>
      <c r="AJ454" s="949">
        <v>0</v>
      </c>
      <c r="AK454" s="581">
        <f t="shared" si="20"/>
        <v>0</v>
      </c>
      <c r="AL454" s="750" t="s">
        <v>1695</v>
      </c>
      <c r="AM454" s="743">
        <f t="shared" si="21"/>
        <v>35.729999999999997</v>
      </c>
    </row>
    <row r="455" spans="1:39" s="560" customFormat="1">
      <c r="A455" s="604" t="s">
        <v>924</v>
      </c>
      <c r="B455" s="604" t="s">
        <v>1230</v>
      </c>
      <c r="C455" s="614" t="s">
        <v>36</v>
      </c>
      <c r="D455" s="580"/>
      <c r="E455" s="778"/>
      <c r="F455" s="581"/>
      <c r="G455" s="581"/>
      <c r="H455" s="581"/>
      <c r="I455" s="949"/>
      <c r="J455" s="949"/>
      <c r="K455" s="949"/>
      <c r="L455" s="809"/>
      <c r="M455" s="575"/>
      <c r="N455" s="575"/>
      <c r="O455" s="575"/>
      <c r="P455" s="575"/>
      <c r="Q455" s="575"/>
      <c r="R455" s="575"/>
      <c r="S455" s="809"/>
      <c r="T455" s="575"/>
      <c r="U455" s="575"/>
      <c r="V455" s="575"/>
      <c r="W455" s="575"/>
      <c r="X455" s="575"/>
      <c r="Y455" s="575"/>
      <c r="Z455" s="809"/>
      <c r="AA455" s="575"/>
      <c r="AB455" s="575"/>
      <c r="AC455" s="575"/>
      <c r="AD455" s="575"/>
      <c r="AE455" s="827"/>
      <c r="AF455" s="575"/>
      <c r="AG455" s="960"/>
      <c r="AH455" s="842"/>
      <c r="AI455" s="738">
        <f t="shared" si="22"/>
        <v>0</v>
      </c>
      <c r="AJ455" s="949">
        <v>0</v>
      </c>
      <c r="AK455" s="581">
        <f t="shared" si="20"/>
        <v>0</v>
      </c>
      <c r="AL455" s="750" t="s">
        <v>1696</v>
      </c>
      <c r="AM455" s="743">
        <f t="shared" si="21"/>
        <v>35.9</v>
      </c>
    </row>
    <row r="456" spans="1:39" s="560" customFormat="1">
      <c r="A456" s="604" t="s">
        <v>925</v>
      </c>
      <c r="B456" s="604" t="s">
        <v>1231</v>
      </c>
      <c r="C456" s="614" t="s">
        <v>37</v>
      </c>
      <c r="D456" s="580"/>
      <c r="E456" s="778"/>
      <c r="F456" s="581"/>
      <c r="G456" s="581"/>
      <c r="H456" s="581"/>
      <c r="I456" s="949"/>
      <c r="J456" s="949"/>
      <c r="K456" s="949"/>
      <c r="L456" s="809"/>
      <c r="M456" s="575"/>
      <c r="N456" s="575"/>
      <c r="O456" s="575"/>
      <c r="P456" s="575"/>
      <c r="Q456" s="575"/>
      <c r="R456" s="575"/>
      <c r="S456" s="809"/>
      <c r="T456" s="575"/>
      <c r="U456" s="575"/>
      <c r="V456" s="575"/>
      <c r="W456" s="575"/>
      <c r="X456" s="575"/>
      <c r="Y456" s="575"/>
      <c r="Z456" s="809"/>
      <c r="AA456" s="575"/>
      <c r="AB456" s="575"/>
      <c r="AC456" s="575"/>
      <c r="AD456" s="575"/>
      <c r="AE456" s="827"/>
      <c r="AF456" s="575"/>
      <c r="AG456" s="960"/>
      <c r="AH456" s="842"/>
      <c r="AI456" s="738">
        <f t="shared" si="22"/>
        <v>0</v>
      </c>
      <c r="AJ456" s="949">
        <v>0</v>
      </c>
      <c r="AK456" s="581">
        <f t="shared" si="20"/>
        <v>0</v>
      </c>
      <c r="AL456" s="750" t="s">
        <v>1697</v>
      </c>
      <c r="AM456" s="743">
        <f t="shared" si="21"/>
        <v>151.28</v>
      </c>
    </row>
    <row r="457" spans="1:39" s="560" customFormat="1">
      <c r="A457" s="604" t="s">
        <v>926</v>
      </c>
      <c r="B457" s="604" t="s">
        <v>1232</v>
      </c>
      <c r="C457" s="614" t="s">
        <v>37</v>
      </c>
      <c r="D457" s="580"/>
      <c r="E457" s="778"/>
      <c r="F457" s="581"/>
      <c r="G457" s="581"/>
      <c r="H457" s="581"/>
      <c r="I457" s="949"/>
      <c r="J457" s="949"/>
      <c r="K457" s="949"/>
      <c r="L457" s="809"/>
      <c r="M457" s="575"/>
      <c r="N457" s="575"/>
      <c r="O457" s="575"/>
      <c r="P457" s="575"/>
      <c r="Q457" s="575"/>
      <c r="R457" s="575"/>
      <c r="S457" s="809"/>
      <c r="T457" s="575"/>
      <c r="U457" s="575"/>
      <c r="V457" s="575"/>
      <c r="W457" s="575"/>
      <c r="X457" s="575"/>
      <c r="Y457" s="575"/>
      <c r="Z457" s="809"/>
      <c r="AA457" s="575"/>
      <c r="AB457" s="575"/>
      <c r="AC457" s="575"/>
      <c r="AD457" s="575"/>
      <c r="AE457" s="827"/>
      <c r="AF457" s="575"/>
      <c r="AG457" s="960"/>
      <c r="AH457" s="842"/>
      <c r="AI457" s="738">
        <f t="shared" si="22"/>
        <v>0</v>
      </c>
      <c r="AJ457" s="949">
        <v>0</v>
      </c>
      <c r="AK457" s="581">
        <f t="shared" si="20"/>
        <v>0</v>
      </c>
      <c r="AL457" s="750"/>
      <c r="AM457" s="743">
        <f t="shared" si="21"/>
        <v>0</v>
      </c>
    </row>
    <row r="458" spans="1:39" s="560" customFormat="1">
      <c r="A458" s="607" t="s">
        <v>510</v>
      </c>
      <c r="B458" s="607" t="s">
        <v>1233</v>
      </c>
      <c r="C458" s="690"/>
      <c r="D458" s="580"/>
      <c r="E458" s="778"/>
      <c r="F458" s="581"/>
      <c r="G458" s="581"/>
      <c r="H458" s="581"/>
      <c r="I458" s="949"/>
      <c r="J458" s="949"/>
      <c r="K458" s="949"/>
      <c r="L458" s="809"/>
      <c r="M458" s="575"/>
      <c r="N458" s="575"/>
      <c r="O458" s="575"/>
      <c r="P458" s="575"/>
      <c r="Q458" s="575"/>
      <c r="R458" s="575"/>
      <c r="S458" s="809"/>
      <c r="T458" s="575"/>
      <c r="U458" s="575"/>
      <c r="V458" s="575"/>
      <c r="W458" s="575"/>
      <c r="X458" s="575"/>
      <c r="Y458" s="575"/>
      <c r="Z458" s="809"/>
      <c r="AA458" s="575"/>
      <c r="AB458" s="575"/>
      <c r="AC458" s="575"/>
      <c r="AD458" s="575"/>
      <c r="AE458" s="827"/>
      <c r="AF458" s="575"/>
      <c r="AG458" s="960"/>
      <c r="AH458" s="842"/>
      <c r="AI458" s="738">
        <f t="shared" si="22"/>
        <v>0</v>
      </c>
      <c r="AJ458" s="949">
        <v>0</v>
      </c>
      <c r="AK458" s="581">
        <f t="shared" si="20"/>
        <v>0</v>
      </c>
      <c r="AL458" s="750" t="s">
        <v>1698</v>
      </c>
      <c r="AM458" s="743">
        <f t="shared" si="21"/>
        <v>33.950000000000003</v>
      </c>
    </row>
    <row r="459" spans="1:39" s="560" customFormat="1">
      <c r="A459" s="604" t="s">
        <v>511</v>
      </c>
      <c r="B459" s="604" t="s">
        <v>1234</v>
      </c>
      <c r="C459" s="614" t="s">
        <v>36</v>
      </c>
      <c r="D459" s="580"/>
      <c r="E459" s="778"/>
      <c r="F459" s="581"/>
      <c r="G459" s="581"/>
      <c r="H459" s="581"/>
      <c r="I459" s="949"/>
      <c r="J459" s="949"/>
      <c r="K459" s="949"/>
      <c r="L459" s="809"/>
      <c r="M459" s="575"/>
      <c r="N459" s="575"/>
      <c r="O459" s="575"/>
      <c r="P459" s="575"/>
      <c r="Q459" s="575"/>
      <c r="R459" s="575"/>
      <c r="S459" s="809"/>
      <c r="T459" s="575"/>
      <c r="U459" s="575"/>
      <c r="V459" s="575"/>
      <c r="W459" s="575"/>
      <c r="X459" s="575"/>
      <c r="Y459" s="575"/>
      <c r="Z459" s="809"/>
      <c r="AA459" s="575"/>
      <c r="AB459" s="575"/>
      <c r="AC459" s="575"/>
      <c r="AD459" s="575"/>
      <c r="AE459" s="827"/>
      <c r="AF459" s="575"/>
      <c r="AG459" s="960"/>
      <c r="AH459" s="842"/>
      <c r="AI459" s="738">
        <f t="shared" si="22"/>
        <v>0</v>
      </c>
      <c r="AJ459" s="949">
        <v>0</v>
      </c>
      <c r="AK459" s="581">
        <f t="shared" si="20"/>
        <v>0</v>
      </c>
      <c r="AL459" s="750"/>
      <c r="AM459" s="743">
        <f t="shared" si="21"/>
        <v>0</v>
      </c>
    </row>
    <row r="460" spans="1:39" s="560" customFormat="1">
      <c r="A460" s="607" t="s">
        <v>927</v>
      </c>
      <c r="B460" s="607" t="s">
        <v>1235</v>
      </c>
      <c r="C460" s="690"/>
      <c r="D460" s="580"/>
      <c r="E460" s="778"/>
      <c r="F460" s="581"/>
      <c r="G460" s="581"/>
      <c r="H460" s="581"/>
      <c r="I460" s="949"/>
      <c r="J460" s="949"/>
      <c r="K460" s="949"/>
      <c r="L460" s="809"/>
      <c r="M460" s="575"/>
      <c r="N460" s="575"/>
      <c r="O460" s="575"/>
      <c r="P460" s="575"/>
      <c r="Q460" s="575"/>
      <c r="R460" s="575"/>
      <c r="S460" s="809"/>
      <c r="T460" s="575"/>
      <c r="U460" s="575"/>
      <c r="V460" s="575"/>
      <c r="W460" s="575"/>
      <c r="X460" s="575"/>
      <c r="Y460" s="575"/>
      <c r="Z460" s="809"/>
      <c r="AA460" s="575"/>
      <c r="AB460" s="575"/>
      <c r="AC460" s="575"/>
      <c r="AD460" s="575"/>
      <c r="AE460" s="827"/>
      <c r="AF460" s="575"/>
      <c r="AG460" s="960"/>
      <c r="AH460" s="842"/>
      <c r="AI460" s="738">
        <f t="shared" si="22"/>
        <v>0</v>
      </c>
      <c r="AJ460" s="949">
        <v>0</v>
      </c>
      <c r="AK460" s="581">
        <f t="shared" si="20"/>
        <v>0</v>
      </c>
      <c r="AL460" s="750" t="s">
        <v>1699</v>
      </c>
      <c r="AM460" s="743">
        <f t="shared" si="21"/>
        <v>22.08</v>
      </c>
    </row>
    <row r="461" spans="1:39" s="560" customFormat="1">
      <c r="A461" s="604" t="s">
        <v>928</v>
      </c>
      <c r="B461" s="604" t="s">
        <v>1236</v>
      </c>
      <c r="C461" s="614" t="s">
        <v>36</v>
      </c>
      <c r="D461" s="580"/>
      <c r="E461" s="778"/>
      <c r="F461" s="581"/>
      <c r="G461" s="581"/>
      <c r="H461" s="581"/>
      <c r="I461" s="949"/>
      <c r="J461" s="949"/>
      <c r="K461" s="949"/>
      <c r="L461" s="809"/>
      <c r="M461" s="575"/>
      <c r="N461" s="575"/>
      <c r="O461" s="575"/>
      <c r="P461" s="575"/>
      <c r="Q461" s="575"/>
      <c r="R461" s="575"/>
      <c r="S461" s="809"/>
      <c r="T461" s="575"/>
      <c r="U461" s="575"/>
      <c r="V461" s="575"/>
      <c r="W461" s="575"/>
      <c r="X461" s="575"/>
      <c r="Y461" s="575"/>
      <c r="Z461" s="809"/>
      <c r="AA461" s="575"/>
      <c r="AB461" s="575"/>
      <c r="AC461" s="575"/>
      <c r="AD461" s="575"/>
      <c r="AE461" s="827"/>
      <c r="AF461" s="575"/>
      <c r="AG461" s="960"/>
      <c r="AH461" s="842"/>
      <c r="AI461" s="738">
        <f t="shared" si="22"/>
        <v>0</v>
      </c>
      <c r="AJ461" s="949">
        <v>0</v>
      </c>
      <c r="AK461" s="581">
        <f t="shared" si="20"/>
        <v>0</v>
      </c>
      <c r="AL461" s="750" t="s">
        <v>1700</v>
      </c>
      <c r="AM461" s="743">
        <f t="shared" si="21"/>
        <v>12.13</v>
      </c>
    </row>
    <row r="462" spans="1:39" s="560" customFormat="1">
      <c r="A462" s="604" t="s">
        <v>929</v>
      </c>
      <c r="B462" s="604" t="s">
        <v>1237</v>
      </c>
      <c r="C462" s="614" t="s">
        <v>36</v>
      </c>
      <c r="D462" s="580"/>
      <c r="E462" s="778"/>
      <c r="F462" s="581"/>
      <c r="G462" s="581"/>
      <c r="H462" s="581"/>
      <c r="I462" s="949"/>
      <c r="J462" s="949"/>
      <c r="K462" s="949"/>
      <c r="L462" s="809"/>
      <c r="M462" s="575"/>
      <c r="N462" s="575"/>
      <c r="O462" s="575"/>
      <c r="P462" s="575"/>
      <c r="Q462" s="575"/>
      <c r="R462" s="575"/>
      <c r="S462" s="809"/>
      <c r="T462" s="575"/>
      <c r="U462" s="575"/>
      <c r="V462" s="575"/>
      <c r="W462" s="575"/>
      <c r="X462" s="575"/>
      <c r="Y462" s="575"/>
      <c r="Z462" s="809"/>
      <c r="AA462" s="575"/>
      <c r="AB462" s="575"/>
      <c r="AC462" s="575"/>
      <c r="AD462" s="575"/>
      <c r="AE462" s="827"/>
      <c r="AF462" s="575"/>
      <c r="AG462" s="960"/>
      <c r="AH462" s="842"/>
      <c r="AI462" s="738">
        <f t="shared" si="22"/>
        <v>0</v>
      </c>
      <c r="AJ462" s="949">
        <v>0</v>
      </c>
      <c r="AK462" s="581">
        <f t="shared" ref="AK462:AK525" si="23">AI462+AJ462</f>
        <v>0</v>
      </c>
      <c r="AL462" s="750" t="s">
        <v>1701</v>
      </c>
      <c r="AM462" s="743">
        <f t="shared" ref="AM462:AM525" si="24">AL462-AK462</f>
        <v>9.9499999999999993</v>
      </c>
    </row>
    <row r="463" spans="1:39" s="560" customFormat="1">
      <c r="A463" s="604" t="s">
        <v>930</v>
      </c>
      <c r="B463" s="604" t="s">
        <v>1238</v>
      </c>
      <c r="C463" s="614" t="s">
        <v>36</v>
      </c>
      <c r="D463" s="580"/>
      <c r="E463" s="778"/>
      <c r="F463" s="581"/>
      <c r="G463" s="581"/>
      <c r="H463" s="581"/>
      <c r="I463" s="949"/>
      <c r="J463" s="949"/>
      <c r="K463" s="949"/>
      <c r="L463" s="809"/>
      <c r="M463" s="575"/>
      <c r="N463" s="575"/>
      <c r="O463" s="575"/>
      <c r="P463" s="575"/>
      <c r="Q463" s="575"/>
      <c r="R463" s="575"/>
      <c r="S463" s="809"/>
      <c r="T463" s="575"/>
      <c r="U463" s="575"/>
      <c r="V463" s="575"/>
      <c r="W463" s="575"/>
      <c r="X463" s="575"/>
      <c r="Y463" s="575"/>
      <c r="Z463" s="809"/>
      <c r="AA463" s="575"/>
      <c r="AB463" s="575"/>
      <c r="AC463" s="575"/>
      <c r="AD463" s="575"/>
      <c r="AE463" s="827"/>
      <c r="AF463" s="575"/>
      <c r="AG463" s="960"/>
      <c r="AH463" s="842"/>
      <c r="AI463" s="738">
        <f t="shared" si="22"/>
        <v>0</v>
      </c>
      <c r="AJ463" s="949">
        <v>0</v>
      </c>
      <c r="AK463" s="581">
        <f t="shared" si="23"/>
        <v>0</v>
      </c>
      <c r="AL463" s="750"/>
      <c r="AM463" s="743">
        <f t="shared" si="24"/>
        <v>0</v>
      </c>
    </row>
    <row r="464" spans="1:39" s="560" customFormat="1">
      <c r="A464" s="607" t="s">
        <v>931</v>
      </c>
      <c r="B464" s="607" t="s">
        <v>1242</v>
      </c>
      <c r="C464" s="690"/>
      <c r="D464" s="580"/>
      <c r="E464" s="778"/>
      <c r="F464" s="581"/>
      <c r="G464" s="581"/>
      <c r="H464" s="581"/>
      <c r="I464" s="949"/>
      <c r="J464" s="949"/>
      <c r="K464" s="949"/>
      <c r="L464" s="809"/>
      <c r="M464" s="575"/>
      <c r="N464" s="575"/>
      <c r="O464" s="575"/>
      <c r="P464" s="575"/>
      <c r="Q464" s="575"/>
      <c r="R464" s="575"/>
      <c r="S464" s="809"/>
      <c r="T464" s="575"/>
      <c r="U464" s="575"/>
      <c r="V464" s="575"/>
      <c r="W464" s="575"/>
      <c r="X464" s="575"/>
      <c r="Y464" s="575"/>
      <c r="Z464" s="809"/>
      <c r="AA464" s="575"/>
      <c r="AB464" s="575"/>
      <c r="AC464" s="575"/>
      <c r="AD464" s="575"/>
      <c r="AE464" s="827"/>
      <c r="AF464" s="575"/>
      <c r="AG464" s="960"/>
      <c r="AH464" s="842"/>
      <c r="AI464" s="738">
        <f t="shared" si="22"/>
        <v>0</v>
      </c>
      <c r="AJ464" s="949">
        <v>0</v>
      </c>
      <c r="AK464" s="581">
        <f t="shared" si="23"/>
        <v>0</v>
      </c>
      <c r="AL464" s="750" t="s">
        <v>1702</v>
      </c>
      <c r="AM464" s="743">
        <f t="shared" si="24"/>
        <v>8.93</v>
      </c>
    </row>
    <row r="465" spans="1:39" s="560" customFormat="1">
      <c r="A465" s="604" t="s">
        <v>932</v>
      </c>
      <c r="B465" s="604" t="s">
        <v>1243</v>
      </c>
      <c r="C465" s="614" t="s">
        <v>36</v>
      </c>
      <c r="D465" s="580"/>
      <c r="E465" s="778"/>
      <c r="F465" s="581"/>
      <c r="G465" s="581"/>
      <c r="H465" s="581"/>
      <c r="I465" s="949"/>
      <c r="J465" s="949"/>
      <c r="K465" s="949"/>
      <c r="L465" s="809"/>
      <c r="M465" s="575"/>
      <c r="N465" s="575"/>
      <c r="O465" s="575"/>
      <c r="P465" s="575"/>
      <c r="Q465" s="575"/>
      <c r="R465" s="575"/>
      <c r="S465" s="809"/>
      <c r="T465" s="575"/>
      <c r="U465" s="575"/>
      <c r="V465" s="575"/>
      <c r="W465" s="575"/>
      <c r="X465" s="575"/>
      <c r="Y465" s="575"/>
      <c r="Z465" s="809"/>
      <c r="AA465" s="575"/>
      <c r="AB465" s="575"/>
      <c r="AC465" s="575"/>
      <c r="AD465" s="575"/>
      <c r="AE465" s="827"/>
      <c r="AF465" s="575"/>
      <c r="AG465" s="960"/>
      <c r="AH465" s="842"/>
      <c r="AI465" s="738">
        <f t="shared" si="22"/>
        <v>0</v>
      </c>
      <c r="AJ465" s="949">
        <v>0</v>
      </c>
      <c r="AK465" s="581">
        <f t="shared" si="23"/>
        <v>0</v>
      </c>
      <c r="AL465" s="750"/>
      <c r="AM465" s="743">
        <f t="shared" si="24"/>
        <v>0</v>
      </c>
    </row>
    <row r="466" spans="1:39" s="560" customFormat="1">
      <c r="A466" s="607" t="s">
        <v>933</v>
      </c>
      <c r="B466" s="607" t="s">
        <v>1244</v>
      </c>
      <c r="C466" s="690"/>
      <c r="D466" s="580"/>
      <c r="E466" s="778"/>
      <c r="F466" s="581"/>
      <c r="G466" s="581"/>
      <c r="H466" s="581"/>
      <c r="I466" s="949"/>
      <c r="J466" s="949"/>
      <c r="K466" s="949"/>
      <c r="L466" s="809"/>
      <c r="M466" s="575"/>
      <c r="N466" s="575"/>
      <c r="O466" s="575"/>
      <c r="P466" s="575"/>
      <c r="Q466" s="575"/>
      <c r="R466" s="575"/>
      <c r="S466" s="809"/>
      <c r="T466" s="575"/>
      <c r="U466" s="575"/>
      <c r="V466" s="575"/>
      <c r="W466" s="575"/>
      <c r="X466" s="575"/>
      <c r="Y466" s="575"/>
      <c r="Z466" s="809"/>
      <c r="AA466" s="575"/>
      <c r="AB466" s="575"/>
      <c r="AC466" s="575"/>
      <c r="AD466" s="575"/>
      <c r="AE466" s="827"/>
      <c r="AF466" s="575"/>
      <c r="AG466" s="960"/>
      <c r="AH466" s="842"/>
      <c r="AI466" s="738">
        <f t="shared" si="22"/>
        <v>0</v>
      </c>
      <c r="AJ466" s="949">
        <v>0</v>
      </c>
      <c r="AK466" s="581">
        <f t="shared" si="23"/>
        <v>0</v>
      </c>
      <c r="AL466" s="750" t="s">
        <v>1703</v>
      </c>
      <c r="AM466" s="743">
        <f t="shared" si="24"/>
        <v>6.91</v>
      </c>
    </row>
    <row r="467" spans="1:39" s="560" customFormat="1">
      <c r="A467" s="604" t="s">
        <v>934</v>
      </c>
      <c r="B467" s="604" t="s">
        <v>1245</v>
      </c>
      <c r="C467" s="614" t="s">
        <v>36</v>
      </c>
      <c r="D467" s="580"/>
      <c r="E467" s="778"/>
      <c r="F467" s="581"/>
      <c r="G467" s="581"/>
      <c r="H467" s="581"/>
      <c r="I467" s="949"/>
      <c r="J467" s="949"/>
      <c r="K467" s="949"/>
      <c r="L467" s="809"/>
      <c r="M467" s="575"/>
      <c r="N467" s="575"/>
      <c r="O467" s="575"/>
      <c r="P467" s="575"/>
      <c r="Q467" s="575"/>
      <c r="R467" s="575"/>
      <c r="S467" s="809"/>
      <c r="T467" s="575"/>
      <c r="U467" s="575"/>
      <c r="V467" s="575"/>
      <c r="W467" s="575"/>
      <c r="X467" s="575"/>
      <c r="Y467" s="575"/>
      <c r="Z467" s="809"/>
      <c r="AA467" s="575"/>
      <c r="AB467" s="575"/>
      <c r="AC467" s="575"/>
      <c r="AD467" s="575"/>
      <c r="AE467" s="827"/>
      <c r="AF467" s="575"/>
      <c r="AG467" s="960"/>
      <c r="AH467" s="842"/>
      <c r="AI467" s="738">
        <f t="shared" si="22"/>
        <v>0</v>
      </c>
      <c r="AJ467" s="949">
        <v>0</v>
      </c>
      <c r="AK467" s="581">
        <f t="shared" si="23"/>
        <v>0</v>
      </c>
      <c r="AL467" s="750" t="s">
        <v>1704</v>
      </c>
      <c r="AM467" s="743">
        <f t="shared" si="24"/>
        <v>8.86</v>
      </c>
    </row>
    <row r="468" spans="1:39" s="560" customFormat="1">
      <c r="A468" s="604" t="s">
        <v>935</v>
      </c>
      <c r="B468" s="604" t="s">
        <v>1272</v>
      </c>
      <c r="C468" s="614" t="s">
        <v>36</v>
      </c>
      <c r="D468" s="580"/>
      <c r="E468" s="778"/>
      <c r="F468" s="581"/>
      <c r="G468" s="581"/>
      <c r="H468" s="581"/>
      <c r="I468" s="949"/>
      <c r="J468" s="949"/>
      <c r="K468" s="949"/>
      <c r="L468" s="809"/>
      <c r="M468" s="575"/>
      <c r="N468" s="575"/>
      <c r="O468" s="575"/>
      <c r="P468" s="575"/>
      <c r="Q468" s="575"/>
      <c r="R468" s="575"/>
      <c r="S468" s="809"/>
      <c r="T468" s="575"/>
      <c r="U468" s="575"/>
      <c r="V468" s="575"/>
      <c r="W468" s="575"/>
      <c r="X468" s="575"/>
      <c r="Y468" s="575"/>
      <c r="Z468" s="809"/>
      <c r="AA468" s="575"/>
      <c r="AB468" s="575"/>
      <c r="AC468" s="575"/>
      <c r="AD468" s="575"/>
      <c r="AE468" s="827"/>
      <c r="AF468" s="575"/>
      <c r="AG468" s="960"/>
      <c r="AH468" s="842"/>
      <c r="AI468" s="738">
        <f t="shared" si="22"/>
        <v>0</v>
      </c>
      <c r="AJ468" s="949">
        <v>0</v>
      </c>
      <c r="AK468" s="581">
        <f t="shared" si="23"/>
        <v>0</v>
      </c>
      <c r="AL468" s="750" t="s">
        <v>1705</v>
      </c>
      <c r="AM468" s="743">
        <f t="shared" si="24"/>
        <v>10.78</v>
      </c>
    </row>
    <row r="469" spans="1:39" s="560" customFormat="1">
      <c r="A469" s="604" t="s">
        <v>936</v>
      </c>
      <c r="B469" s="604" t="s">
        <v>1246</v>
      </c>
      <c r="C469" s="614" t="s">
        <v>37</v>
      </c>
      <c r="D469" s="580"/>
      <c r="E469" s="778"/>
      <c r="F469" s="581"/>
      <c r="G469" s="581"/>
      <c r="H469" s="581"/>
      <c r="I469" s="949"/>
      <c r="J469" s="949"/>
      <c r="K469" s="949"/>
      <c r="L469" s="809"/>
      <c r="M469" s="575"/>
      <c r="N469" s="575"/>
      <c r="O469" s="575"/>
      <c r="P469" s="575"/>
      <c r="Q469" s="575"/>
      <c r="R469" s="575"/>
      <c r="S469" s="809"/>
      <c r="T469" s="575"/>
      <c r="U469" s="575"/>
      <c r="V469" s="575"/>
      <c r="W469" s="575"/>
      <c r="X469" s="575"/>
      <c r="Y469" s="575"/>
      <c r="Z469" s="809"/>
      <c r="AA469" s="575"/>
      <c r="AB469" s="575"/>
      <c r="AC469" s="575"/>
      <c r="AD469" s="575"/>
      <c r="AE469" s="827"/>
      <c r="AF469" s="575"/>
      <c r="AG469" s="960"/>
      <c r="AH469" s="842"/>
      <c r="AI469" s="738">
        <f t="shared" si="22"/>
        <v>0</v>
      </c>
      <c r="AJ469" s="949">
        <v>0</v>
      </c>
      <c r="AK469" s="581">
        <f t="shared" si="23"/>
        <v>0</v>
      </c>
      <c r="AL469" s="750" t="s">
        <v>1706</v>
      </c>
      <c r="AM469" s="743">
        <f t="shared" si="24"/>
        <v>14.4</v>
      </c>
    </row>
    <row r="470" spans="1:39" s="560" customFormat="1">
      <c r="A470" s="604" t="s">
        <v>937</v>
      </c>
      <c r="B470" s="604" t="s">
        <v>1247</v>
      </c>
      <c r="C470" s="614" t="s">
        <v>37</v>
      </c>
      <c r="D470" s="580"/>
      <c r="E470" s="778"/>
      <c r="F470" s="581"/>
      <c r="G470" s="581"/>
      <c r="H470" s="581"/>
      <c r="I470" s="949"/>
      <c r="J470" s="949"/>
      <c r="K470" s="949"/>
      <c r="L470" s="809"/>
      <c r="M470" s="575"/>
      <c r="N470" s="575"/>
      <c r="O470" s="575"/>
      <c r="P470" s="575"/>
      <c r="Q470" s="575"/>
      <c r="R470" s="575"/>
      <c r="S470" s="809"/>
      <c r="T470" s="575"/>
      <c r="U470" s="575"/>
      <c r="V470" s="575"/>
      <c r="W470" s="575"/>
      <c r="X470" s="575"/>
      <c r="Y470" s="575"/>
      <c r="Z470" s="809"/>
      <c r="AA470" s="575"/>
      <c r="AB470" s="575"/>
      <c r="AC470" s="575"/>
      <c r="AD470" s="575"/>
      <c r="AE470" s="827"/>
      <c r="AF470" s="575"/>
      <c r="AG470" s="960"/>
      <c r="AH470" s="842"/>
      <c r="AI470" s="738">
        <f t="shared" si="22"/>
        <v>0</v>
      </c>
      <c r="AJ470" s="949">
        <v>0</v>
      </c>
      <c r="AK470" s="581">
        <f t="shared" si="23"/>
        <v>0</v>
      </c>
      <c r="AL470" s="750"/>
      <c r="AM470" s="743">
        <f t="shared" si="24"/>
        <v>0</v>
      </c>
    </row>
    <row r="471" spans="1:39" s="560" customFormat="1">
      <c r="A471" s="607" t="s">
        <v>938</v>
      </c>
      <c r="B471" s="607" t="s">
        <v>1184</v>
      </c>
      <c r="C471" s="690"/>
      <c r="D471" s="580"/>
      <c r="E471" s="778"/>
      <c r="F471" s="581"/>
      <c r="G471" s="581"/>
      <c r="H471" s="581"/>
      <c r="I471" s="949"/>
      <c r="J471" s="949"/>
      <c r="K471" s="949"/>
      <c r="L471" s="809"/>
      <c r="M471" s="575"/>
      <c r="N471" s="575"/>
      <c r="O471" s="575"/>
      <c r="P471" s="575"/>
      <c r="Q471" s="575"/>
      <c r="R471" s="575"/>
      <c r="S471" s="809"/>
      <c r="T471" s="575"/>
      <c r="U471" s="575"/>
      <c r="V471" s="575"/>
      <c r="W471" s="575"/>
      <c r="X471" s="575"/>
      <c r="Y471" s="575"/>
      <c r="Z471" s="809"/>
      <c r="AA471" s="575"/>
      <c r="AB471" s="575"/>
      <c r="AC471" s="575"/>
      <c r="AD471" s="575"/>
      <c r="AE471" s="827"/>
      <c r="AF471" s="575"/>
      <c r="AG471" s="960"/>
      <c r="AH471" s="842"/>
      <c r="AI471" s="738">
        <f t="shared" si="22"/>
        <v>0</v>
      </c>
      <c r="AJ471" s="949">
        <v>0</v>
      </c>
      <c r="AK471" s="581">
        <f t="shared" si="23"/>
        <v>0</v>
      </c>
      <c r="AL471" s="750" t="s">
        <v>1707</v>
      </c>
      <c r="AM471" s="743">
        <f t="shared" si="24"/>
        <v>21.28</v>
      </c>
    </row>
    <row r="472" spans="1:39" s="560" customFormat="1">
      <c r="A472" s="604" t="s">
        <v>939</v>
      </c>
      <c r="B472" s="604" t="s">
        <v>1248</v>
      </c>
      <c r="C472" s="614" t="s">
        <v>36</v>
      </c>
      <c r="D472" s="580"/>
      <c r="E472" s="778"/>
      <c r="F472" s="581"/>
      <c r="G472" s="581"/>
      <c r="H472" s="581"/>
      <c r="I472" s="949"/>
      <c r="J472" s="949"/>
      <c r="K472" s="949"/>
      <c r="L472" s="809"/>
      <c r="M472" s="575"/>
      <c r="N472" s="575"/>
      <c r="O472" s="575"/>
      <c r="P472" s="575"/>
      <c r="Q472" s="575"/>
      <c r="R472" s="575"/>
      <c r="S472" s="809"/>
      <c r="T472" s="575"/>
      <c r="U472" s="575"/>
      <c r="V472" s="575"/>
      <c r="W472" s="575"/>
      <c r="X472" s="575"/>
      <c r="Y472" s="575"/>
      <c r="Z472" s="809"/>
      <c r="AA472" s="575"/>
      <c r="AB472" s="575"/>
      <c r="AC472" s="575"/>
      <c r="AD472" s="575"/>
      <c r="AE472" s="827"/>
      <c r="AF472" s="575"/>
      <c r="AG472" s="960"/>
      <c r="AH472" s="842"/>
      <c r="AI472" s="738">
        <f t="shared" si="22"/>
        <v>0</v>
      </c>
      <c r="AJ472" s="949">
        <v>0</v>
      </c>
      <c r="AK472" s="581">
        <f t="shared" si="23"/>
        <v>0</v>
      </c>
      <c r="AL472" s="750" t="s">
        <v>1675</v>
      </c>
      <c r="AM472" s="743">
        <f t="shared" si="24"/>
        <v>6.15</v>
      </c>
    </row>
    <row r="473" spans="1:39" s="560" customFormat="1">
      <c r="A473" s="604" t="s">
        <v>940</v>
      </c>
      <c r="B473" s="604" t="s">
        <v>1249</v>
      </c>
      <c r="C473" s="614" t="s">
        <v>37</v>
      </c>
      <c r="D473" s="580"/>
      <c r="E473" s="778"/>
      <c r="F473" s="581"/>
      <c r="G473" s="581"/>
      <c r="H473" s="581"/>
      <c r="I473" s="949"/>
      <c r="J473" s="949"/>
      <c r="K473" s="949"/>
      <c r="L473" s="809"/>
      <c r="M473" s="575"/>
      <c r="N473" s="575"/>
      <c r="O473" s="575"/>
      <c r="P473" s="575"/>
      <c r="Q473" s="575"/>
      <c r="R473" s="575"/>
      <c r="S473" s="809"/>
      <c r="T473" s="575"/>
      <c r="U473" s="575"/>
      <c r="V473" s="575"/>
      <c r="W473" s="575"/>
      <c r="X473" s="575"/>
      <c r="Y473" s="575"/>
      <c r="Z473" s="809"/>
      <c r="AA473" s="575"/>
      <c r="AB473" s="575"/>
      <c r="AC473" s="575"/>
      <c r="AD473" s="575"/>
      <c r="AE473" s="827"/>
      <c r="AF473" s="575"/>
      <c r="AG473" s="960"/>
      <c r="AH473" s="842"/>
      <c r="AI473" s="738">
        <f t="shared" si="22"/>
        <v>0</v>
      </c>
      <c r="AJ473" s="949">
        <v>0</v>
      </c>
      <c r="AK473" s="581">
        <f t="shared" si="23"/>
        <v>0</v>
      </c>
      <c r="AL473" s="750"/>
      <c r="AM473" s="743">
        <f t="shared" si="24"/>
        <v>0</v>
      </c>
    </row>
    <row r="474" spans="1:39" s="560" customFormat="1">
      <c r="A474" s="607" t="s">
        <v>941</v>
      </c>
      <c r="B474" s="607" t="s">
        <v>1250</v>
      </c>
      <c r="C474" s="690"/>
      <c r="D474" s="580"/>
      <c r="E474" s="778"/>
      <c r="F474" s="581"/>
      <c r="G474" s="581"/>
      <c r="H474" s="581"/>
      <c r="I474" s="949"/>
      <c r="J474" s="949"/>
      <c r="K474" s="949"/>
      <c r="L474" s="809"/>
      <c r="M474" s="575"/>
      <c r="N474" s="575"/>
      <c r="O474" s="575"/>
      <c r="P474" s="575"/>
      <c r="Q474" s="575"/>
      <c r="R474" s="575"/>
      <c r="S474" s="809"/>
      <c r="T474" s="575"/>
      <c r="U474" s="575"/>
      <c r="V474" s="575"/>
      <c r="W474" s="575"/>
      <c r="X474" s="575"/>
      <c r="Y474" s="575"/>
      <c r="Z474" s="809"/>
      <c r="AA474" s="575"/>
      <c r="AB474" s="575"/>
      <c r="AC474" s="575"/>
      <c r="AD474" s="575"/>
      <c r="AE474" s="827"/>
      <c r="AF474" s="575"/>
      <c r="AG474" s="960"/>
      <c r="AH474" s="842"/>
      <c r="AI474" s="738">
        <f t="shared" si="22"/>
        <v>0</v>
      </c>
      <c r="AJ474" s="949">
        <v>0</v>
      </c>
      <c r="AK474" s="581">
        <f t="shared" si="23"/>
        <v>0</v>
      </c>
      <c r="AL474" s="750" t="s">
        <v>1708</v>
      </c>
      <c r="AM474" s="743">
        <f t="shared" si="24"/>
        <v>1.89</v>
      </c>
    </row>
    <row r="475" spans="1:39" s="560" customFormat="1">
      <c r="A475" s="604" t="s">
        <v>942</v>
      </c>
      <c r="B475" s="604" t="s">
        <v>1251</v>
      </c>
      <c r="C475" s="614" t="s">
        <v>36</v>
      </c>
      <c r="D475" s="580"/>
      <c r="E475" s="778"/>
      <c r="F475" s="581"/>
      <c r="G475" s="581"/>
      <c r="H475" s="581"/>
      <c r="I475" s="949"/>
      <c r="J475" s="949"/>
      <c r="K475" s="949"/>
      <c r="L475" s="809"/>
      <c r="M475" s="575"/>
      <c r="N475" s="575"/>
      <c r="O475" s="575"/>
      <c r="P475" s="575"/>
      <c r="Q475" s="575"/>
      <c r="R475" s="575"/>
      <c r="S475" s="809"/>
      <c r="T475" s="575"/>
      <c r="U475" s="575"/>
      <c r="V475" s="575"/>
      <c r="W475" s="575"/>
      <c r="X475" s="575"/>
      <c r="Y475" s="575"/>
      <c r="Z475" s="809"/>
      <c r="AA475" s="575"/>
      <c r="AB475" s="575"/>
      <c r="AC475" s="575"/>
      <c r="AD475" s="575"/>
      <c r="AE475" s="827"/>
      <c r="AF475" s="575"/>
      <c r="AG475" s="960"/>
      <c r="AH475" s="842"/>
      <c r="AI475" s="738">
        <f t="shared" si="22"/>
        <v>0</v>
      </c>
      <c r="AJ475" s="949">
        <v>0</v>
      </c>
      <c r="AK475" s="581">
        <f t="shared" si="23"/>
        <v>0</v>
      </c>
      <c r="AL475" s="750" t="s">
        <v>1709</v>
      </c>
      <c r="AM475" s="743">
        <f t="shared" si="24"/>
        <v>3.15</v>
      </c>
    </row>
    <row r="476" spans="1:39" s="560" customFormat="1">
      <c r="A476" s="604" t="s">
        <v>943</v>
      </c>
      <c r="B476" s="604" t="s">
        <v>1281</v>
      </c>
      <c r="C476" s="614" t="s">
        <v>36</v>
      </c>
      <c r="D476" s="580"/>
      <c r="E476" s="778"/>
      <c r="F476" s="581"/>
      <c r="G476" s="581"/>
      <c r="H476" s="581"/>
      <c r="I476" s="949"/>
      <c r="J476" s="949"/>
      <c r="K476" s="949"/>
      <c r="L476" s="809"/>
      <c r="M476" s="575"/>
      <c r="N476" s="575"/>
      <c r="O476" s="575"/>
      <c r="P476" s="575"/>
      <c r="Q476" s="575"/>
      <c r="R476" s="575"/>
      <c r="S476" s="809"/>
      <c r="T476" s="575"/>
      <c r="U476" s="575"/>
      <c r="V476" s="575"/>
      <c r="W476" s="575"/>
      <c r="X476" s="575"/>
      <c r="Y476" s="575"/>
      <c r="Z476" s="809"/>
      <c r="AA476" s="575"/>
      <c r="AB476" s="575"/>
      <c r="AC476" s="575"/>
      <c r="AD476" s="575"/>
      <c r="AE476" s="827"/>
      <c r="AF476" s="575"/>
      <c r="AG476" s="960"/>
      <c r="AH476" s="842"/>
      <c r="AI476" s="738">
        <f t="shared" si="22"/>
        <v>0</v>
      </c>
      <c r="AJ476" s="949">
        <v>0</v>
      </c>
      <c r="AK476" s="581">
        <f t="shared" si="23"/>
        <v>0</v>
      </c>
      <c r="AL476" s="750"/>
      <c r="AM476" s="743">
        <f t="shared" si="24"/>
        <v>0</v>
      </c>
    </row>
    <row r="477" spans="1:39" s="560" customFormat="1">
      <c r="A477" s="607" t="s">
        <v>944</v>
      </c>
      <c r="B477" s="607" t="s">
        <v>1252</v>
      </c>
      <c r="C477" s="690"/>
      <c r="D477" s="580"/>
      <c r="E477" s="778"/>
      <c r="F477" s="581"/>
      <c r="G477" s="581"/>
      <c r="H477" s="581"/>
      <c r="I477" s="949"/>
      <c r="J477" s="949"/>
      <c r="K477" s="949"/>
      <c r="L477" s="809"/>
      <c r="M477" s="575"/>
      <c r="N477" s="575"/>
      <c r="O477" s="575"/>
      <c r="P477" s="575"/>
      <c r="Q477" s="575"/>
      <c r="R477" s="575"/>
      <c r="S477" s="809"/>
      <c r="T477" s="575"/>
      <c r="U477" s="575"/>
      <c r="V477" s="575"/>
      <c r="W477" s="575"/>
      <c r="X477" s="575"/>
      <c r="Y477" s="575"/>
      <c r="Z477" s="809"/>
      <c r="AA477" s="575"/>
      <c r="AB477" s="575"/>
      <c r="AC477" s="575"/>
      <c r="AD477" s="575"/>
      <c r="AE477" s="827"/>
      <c r="AF477" s="575"/>
      <c r="AG477" s="960"/>
      <c r="AH477" s="842"/>
      <c r="AI477" s="738">
        <f t="shared" si="22"/>
        <v>0</v>
      </c>
      <c r="AJ477" s="949">
        <v>0</v>
      </c>
      <c r="AK477" s="581">
        <f t="shared" si="23"/>
        <v>0</v>
      </c>
      <c r="AL477" s="750" t="s">
        <v>1627</v>
      </c>
      <c r="AM477" s="743">
        <f t="shared" si="24"/>
        <v>9</v>
      </c>
    </row>
    <row r="478" spans="1:39" s="560" customFormat="1">
      <c r="A478" s="604" t="s">
        <v>945</v>
      </c>
      <c r="B478" s="604" t="s">
        <v>1253</v>
      </c>
      <c r="C478" s="614" t="s">
        <v>1437</v>
      </c>
      <c r="D478" s="580"/>
      <c r="E478" s="778"/>
      <c r="F478" s="581"/>
      <c r="G478" s="581"/>
      <c r="H478" s="581"/>
      <c r="I478" s="949"/>
      <c r="J478" s="949"/>
      <c r="K478" s="949"/>
      <c r="L478" s="809"/>
      <c r="M478" s="575"/>
      <c r="N478" s="575"/>
      <c r="O478" s="575"/>
      <c r="P478" s="575"/>
      <c r="Q478" s="575"/>
      <c r="R478" s="575"/>
      <c r="S478" s="809"/>
      <c r="T478" s="575"/>
      <c r="U478" s="575"/>
      <c r="V478" s="575"/>
      <c r="W478" s="575"/>
      <c r="X478" s="575"/>
      <c r="Y478" s="575"/>
      <c r="Z478" s="809"/>
      <c r="AA478" s="575"/>
      <c r="AB478" s="575"/>
      <c r="AC478" s="575"/>
      <c r="AD478" s="575"/>
      <c r="AE478" s="827"/>
      <c r="AF478" s="575"/>
      <c r="AG478" s="960"/>
      <c r="AH478" s="842"/>
      <c r="AI478" s="738">
        <f t="shared" si="22"/>
        <v>0</v>
      </c>
      <c r="AJ478" s="949">
        <v>0</v>
      </c>
      <c r="AK478" s="581">
        <f t="shared" si="23"/>
        <v>0</v>
      </c>
      <c r="AL478" s="750" t="s">
        <v>1441</v>
      </c>
      <c r="AM478" s="743">
        <f t="shared" si="24"/>
        <v>1</v>
      </c>
    </row>
    <row r="479" spans="1:39" s="560" customFormat="1">
      <c r="A479" s="604" t="s">
        <v>946</v>
      </c>
      <c r="B479" s="604" t="s">
        <v>1254</v>
      </c>
      <c r="C479" s="614" t="s">
        <v>35</v>
      </c>
      <c r="D479" s="580"/>
      <c r="E479" s="778"/>
      <c r="F479" s="581"/>
      <c r="G479" s="581"/>
      <c r="H479" s="581"/>
      <c r="I479" s="949"/>
      <c r="J479" s="949"/>
      <c r="K479" s="949"/>
      <c r="L479" s="809"/>
      <c r="M479" s="575"/>
      <c r="N479" s="575"/>
      <c r="O479" s="575"/>
      <c r="P479" s="575"/>
      <c r="Q479" s="575"/>
      <c r="R479" s="575"/>
      <c r="S479" s="809"/>
      <c r="T479" s="575"/>
      <c r="U479" s="575"/>
      <c r="V479" s="575"/>
      <c r="W479" s="575"/>
      <c r="X479" s="575"/>
      <c r="Y479" s="575"/>
      <c r="Z479" s="809"/>
      <c r="AA479" s="575"/>
      <c r="AB479" s="575"/>
      <c r="AC479" s="575"/>
      <c r="AD479" s="575"/>
      <c r="AE479" s="827"/>
      <c r="AF479" s="575"/>
      <c r="AG479" s="960"/>
      <c r="AH479" s="842"/>
      <c r="AI479" s="738">
        <f t="shared" si="22"/>
        <v>0</v>
      </c>
      <c r="AJ479" s="949">
        <v>0</v>
      </c>
      <c r="AK479" s="581">
        <f t="shared" si="23"/>
        <v>0</v>
      </c>
      <c r="AL479" s="750" t="s">
        <v>1684</v>
      </c>
      <c r="AM479" s="743">
        <f t="shared" si="24"/>
        <v>2</v>
      </c>
    </row>
    <row r="480" spans="1:39" s="560" customFormat="1">
      <c r="A480" s="604" t="s">
        <v>947</v>
      </c>
      <c r="B480" s="604" t="s">
        <v>1282</v>
      </c>
      <c r="C480" s="614" t="s">
        <v>35</v>
      </c>
      <c r="D480" s="580"/>
      <c r="E480" s="778"/>
      <c r="F480" s="581"/>
      <c r="G480" s="581"/>
      <c r="H480" s="581"/>
      <c r="I480" s="949"/>
      <c r="J480" s="949"/>
      <c r="K480" s="949"/>
      <c r="L480" s="809"/>
      <c r="M480" s="575"/>
      <c r="N480" s="575"/>
      <c r="O480" s="575"/>
      <c r="P480" s="575"/>
      <c r="Q480" s="575"/>
      <c r="R480" s="575"/>
      <c r="S480" s="809"/>
      <c r="T480" s="575"/>
      <c r="U480" s="575"/>
      <c r="V480" s="575"/>
      <c r="W480" s="575"/>
      <c r="X480" s="575"/>
      <c r="Y480" s="575"/>
      <c r="Z480" s="809"/>
      <c r="AA480" s="575"/>
      <c r="AB480" s="575"/>
      <c r="AC480" s="575"/>
      <c r="AD480" s="575"/>
      <c r="AE480" s="827"/>
      <c r="AF480" s="575"/>
      <c r="AG480" s="960"/>
      <c r="AH480" s="842"/>
      <c r="AI480" s="738">
        <f t="shared" si="22"/>
        <v>0</v>
      </c>
      <c r="AJ480" s="949">
        <v>0</v>
      </c>
      <c r="AK480" s="581">
        <f t="shared" si="23"/>
        <v>0</v>
      </c>
      <c r="AL480" s="750"/>
      <c r="AM480" s="743">
        <f t="shared" si="24"/>
        <v>0</v>
      </c>
    </row>
    <row r="481" spans="1:39" s="560" customFormat="1">
      <c r="A481" s="607" t="s">
        <v>948</v>
      </c>
      <c r="B481" s="607" t="s">
        <v>1255</v>
      </c>
      <c r="C481" s="690"/>
      <c r="D481" s="580"/>
      <c r="E481" s="778"/>
      <c r="F481" s="581"/>
      <c r="G481" s="581"/>
      <c r="H481" s="581"/>
      <c r="I481" s="949"/>
      <c r="J481" s="949"/>
      <c r="K481" s="949"/>
      <c r="L481" s="809"/>
      <c r="M481" s="575"/>
      <c r="N481" s="575"/>
      <c r="O481" s="575"/>
      <c r="P481" s="575"/>
      <c r="Q481" s="575"/>
      <c r="R481" s="575"/>
      <c r="S481" s="809"/>
      <c r="T481" s="575"/>
      <c r="U481" s="575"/>
      <c r="V481" s="575"/>
      <c r="W481" s="575"/>
      <c r="X481" s="575"/>
      <c r="Y481" s="575"/>
      <c r="Z481" s="809"/>
      <c r="AA481" s="575"/>
      <c r="AB481" s="575"/>
      <c r="AC481" s="575"/>
      <c r="AD481" s="575"/>
      <c r="AE481" s="827"/>
      <c r="AF481" s="575"/>
      <c r="AG481" s="960"/>
      <c r="AH481" s="842"/>
      <c r="AI481" s="738">
        <f t="shared" si="22"/>
        <v>0</v>
      </c>
      <c r="AJ481" s="949">
        <v>0</v>
      </c>
      <c r="AK481" s="581">
        <f t="shared" si="23"/>
        <v>0</v>
      </c>
      <c r="AL481" s="750" t="s">
        <v>1710</v>
      </c>
      <c r="AM481" s="743">
        <f t="shared" si="24"/>
        <v>4.96</v>
      </c>
    </row>
    <row r="482" spans="1:39" s="560" customFormat="1">
      <c r="A482" s="604" t="s">
        <v>949</v>
      </c>
      <c r="B482" s="604" t="s">
        <v>1256</v>
      </c>
      <c r="C482" s="614" t="s">
        <v>36</v>
      </c>
      <c r="D482" s="580"/>
      <c r="E482" s="778"/>
      <c r="F482" s="581"/>
      <c r="G482" s="581"/>
      <c r="H482" s="581"/>
      <c r="I482" s="949"/>
      <c r="J482" s="949"/>
      <c r="K482" s="949"/>
      <c r="L482" s="809"/>
      <c r="M482" s="575"/>
      <c r="N482" s="575"/>
      <c r="O482" s="575"/>
      <c r="P482" s="575"/>
      <c r="Q482" s="575"/>
      <c r="R482" s="575"/>
      <c r="S482" s="809"/>
      <c r="T482" s="575"/>
      <c r="U482" s="575"/>
      <c r="V482" s="575"/>
      <c r="W482" s="575"/>
      <c r="X482" s="575"/>
      <c r="Y482" s="575"/>
      <c r="Z482" s="809"/>
      <c r="AA482" s="575"/>
      <c r="AB482" s="575"/>
      <c r="AC482" s="575"/>
      <c r="AD482" s="575"/>
      <c r="AE482" s="827"/>
      <c r="AF482" s="575"/>
      <c r="AG482" s="960"/>
      <c r="AH482" s="842"/>
      <c r="AI482" s="738">
        <f t="shared" si="22"/>
        <v>0</v>
      </c>
      <c r="AJ482" s="949">
        <v>0</v>
      </c>
      <c r="AK482" s="581">
        <f t="shared" si="23"/>
        <v>0</v>
      </c>
      <c r="AL482" s="750" t="s">
        <v>1474</v>
      </c>
      <c r="AM482" s="743">
        <f t="shared" si="24"/>
        <v>1.2</v>
      </c>
    </row>
    <row r="483" spans="1:39" s="560" customFormat="1">
      <c r="A483" s="604" t="s">
        <v>950</v>
      </c>
      <c r="B483" s="604" t="s">
        <v>1257</v>
      </c>
      <c r="C483" s="614" t="s">
        <v>36</v>
      </c>
      <c r="D483" s="580"/>
      <c r="E483" s="778"/>
      <c r="F483" s="581"/>
      <c r="G483" s="581"/>
      <c r="H483" s="581"/>
      <c r="I483" s="949"/>
      <c r="J483" s="949"/>
      <c r="K483" s="949"/>
      <c r="L483" s="809"/>
      <c r="M483" s="575"/>
      <c r="N483" s="575"/>
      <c r="O483" s="575"/>
      <c r="P483" s="575"/>
      <c r="Q483" s="575"/>
      <c r="R483" s="575"/>
      <c r="S483" s="809"/>
      <c r="T483" s="575"/>
      <c r="U483" s="575"/>
      <c r="V483" s="575"/>
      <c r="W483" s="575"/>
      <c r="X483" s="575"/>
      <c r="Y483" s="575"/>
      <c r="Z483" s="809"/>
      <c r="AA483" s="575"/>
      <c r="AB483" s="575"/>
      <c r="AC483" s="575"/>
      <c r="AD483" s="575"/>
      <c r="AE483" s="827"/>
      <c r="AF483" s="575"/>
      <c r="AG483" s="960"/>
      <c r="AH483" s="842"/>
      <c r="AI483" s="738">
        <f t="shared" si="22"/>
        <v>0</v>
      </c>
      <c r="AJ483" s="949">
        <v>0</v>
      </c>
      <c r="AK483" s="581">
        <f t="shared" si="23"/>
        <v>0</v>
      </c>
      <c r="AL483" s="750"/>
      <c r="AM483" s="743">
        <f t="shared" si="24"/>
        <v>0</v>
      </c>
    </row>
    <row r="484" spans="1:39" s="560" customFormat="1">
      <c r="A484" s="607" t="s">
        <v>951</v>
      </c>
      <c r="B484" s="607" t="s">
        <v>1258</v>
      </c>
      <c r="C484" s="690"/>
      <c r="D484" s="580"/>
      <c r="E484" s="778"/>
      <c r="F484" s="581"/>
      <c r="G484" s="581"/>
      <c r="H484" s="581"/>
      <c r="I484" s="949"/>
      <c r="J484" s="949"/>
      <c r="K484" s="949"/>
      <c r="L484" s="809"/>
      <c r="M484" s="575"/>
      <c r="N484" s="575"/>
      <c r="O484" s="575"/>
      <c r="P484" s="575"/>
      <c r="Q484" s="575"/>
      <c r="R484" s="575"/>
      <c r="S484" s="809"/>
      <c r="T484" s="575"/>
      <c r="U484" s="575"/>
      <c r="V484" s="575"/>
      <c r="W484" s="575"/>
      <c r="X484" s="575"/>
      <c r="Y484" s="575"/>
      <c r="Z484" s="809"/>
      <c r="AA484" s="575"/>
      <c r="AB484" s="575"/>
      <c r="AC484" s="575"/>
      <c r="AD484" s="575"/>
      <c r="AE484" s="827"/>
      <c r="AF484" s="575"/>
      <c r="AG484" s="960"/>
      <c r="AH484" s="842"/>
      <c r="AI484" s="738">
        <f t="shared" si="22"/>
        <v>0</v>
      </c>
      <c r="AJ484" s="949">
        <v>0</v>
      </c>
      <c r="AK484" s="581">
        <f t="shared" si="23"/>
        <v>0</v>
      </c>
      <c r="AL484" s="750" t="s">
        <v>1698</v>
      </c>
      <c r="AM484" s="743">
        <f t="shared" si="24"/>
        <v>33.950000000000003</v>
      </c>
    </row>
    <row r="485" spans="1:39" s="560" customFormat="1">
      <c r="A485" s="604" t="s">
        <v>952</v>
      </c>
      <c r="B485" s="604" t="s">
        <v>1259</v>
      </c>
      <c r="C485" s="614" t="s">
        <v>36</v>
      </c>
      <c r="D485" s="580"/>
      <c r="E485" s="778"/>
      <c r="F485" s="581"/>
      <c r="G485" s="581"/>
      <c r="H485" s="581"/>
      <c r="I485" s="949"/>
      <c r="J485" s="949"/>
      <c r="K485" s="949"/>
      <c r="L485" s="809"/>
      <c r="M485" s="575"/>
      <c r="N485" s="575"/>
      <c r="O485" s="575"/>
      <c r="P485" s="575"/>
      <c r="Q485" s="575"/>
      <c r="R485" s="575"/>
      <c r="S485" s="809"/>
      <c r="T485" s="575"/>
      <c r="U485" s="575"/>
      <c r="V485" s="575"/>
      <c r="W485" s="575"/>
      <c r="X485" s="575"/>
      <c r="Y485" s="575"/>
      <c r="Z485" s="809"/>
      <c r="AA485" s="575"/>
      <c r="AB485" s="575"/>
      <c r="AC485" s="575"/>
      <c r="AD485" s="575"/>
      <c r="AE485" s="827"/>
      <c r="AF485" s="575"/>
      <c r="AG485" s="960"/>
      <c r="AH485" s="842"/>
      <c r="AI485" s="738">
        <f t="shared" si="22"/>
        <v>0</v>
      </c>
      <c r="AJ485" s="949">
        <v>0</v>
      </c>
      <c r="AK485" s="581">
        <f t="shared" si="23"/>
        <v>0</v>
      </c>
      <c r="AL485" s="750" t="s">
        <v>1691</v>
      </c>
      <c r="AM485" s="743">
        <f t="shared" si="24"/>
        <v>77.680000000000007</v>
      </c>
    </row>
    <row r="486" spans="1:39" s="560" customFormat="1">
      <c r="A486" s="604" t="s">
        <v>953</v>
      </c>
      <c r="B486" s="604" t="s">
        <v>1260</v>
      </c>
      <c r="C486" s="614" t="s">
        <v>36</v>
      </c>
      <c r="D486" s="580"/>
      <c r="E486" s="778"/>
      <c r="F486" s="581"/>
      <c r="G486" s="581"/>
      <c r="H486" s="581"/>
      <c r="I486" s="949"/>
      <c r="J486" s="949"/>
      <c r="K486" s="949"/>
      <c r="L486" s="809"/>
      <c r="M486" s="575"/>
      <c r="N486" s="575"/>
      <c r="O486" s="575"/>
      <c r="P486" s="575"/>
      <c r="Q486" s="575"/>
      <c r="R486" s="575"/>
      <c r="S486" s="809"/>
      <c r="T486" s="575"/>
      <c r="U486" s="575"/>
      <c r="V486" s="575"/>
      <c r="W486" s="575"/>
      <c r="X486" s="575"/>
      <c r="Y486" s="575"/>
      <c r="Z486" s="809"/>
      <c r="AA486" s="575"/>
      <c r="AB486" s="575"/>
      <c r="AC486" s="575"/>
      <c r="AD486" s="575"/>
      <c r="AE486" s="827"/>
      <c r="AF486" s="575"/>
      <c r="AG486" s="960"/>
      <c r="AH486" s="842"/>
      <c r="AI486" s="738">
        <f t="shared" si="22"/>
        <v>0</v>
      </c>
      <c r="AJ486" s="949">
        <v>0</v>
      </c>
      <c r="AK486" s="581">
        <f t="shared" si="23"/>
        <v>0</v>
      </c>
      <c r="AL486" s="750" t="s">
        <v>1692</v>
      </c>
      <c r="AM486" s="743">
        <f t="shared" si="24"/>
        <v>51.98</v>
      </c>
    </row>
    <row r="487" spans="1:39" s="560" customFormat="1">
      <c r="A487" s="604" t="s">
        <v>954</v>
      </c>
      <c r="B487" s="604" t="s">
        <v>1261</v>
      </c>
      <c r="C487" s="614" t="s">
        <v>36</v>
      </c>
      <c r="D487" s="580"/>
      <c r="E487" s="778"/>
      <c r="F487" s="581"/>
      <c r="G487" s="581"/>
      <c r="H487" s="581"/>
      <c r="I487" s="949"/>
      <c r="J487" s="949"/>
      <c r="K487" s="949"/>
      <c r="L487" s="809"/>
      <c r="M487" s="575"/>
      <c r="N487" s="575"/>
      <c r="O487" s="575"/>
      <c r="P487" s="575"/>
      <c r="Q487" s="575"/>
      <c r="R487" s="575"/>
      <c r="S487" s="809"/>
      <c r="T487" s="575"/>
      <c r="U487" s="575"/>
      <c r="V487" s="575"/>
      <c r="W487" s="575"/>
      <c r="X487" s="575"/>
      <c r="Y487" s="575"/>
      <c r="Z487" s="809"/>
      <c r="AA487" s="575"/>
      <c r="AB487" s="575"/>
      <c r="AC487" s="575"/>
      <c r="AD487" s="575"/>
      <c r="AE487" s="827"/>
      <c r="AF487" s="575"/>
      <c r="AG487" s="960"/>
      <c r="AH487" s="842"/>
      <c r="AI487" s="738">
        <f t="shared" si="22"/>
        <v>0</v>
      </c>
      <c r="AJ487" s="949">
        <v>0</v>
      </c>
      <c r="AK487" s="581">
        <f t="shared" si="23"/>
        <v>0</v>
      </c>
      <c r="AL487" s="750" t="s">
        <v>1693</v>
      </c>
      <c r="AM487" s="743">
        <f t="shared" si="24"/>
        <v>12</v>
      </c>
    </row>
    <row r="488" spans="1:39" s="560" customFormat="1">
      <c r="A488" s="604" t="s">
        <v>955</v>
      </c>
      <c r="B488" s="604" t="s">
        <v>1262</v>
      </c>
      <c r="C488" s="614" t="s">
        <v>36</v>
      </c>
      <c r="D488" s="580"/>
      <c r="E488" s="778"/>
      <c r="F488" s="581"/>
      <c r="G488" s="581"/>
      <c r="H488" s="581"/>
      <c r="I488" s="949"/>
      <c r="J488" s="949"/>
      <c r="K488" s="949"/>
      <c r="L488" s="809"/>
      <c r="M488" s="575"/>
      <c r="N488" s="575"/>
      <c r="O488" s="575"/>
      <c r="P488" s="575"/>
      <c r="Q488" s="575"/>
      <c r="R488" s="575"/>
      <c r="S488" s="809"/>
      <c r="T488" s="575"/>
      <c r="U488" s="575"/>
      <c r="V488" s="575"/>
      <c r="W488" s="575"/>
      <c r="X488" s="575"/>
      <c r="Y488" s="575"/>
      <c r="Z488" s="809"/>
      <c r="AA488" s="575"/>
      <c r="AB488" s="575"/>
      <c r="AC488" s="575"/>
      <c r="AD488" s="575"/>
      <c r="AE488" s="827"/>
      <c r="AF488" s="575"/>
      <c r="AG488" s="960"/>
      <c r="AH488" s="842"/>
      <c r="AI488" s="738">
        <f t="shared" si="22"/>
        <v>0</v>
      </c>
      <c r="AJ488" s="949">
        <v>0</v>
      </c>
      <c r="AK488" s="581">
        <f t="shared" si="23"/>
        <v>0</v>
      </c>
      <c r="AL488" s="750" t="s">
        <v>1694</v>
      </c>
      <c r="AM488" s="743">
        <f t="shared" si="24"/>
        <v>19.97</v>
      </c>
    </row>
    <row r="489" spans="1:39" s="560" customFormat="1">
      <c r="A489" s="604" t="s">
        <v>956</v>
      </c>
      <c r="B489" s="604" t="s">
        <v>1263</v>
      </c>
      <c r="C489" s="614" t="s">
        <v>36</v>
      </c>
      <c r="D489" s="580"/>
      <c r="E489" s="778"/>
      <c r="F489" s="581"/>
      <c r="G489" s="581"/>
      <c r="H489" s="581"/>
      <c r="I489" s="949"/>
      <c r="J489" s="949"/>
      <c r="K489" s="949"/>
      <c r="L489" s="809"/>
      <c r="M489" s="575"/>
      <c r="N489" s="575"/>
      <c r="O489" s="575"/>
      <c r="P489" s="575"/>
      <c r="Q489" s="575"/>
      <c r="R489" s="575"/>
      <c r="S489" s="809"/>
      <c r="T489" s="575"/>
      <c r="U489" s="575"/>
      <c r="V489" s="575"/>
      <c r="W489" s="575"/>
      <c r="X489" s="575"/>
      <c r="Y489" s="575"/>
      <c r="Z489" s="809"/>
      <c r="AA489" s="575"/>
      <c r="AB489" s="575"/>
      <c r="AC489" s="575"/>
      <c r="AD489" s="575"/>
      <c r="AE489" s="827"/>
      <c r="AF489" s="575"/>
      <c r="AG489" s="960"/>
      <c r="AH489" s="842"/>
      <c r="AI489" s="738">
        <f t="shared" si="22"/>
        <v>0</v>
      </c>
      <c r="AJ489" s="949">
        <v>0</v>
      </c>
      <c r="AK489" s="581">
        <f t="shared" si="23"/>
        <v>0</v>
      </c>
      <c r="AL489" s="750" t="s">
        <v>1703</v>
      </c>
      <c r="AM489" s="743">
        <f t="shared" si="24"/>
        <v>6.91</v>
      </c>
    </row>
    <row r="490" spans="1:39" s="560" customFormat="1">
      <c r="A490" s="604" t="s">
        <v>957</v>
      </c>
      <c r="B490" s="604" t="s">
        <v>1264</v>
      </c>
      <c r="C490" s="614" t="s">
        <v>36</v>
      </c>
      <c r="D490" s="580"/>
      <c r="E490" s="778"/>
      <c r="F490" s="581"/>
      <c r="G490" s="581"/>
      <c r="H490" s="581"/>
      <c r="I490" s="949"/>
      <c r="J490" s="949"/>
      <c r="K490" s="949"/>
      <c r="L490" s="809"/>
      <c r="M490" s="575"/>
      <c r="N490" s="575"/>
      <c r="O490" s="575"/>
      <c r="P490" s="575"/>
      <c r="Q490" s="575"/>
      <c r="R490" s="575"/>
      <c r="S490" s="809"/>
      <c r="T490" s="575"/>
      <c r="U490" s="575"/>
      <c r="V490" s="575"/>
      <c r="W490" s="575"/>
      <c r="X490" s="575"/>
      <c r="Y490" s="575"/>
      <c r="Z490" s="809"/>
      <c r="AA490" s="575"/>
      <c r="AB490" s="575"/>
      <c r="AC490" s="575"/>
      <c r="AD490" s="575"/>
      <c r="AE490" s="827"/>
      <c r="AF490" s="575"/>
      <c r="AG490" s="960"/>
      <c r="AH490" s="842"/>
      <c r="AI490" s="738">
        <f t="shared" si="22"/>
        <v>0</v>
      </c>
      <c r="AJ490" s="949">
        <v>0</v>
      </c>
      <c r="AK490" s="581">
        <f t="shared" si="23"/>
        <v>0</v>
      </c>
      <c r="AL490" s="750" t="s">
        <v>1711</v>
      </c>
      <c r="AM490" s="743">
        <f t="shared" si="24"/>
        <v>10.5</v>
      </c>
    </row>
    <row r="491" spans="1:39" s="560" customFormat="1">
      <c r="A491" s="604" t="s">
        <v>958</v>
      </c>
      <c r="B491" s="604" t="s">
        <v>1265</v>
      </c>
      <c r="C491" s="614" t="s">
        <v>36</v>
      </c>
      <c r="D491" s="580"/>
      <c r="E491" s="778"/>
      <c r="F491" s="581"/>
      <c r="G491" s="581"/>
      <c r="H491" s="581"/>
      <c r="I491" s="949"/>
      <c r="J491" s="949"/>
      <c r="K491" s="949"/>
      <c r="L491" s="809"/>
      <c r="M491" s="575"/>
      <c r="N491" s="575"/>
      <c r="O491" s="575"/>
      <c r="P491" s="575"/>
      <c r="Q491" s="575"/>
      <c r="R491" s="575"/>
      <c r="S491" s="809"/>
      <c r="T491" s="575"/>
      <c r="U491" s="575"/>
      <c r="V491" s="575"/>
      <c r="W491" s="575"/>
      <c r="X491" s="575"/>
      <c r="Y491" s="575"/>
      <c r="Z491" s="809"/>
      <c r="AA491" s="575"/>
      <c r="AB491" s="575"/>
      <c r="AC491" s="575"/>
      <c r="AD491" s="575"/>
      <c r="AE491" s="827"/>
      <c r="AF491" s="575"/>
      <c r="AG491" s="960"/>
      <c r="AH491" s="842"/>
      <c r="AI491" s="738">
        <f t="shared" ref="AI491:AI554" si="25">ROUND((SUM(D491:L491)),2)</f>
        <v>0</v>
      </c>
      <c r="AJ491" s="949">
        <v>0</v>
      </c>
      <c r="AK491" s="581">
        <f t="shared" si="23"/>
        <v>0</v>
      </c>
      <c r="AL491" s="750"/>
      <c r="AM491" s="743">
        <f t="shared" si="24"/>
        <v>0</v>
      </c>
    </row>
    <row r="492" spans="1:39" s="560" customFormat="1">
      <c r="A492" s="607" t="s">
        <v>959</v>
      </c>
      <c r="B492" s="607" t="s">
        <v>1266</v>
      </c>
      <c r="C492" s="690"/>
      <c r="D492" s="580"/>
      <c r="E492" s="778"/>
      <c r="F492" s="581"/>
      <c r="G492" s="581"/>
      <c r="H492" s="581"/>
      <c r="I492" s="949"/>
      <c r="J492" s="949"/>
      <c r="K492" s="949"/>
      <c r="L492" s="809"/>
      <c r="M492" s="575"/>
      <c r="N492" s="575"/>
      <c r="O492" s="575"/>
      <c r="P492" s="575"/>
      <c r="Q492" s="575"/>
      <c r="R492" s="575"/>
      <c r="S492" s="809"/>
      <c r="T492" s="575"/>
      <c r="U492" s="575"/>
      <c r="V492" s="575"/>
      <c r="W492" s="575"/>
      <c r="X492" s="575"/>
      <c r="Y492" s="575"/>
      <c r="Z492" s="809"/>
      <c r="AA492" s="575"/>
      <c r="AB492" s="575"/>
      <c r="AC492" s="575"/>
      <c r="AD492" s="575"/>
      <c r="AE492" s="827"/>
      <c r="AF492" s="575"/>
      <c r="AG492" s="960"/>
      <c r="AH492" s="842"/>
      <c r="AI492" s="738">
        <f t="shared" si="25"/>
        <v>0</v>
      </c>
      <c r="AJ492" s="949">
        <v>0</v>
      </c>
      <c r="AK492" s="581">
        <f t="shared" si="23"/>
        <v>0</v>
      </c>
      <c r="AL492" s="750" t="s">
        <v>1712</v>
      </c>
      <c r="AM492" s="743">
        <f t="shared" si="24"/>
        <v>11</v>
      </c>
    </row>
    <row r="493" spans="1:39" s="560" customFormat="1">
      <c r="A493" s="604" t="s">
        <v>960</v>
      </c>
      <c r="B493" s="604" t="s">
        <v>1267</v>
      </c>
      <c r="C493" s="614" t="s">
        <v>1436</v>
      </c>
      <c r="D493" s="580"/>
      <c r="E493" s="778"/>
      <c r="F493" s="581"/>
      <c r="G493" s="581"/>
      <c r="H493" s="581"/>
      <c r="I493" s="949"/>
      <c r="J493" s="949"/>
      <c r="K493" s="949"/>
      <c r="L493" s="809"/>
      <c r="M493" s="575"/>
      <c r="N493" s="575"/>
      <c r="O493" s="575"/>
      <c r="P493" s="575"/>
      <c r="Q493" s="575"/>
      <c r="R493" s="575"/>
      <c r="S493" s="809"/>
      <c r="T493" s="575"/>
      <c r="U493" s="575"/>
      <c r="V493" s="575"/>
      <c r="W493" s="575"/>
      <c r="X493" s="575"/>
      <c r="Y493" s="575"/>
      <c r="Z493" s="809"/>
      <c r="AA493" s="575"/>
      <c r="AB493" s="575"/>
      <c r="AC493" s="575"/>
      <c r="AD493" s="575"/>
      <c r="AE493" s="827"/>
      <c r="AF493" s="575"/>
      <c r="AG493" s="960"/>
      <c r="AH493" s="842"/>
      <c r="AI493" s="738">
        <f t="shared" si="25"/>
        <v>0</v>
      </c>
      <c r="AJ493" s="949">
        <v>0</v>
      </c>
      <c r="AK493" s="581">
        <f t="shared" si="23"/>
        <v>0</v>
      </c>
      <c r="AL493" s="750" t="s">
        <v>1441</v>
      </c>
      <c r="AM493" s="743">
        <f t="shared" si="24"/>
        <v>1</v>
      </c>
    </row>
    <row r="494" spans="1:39" s="560" customFormat="1">
      <c r="A494" s="604" t="s">
        <v>961</v>
      </c>
      <c r="B494" s="604" t="s">
        <v>1268</v>
      </c>
      <c r="C494" s="614" t="s">
        <v>63</v>
      </c>
      <c r="D494" s="580"/>
      <c r="E494" s="778"/>
      <c r="F494" s="581"/>
      <c r="G494" s="581"/>
      <c r="H494" s="581"/>
      <c r="I494" s="949"/>
      <c r="J494" s="949"/>
      <c r="K494" s="949"/>
      <c r="L494" s="809"/>
      <c r="M494" s="575"/>
      <c r="N494" s="575"/>
      <c r="O494" s="575"/>
      <c r="P494" s="575"/>
      <c r="Q494" s="575"/>
      <c r="R494" s="575"/>
      <c r="S494" s="809"/>
      <c r="T494" s="575"/>
      <c r="U494" s="575"/>
      <c r="V494" s="575"/>
      <c r="W494" s="575"/>
      <c r="X494" s="575"/>
      <c r="Y494" s="575"/>
      <c r="Z494" s="809"/>
      <c r="AA494" s="575"/>
      <c r="AB494" s="575"/>
      <c r="AC494" s="575"/>
      <c r="AD494" s="575"/>
      <c r="AE494" s="827"/>
      <c r="AF494" s="575"/>
      <c r="AG494" s="960"/>
      <c r="AH494" s="842"/>
      <c r="AI494" s="738">
        <f t="shared" si="25"/>
        <v>0</v>
      </c>
      <c r="AJ494" s="949">
        <v>0</v>
      </c>
      <c r="AK494" s="581">
        <f t="shared" si="23"/>
        <v>0</v>
      </c>
      <c r="AL494" s="750" t="s">
        <v>1713</v>
      </c>
      <c r="AM494" s="743">
        <f t="shared" si="24"/>
        <v>8.15</v>
      </c>
    </row>
    <row r="495" spans="1:39" s="560" customFormat="1">
      <c r="A495" s="604" t="s">
        <v>962</v>
      </c>
      <c r="B495" s="604" t="s">
        <v>1269</v>
      </c>
      <c r="C495" s="614" t="s">
        <v>36</v>
      </c>
      <c r="D495" s="580"/>
      <c r="E495" s="778"/>
      <c r="F495" s="581"/>
      <c r="G495" s="581"/>
      <c r="H495" s="581"/>
      <c r="I495" s="949"/>
      <c r="J495" s="949"/>
      <c r="K495" s="949"/>
      <c r="L495" s="809"/>
      <c r="M495" s="575"/>
      <c r="N495" s="575"/>
      <c r="O495" s="575"/>
      <c r="P495" s="575"/>
      <c r="Q495" s="575"/>
      <c r="R495" s="575"/>
      <c r="S495" s="809"/>
      <c r="T495" s="575"/>
      <c r="U495" s="575"/>
      <c r="V495" s="575"/>
      <c r="W495" s="575"/>
      <c r="X495" s="575"/>
      <c r="Y495" s="575"/>
      <c r="Z495" s="809"/>
      <c r="AA495" s="575"/>
      <c r="AB495" s="575"/>
      <c r="AC495" s="575"/>
      <c r="AD495" s="575"/>
      <c r="AE495" s="827"/>
      <c r="AF495" s="575"/>
      <c r="AG495" s="960"/>
      <c r="AH495" s="842"/>
      <c r="AI495" s="738">
        <f t="shared" si="25"/>
        <v>0</v>
      </c>
      <c r="AJ495" s="949">
        <v>0</v>
      </c>
      <c r="AK495" s="581">
        <f t="shared" si="23"/>
        <v>0</v>
      </c>
      <c r="AL495" s="750"/>
      <c r="AM495" s="743">
        <f t="shared" si="24"/>
        <v>0</v>
      </c>
    </row>
    <row r="496" spans="1:39" s="782" customFormat="1">
      <c r="A496" s="868" t="s">
        <v>512</v>
      </c>
      <c r="B496" s="869" t="s">
        <v>1284</v>
      </c>
      <c r="C496" s="898"/>
      <c r="D496" s="795"/>
      <c r="E496" s="778"/>
      <c r="F496" s="778"/>
      <c r="G496" s="778"/>
      <c r="H496" s="778"/>
      <c r="I496" s="777"/>
      <c r="J496" s="777"/>
      <c r="K496" s="777"/>
      <c r="L496" s="809"/>
      <c r="M496" s="809"/>
      <c r="N496" s="809"/>
      <c r="O496" s="809"/>
      <c r="P496" s="809"/>
      <c r="Q496" s="809"/>
      <c r="R496" s="809"/>
      <c r="S496" s="809"/>
      <c r="T496" s="809"/>
      <c r="U496" s="809"/>
      <c r="V496" s="809"/>
      <c r="W496" s="809"/>
      <c r="X496" s="809"/>
      <c r="Y496" s="809"/>
      <c r="Z496" s="809"/>
      <c r="AA496" s="809"/>
      <c r="AB496" s="809"/>
      <c r="AC496" s="809"/>
      <c r="AD496" s="809"/>
      <c r="AE496" s="827"/>
      <c r="AF496" s="809"/>
      <c r="AG496" s="960"/>
      <c r="AH496" s="873"/>
      <c r="AI496" s="839">
        <f t="shared" si="25"/>
        <v>0</v>
      </c>
      <c r="AJ496" s="777">
        <v>0</v>
      </c>
      <c r="AK496" s="778">
        <f t="shared" si="23"/>
        <v>0</v>
      </c>
      <c r="AL496" s="901"/>
      <c r="AM496" s="781">
        <f t="shared" si="24"/>
        <v>0</v>
      </c>
    </row>
    <row r="497" spans="1:39" s="782" customFormat="1">
      <c r="A497" s="885" t="s">
        <v>513</v>
      </c>
      <c r="B497" s="885" t="s">
        <v>1222</v>
      </c>
      <c r="C497" s="898"/>
      <c r="D497" s="795"/>
      <c r="E497" s="778"/>
      <c r="F497" s="778"/>
      <c r="G497" s="778"/>
      <c r="H497" s="778"/>
      <c r="I497" s="777"/>
      <c r="J497" s="777"/>
      <c r="K497" s="777"/>
      <c r="L497" s="809"/>
      <c r="M497" s="809"/>
      <c r="N497" s="809"/>
      <c r="O497" s="809"/>
      <c r="P497" s="809"/>
      <c r="Q497" s="809"/>
      <c r="R497" s="809"/>
      <c r="S497" s="809"/>
      <c r="T497" s="809"/>
      <c r="U497" s="809"/>
      <c r="V497" s="809"/>
      <c r="W497" s="809"/>
      <c r="X497" s="809"/>
      <c r="Y497" s="809"/>
      <c r="Z497" s="809"/>
      <c r="AA497" s="809"/>
      <c r="AB497" s="809"/>
      <c r="AC497" s="809"/>
      <c r="AD497" s="809"/>
      <c r="AE497" s="827"/>
      <c r="AF497" s="809"/>
      <c r="AG497" s="960"/>
      <c r="AH497" s="873"/>
      <c r="AI497" s="839">
        <f t="shared" si="25"/>
        <v>0</v>
      </c>
      <c r="AJ497" s="777">
        <v>0</v>
      </c>
      <c r="AK497" s="778">
        <f t="shared" si="23"/>
        <v>0</v>
      </c>
      <c r="AL497" s="901" t="s">
        <v>1714</v>
      </c>
      <c r="AM497" s="781">
        <f t="shared" si="24"/>
        <v>239.98</v>
      </c>
    </row>
    <row r="498" spans="1:39" s="782" customFormat="1">
      <c r="A498" s="772" t="s">
        <v>514</v>
      </c>
      <c r="B498" s="772" t="s">
        <v>1285</v>
      </c>
      <c r="C498" s="877" t="s">
        <v>36</v>
      </c>
      <c r="D498" s="795"/>
      <c r="E498" s="778"/>
      <c r="F498" s="778"/>
      <c r="G498" s="778"/>
      <c r="H498" s="778"/>
      <c r="I498" s="777"/>
      <c r="J498" s="777"/>
      <c r="K498" s="777"/>
      <c r="L498" s="809"/>
      <c r="M498" s="809"/>
      <c r="N498" s="809"/>
      <c r="O498" s="809"/>
      <c r="P498" s="809"/>
      <c r="Q498" s="809"/>
      <c r="R498" s="809"/>
      <c r="S498" s="809"/>
      <c r="T498" s="809"/>
      <c r="U498" s="809"/>
      <c r="V498" s="809"/>
      <c r="W498" s="809"/>
      <c r="X498" s="809"/>
      <c r="Y498" s="809"/>
      <c r="Z498" s="809"/>
      <c r="AA498" s="809"/>
      <c r="AB498" s="809"/>
      <c r="AC498" s="809"/>
      <c r="AD498" s="809"/>
      <c r="AE498" s="827"/>
      <c r="AF498" s="809"/>
      <c r="AG498" s="960"/>
      <c r="AH498" s="873"/>
      <c r="AI498" s="839">
        <f t="shared" si="25"/>
        <v>0</v>
      </c>
      <c r="AJ498" s="777">
        <v>0</v>
      </c>
      <c r="AK498" s="778">
        <f t="shared" si="23"/>
        <v>0</v>
      </c>
      <c r="AL498" s="901"/>
      <c r="AM498" s="781">
        <f t="shared" si="24"/>
        <v>0</v>
      </c>
    </row>
    <row r="499" spans="1:39" s="560" customFormat="1">
      <c r="A499" s="607" t="s">
        <v>963</v>
      </c>
      <c r="B499" s="607" t="s">
        <v>1225</v>
      </c>
      <c r="C499" s="690"/>
      <c r="D499" s="580"/>
      <c r="E499" s="778"/>
      <c r="F499" s="581"/>
      <c r="G499" s="581"/>
      <c r="H499" s="581"/>
      <c r="I499" s="949"/>
      <c r="J499" s="949"/>
      <c r="K499" s="949"/>
      <c r="L499" s="809"/>
      <c r="M499" s="575"/>
      <c r="N499" s="575"/>
      <c r="O499" s="575"/>
      <c r="P499" s="575"/>
      <c r="Q499" s="575"/>
      <c r="R499" s="575"/>
      <c r="S499" s="809"/>
      <c r="T499" s="575"/>
      <c r="U499" s="575"/>
      <c r="V499" s="575"/>
      <c r="W499" s="575"/>
      <c r="X499" s="575"/>
      <c r="Y499" s="575"/>
      <c r="Z499" s="809"/>
      <c r="AA499" s="575"/>
      <c r="AB499" s="575"/>
      <c r="AC499" s="575"/>
      <c r="AD499" s="575"/>
      <c r="AE499" s="827"/>
      <c r="AF499" s="575"/>
      <c r="AG499" s="960"/>
      <c r="AH499" s="842"/>
      <c r="AI499" s="738">
        <f t="shared" si="25"/>
        <v>0</v>
      </c>
      <c r="AJ499" s="949">
        <v>0</v>
      </c>
      <c r="AK499" s="581">
        <f t="shared" si="23"/>
        <v>0</v>
      </c>
      <c r="AL499" s="750" t="s">
        <v>1715</v>
      </c>
      <c r="AM499" s="743">
        <f t="shared" si="24"/>
        <v>117.85</v>
      </c>
    </row>
    <row r="500" spans="1:39" s="560" customFormat="1">
      <c r="A500" s="604" t="s">
        <v>964</v>
      </c>
      <c r="B500" s="604" t="s">
        <v>1286</v>
      </c>
      <c r="C500" s="614" t="s">
        <v>36</v>
      </c>
      <c r="D500" s="580"/>
      <c r="E500" s="778"/>
      <c r="F500" s="581"/>
      <c r="G500" s="581"/>
      <c r="H500" s="581"/>
      <c r="I500" s="949"/>
      <c r="J500" s="949"/>
      <c r="K500" s="949"/>
      <c r="L500" s="809"/>
      <c r="M500" s="575"/>
      <c r="N500" s="575"/>
      <c r="O500" s="575"/>
      <c r="P500" s="575"/>
      <c r="Q500" s="575"/>
      <c r="R500" s="575"/>
      <c r="S500" s="809"/>
      <c r="T500" s="575"/>
      <c r="U500" s="575"/>
      <c r="V500" s="575"/>
      <c r="W500" s="575"/>
      <c r="X500" s="575"/>
      <c r="Y500" s="575"/>
      <c r="Z500" s="809"/>
      <c r="AA500" s="575"/>
      <c r="AB500" s="575"/>
      <c r="AC500" s="575"/>
      <c r="AD500" s="575"/>
      <c r="AE500" s="827"/>
      <c r="AF500" s="575"/>
      <c r="AG500" s="960"/>
      <c r="AH500" s="842"/>
      <c r="AI500" s="738">
        <f t="shared" si="25"/>
        <v>0</v>
      </c>
      <c r="AJ500" s="949">
        <v>0</v>
      </c>
      <c r="AK500" s="581">
        <f t="shared" si="23"/>
        <v>0</v>
      </c>
      <c r="AL500" s="750" t="s">
        <v>1716</v>
      </c>
      <c r="AM500" s="743">
        <f t="shared" si="24"/>
        <v>65.94</v>
      </c>
    </row>
    <row r="501" spans="1:39" s="560" customFormat="1">
      <c r="A501" s="604" t="s">
        <v>965</v>
      </c>
      <c r="B501" s="604" t="s">
        <v>1287</v>
      </c>
      <c r="C501" s="614" t="s">
        <v>36</v>
      </c>
      <c r="D501" s="580"/>
      <c r="E501" s="778"/>
      <c r="F501" s="581"/>
      <c r="G501" s="581"/>
      <c r="H501" s="581"/>
      <c r="I501" s="949"/>
      <c r="J501" s="949"/>
      <c r="K501" s="949"/>
      <c r="L501" s="809"/>
      <c r="M501" s="575"/>
      <c r="N501" s="575"/>
      <c r="O501" s="575"/>
      <c r="P501" s="575"/>
      <c r="Q501" s="575"/>
      <c r="R501" s="575"/>
      <c r="S501" s="809"/>
      <c r="T501" s="575"/>
      <c r="U501" s="575"/>
      <c r="V501" s="575"/>
      <c r="W501" s="575"/>
      <c r="X501" s="575"/>
      <c r="Y501" s="575"/>
      <c r="Z501" s="809"/>
      <c r="AA501" s="575"/>
      <c r="AB501" s="575"/>
      <c r="AC501" s="575"/>
      <c r="AD501" s="575"/>
      <c r="AE501" s="827"/>
      <c r="AF501" s="575"/>
      <c r="AG501" s="960"/>
      <c r="AH501" s="842"/>
      <c r="AI501" s="738">
        <f t="shared" si="25"/>
        <v>0</v>
      </c>
      <c r="AJ501" s="949">
        <v>0</v>
      </c>
      <c r="AK501" s="581">
        <f t="shared" si="23"/>
        <v>0</v>
      </c>
      <c r="AL501" s="750" t="s">
        <v>1576</v>
      </c>
      <c r="AM501" s="743">
        <f t="shared" si="24"/>
        <v>49.66</v>
      </c>
    </row>
    <row r="502" spans="1:39" s="560" customFormat="1">
      <c r="A502" s="604" t="s">
        <v>966</v>
      </c>
      <c r="B502" s="604" t="s">
        <v>1288</v>
      </c>
      <c r="C502" s="614" t="s">
        <v>36</v>
      </c>
      <c r="D502" s="580"/>
      <c r="E502" s="778"/>
      <c r="F502" s="581"/>
      <c r="G502" s="581"/>
      <c r="H502" s="581"/>
      <c r="I502" s="949"/>
      <c r="J502" s="949"/>
      <c r="K502" s="949"/>
      <c r="L502" s="809"/>
      <c r="M502" s="575"/>
      <c r="N502" s="575"/>
      <c r="O502" s="575"/>
      <c r="P502" s="575"/>
      <c r="Q502" s="575"/>
      <c r="R502" s="575"/>
      <c r="S502" s="809"/>
      <c r="T502" s="575"/>
      <c r="U502" s="575"/>
      <c r="V502" s="575"/>
      <c r="W502" s="575"/>
      <c r="X502" s="575"/>
      <c r="Y502" s="575"/>
      <c r="Z502" s="809"/>
      <c r="AA502" s="575"/>
      <c r="AB502" s="575"/>
      <c r="AC502" s="575"/>
      <c r="AD502" s="575"/>
      <c r="AE502" s="827"/>
      <c r="AF502" s="575"/>
      <c r="AG502" s="960"/>
      <c r="AH502" s="842"/>
      <c r="AI502" s="738">
        <f t="shared" si="25"/>
        <v>0</v>
      </c>
      <c r="AJ502" s="949">
        <v>0</v>
      </c>
      <c r="AK502" s="581">
        <f t="shared" si="23"/>
        <v>0</v>
      </c>
      <c r="AL502" s="750"/>
      <c r="AM502" s="743">
        <f t="shared" si="24"/>
        <v>0</v>
      </c>
    </row>
    <row r="503" spans="1:39" s="560" customFormat="1">
      <c r="A503" s="607" t="s">
        <v>967</v>
      </c>
      <c r="B503" s="607" t="s">
        <v>1277</v>
      </c>
      <c r="C503" s="690"/>
      <c r="D503" s="580"/>
      <c r="E503" s="778"/>
      <c r="F503" s="581"/>
      <c r="G503" s="581"/>
      <c r="H503" s="581"/>
      <c r="I503" s="949"/>
      <c r="J503" s="949"/>
      <c r="K503" s="949"/>
      <c r="L503" s="809"/>
      <c r="M503" s="575"/>
      <c r="N503" s="575"/>
      <c r="O503" s="575"/>
      <c r="P503" s="575"/>
      <c r="Q503" s="575"/>
      <c r="R503" s="575"/>
      <c r="S503" s="809"/>
      <c r="T503" s="575"/>
      <c r="U503" s="575"/>
      <c r="V503" s="575"/>
      <c r="W503" s="575"/>
      <c r="X503" s="575"/>
      <c r="Y503" s="575"/>
      <c r="Z503" s="809"/>
      <c r="AA503" s="575"/>
      <c r="AB503" s="575"/>
      <c r="AC503" s="575"/>
      <c r="AD503" s="575"/>
      <c r="AE503" s="827"/>
      <c r="AF503" s="575"/>
      <c r="AG503" s="960"/>
      <c r="AH503" s="842"/>
      <c r="AI503" s="738">
        <f t="shared" si="25"/>
        <v>0</v>
      </c>
      <c r="AJ503" s="949">
        <v>0</v>
      </c>
      <c r="AK503" s="581">
        <f t="shared" si="23"/>
        <v>0</v>
      </c>
      <c r="AL503" s="750" t="s">
        <v>1717</v>
      </c>
      <c r="AM503" s="743">
        <f t="shared" si="24"/>
        <v>7.98</v>
      </c>
    </row>
    <row r="504" spans="1:39" s="560" customFormat="1">
      <c r="A504" s="604" t="s">
        <v>968</v>
      </c>
      <c r="B504" s="604" t="s">
        <v>1289</v>
      </c>
      <c r="C504" s="614" t="s">
        <v>36</v>
      </c>
      <c r="D504" s="580"/>
      <c r="E504" s="778"/>
      <c r="F504" s="581"/>
      <c r="G504" s="581"/>
      <c r="H504" s="581"/>
      <c r="I504" s="949"/>
      <c r="J504" s="949"/>
      <c r="K504" s="949"/>
      <c r="L504" s="809"/>
      <c r="M504" s="575"/>
      <c r="N504" s="575"/>
      <c r="O504" s="575"/>
      <c r="P504" s="575"/>
      <c r="Q504" s="575"/>
      <c r="R504" s="575"/>
      <c r="S504" s="809"/>
      <c r="T504" s="575"/>
      <c r="U504" s="575"/>
      <c r="V504" s="575"/>
      <c r="W504" s="575"/>
      <c r="X504" s="575"/>
      <c r="Y504" s="575"/>
      <c r="Z504" s="809"/>
      <c r="AA504" s="575"/>
      <c r="AB504" s="575"/>
      <c r="AC504" s="575"/>
      <c r="AD504" s="575"/>
      <c r="AE504" s="827"/>
      <c r="AF504" s="575"/>
      <c r="AG504" s="960"/>
      <c r="AH504" s="842"/>
      <c r="AI504" s="738">
        <f t="shared" si="25"/>
        <v>0</v>
      </c>
      <c r="AJ504" s="949">
        <v>0</v>
      </c>
      <c r="AK504" s="581">
        <f t="shared" si="23"/>
        <v>0</v>
      </c>
      <c r="AL504" s="750"/>
      <c r="AM504" s="743">
        <f t="shared" si="24"/>
        <v>0</v>
      </c>
    </row>
    <row r="505" spans="1:39" s="560" customFormat="1">
      <c r="A505" s="607" t="s">
        <v>969</v>
      </c>
      <c r="B505" s="607" t="s">
        <v>1258</v>
      </c>
      <c r="C505" s="690"/>
      <c r="D505" s="580"/>
      <c r="E505" s="778"/>
      <c r="F505" s="581"/>
      <c r="G505" s="581"/>
      <c r="H505" s="581"/>
      <c r="I505" s="949"/>
      <c r="J505" s="949"/>
      <c r="K505" s="949"/>
      <c r="L505" s="809"/>
      <c r="M505" s="575"/>
      <c r="N505" s="575"/>
      <c r="O505" s="575"/>
      <c r="P505" s="575"/>
      <c r="Q505" s="575"/>
      <c r="R505" s="575"/>
      <c r="S505" s="809"/>
      <c r="T505" s="575"/>
      <c r="U505" s="575"/>
      <c r="V505" s="575"/>
      <c r="W505" s="575"/>
      <c r="X505" s="575"/>
      <c r="Y505" s="575"/>
      <c r="Z505" s="809"/>
      <c r="AA505" s="575"/>
      <c r="AB505" s="575"/>
      <c r="AC505" s="575"/>
      <c r="AD505" s="575"/>
      <c r="AE505" s="827"/>
      <c r="AF505" s="575"/>
      <c r="AG505" s="960"/>
      <c r="AH505" s="842"/>
      <c r="AI505" s="738">
        <f t="shared" si="25"/>
        <v>0</v>
      </c>
      <c r="AJ505" s="949">
        <v>0</v>
      </c>
      <c r="AK505" s="581">
        <f t="shared" si="23"/>
        <v>0</v>
      </c>
      <c r="AL505" s="750" t="s">
        <v>1715</v>
      </c>
      <c r="AM505" s="743">
        <f t="shared" si="24"/>
        <v>117.85</v>
      </c>
    </row>
    <row r="506" spans="1:39" s="560" customFormat="1">
      <c r="A506" s="604" t="s">
        <v>970</v>
      </c>
      <c r="B506" s="604" t="s">
        <v>1290</v>
      </c>
      <c r="C506" s="614" t="s">
        <v>36</v>
      </c>
      <c r="D506" s="580"/>
      <c r="E506" s="778"/>
      <c r="F506" s="581"/>
      <c r="G506" s="581"/>
      <c r="H506" s="581"/>
      <c r="I506" s="949"/>
      <c r="J506" s="949"/>
      <c r="K506" s="949"/>
      <c r="L506" s="809"/>
      <c r="M506" s="575"/>
      <c r="N506" s="575"/>
      <c r="O506" s="575"/>
      <c r="P506" s="575"/>
      <c r="Q506" s="575"/>
      <c r="R506" s="575"/>
      <c r="S506" s="809"/>
      <c r="T506" s="575"/>
      <c r="U506" s="575"/>
      <c r="V506" s="575"/>
      <c r="W506" s="575"/>
      <c r="X506" s="575"/>
      <c r="Y506" s="575"/>
      <c r="Z506" s="809"/>
      <c r="AA506" s="575"/>
      <c r="AB506" s="575"/>
      <c r="AC506" s="575"/>
      <c r="AD506" s="575"/>
      <c r="AE506" s="827"/>
      <c r="AF506" s="575"/>
      <c r="AG506" s="960"/>
      <c r="AH506" s="842"/>
      <c r="AI506" s="738">
        <f t="shared" si="25"/>
        <v>0</v>
      </c>
      <c r="AJ506" s="949">
        <v>0</v>
      </c>
      <c r="AK506" s="581">
        <f t="shared" si="23"/>
        <v>0</v>
      </c>
      <c r="AL506" s="750" t="s">
        <v>1716</v>
      </c>
      <c r="AM506" s="743">
        <f t="shared" si="24"/>
        <v>65.94</v>
      </c>
    </row>
    <row r="507" spans="1:39" s="560" customFormat="1">
      <c r="A507" s="604" t="s">
        <v>971</v>
      </c>
      <c r="B507" s="604" t="s">
        <v>1262</v>
      </c>
      <c r="C507" s="614" t="s">
        <v>36</v>
      </c>
      <c r="D507" s="580"/>
      <c r="E507" s="778"/>
      <c r="F507" s="581"/>
      <c r="G507" s="581"/>
      <c r="H507" s="581"/>
      <c r="I507" s="949"/>
      <c r="J507" s="949"/>
      <c r="K507" s="949"/>
      <c r="L507" s="809"/>
      <c r="M507" s="575"/>
      <c r="N507" s="575"/>
      <c r="O507" s="575"/>
      <c r="P507" s="575"/>
      <c r="Q507" s="575"/>
      <c r="R507" s="575"/>
      <c r="S507" s="809"/>
      <c r="T507" s="575"/>
      <c r="U507" s="575"/>
      <c r="V507" s="575"/>
      <c r="W507" s="575"/>
      <c r="X507" s="575"/>
      <c r="Y507" s="575"/>
      <c r="Z507" s="809"/>
      <c r="AA507" s="575"/>
      <c r="AB507" s="575"/>
      <c r="AC507" s="575"/>
      <c r="AD507" s="575"/>
      <c r="AE507" s="827"/>
      <c r="AF507" s="575"/>
      <c r="AG507" s="960"/>
      <c r="AH507" s="842"/>
      <c r="AI507" s="738">
        <f t="shared" si="25"/>
        <v>0</v>
      </c>
      <c r="AJ507" s="949">
        <v>0</v>
      </c>
      <c r="AK507" s="581">
        <f t="shared" si="23"/>
        <v>0</v>
      </c>
      <c r="AL507" s="750" t="s">
        <v>1576</v>
      </c>
      <c r="AM507" s="743">
        <f t="shared" si="24"/>
        <v>49.66</v>
      </c>
    </row>
    <row r="508" spans="1:39" s="560" customFormat="1">
      <c r="A508" s="604" t="s">
        <v>972</v>
      </c>
      <c r="B508" s="604" t="s">
        <v>1263</v>
      </c>
      <c r="C508" s="614" t="s">
        <v>36</v>
      </c>
      <c r="D508" s="580"/>
      <c r="E508" s="778"/>
      <c r="F508" s="581"/>
      <c r="G508" s="581"/>
      <c r="H508" s="581"/>
      <c r="I508" s="949"/>
      <c r="J508" s="949"/>
      <c r="K508" s="949"/>
      <c r="L508" s="809"/>
      <c r="M508" s="575"/>
      <c r="N508" s="575"/>
      <c r="O508" s="575"/>
      <c r="P508" s="575"/>
      <c r="Q508" s="575"/>
      <c r="R508" s="575"/>
      <c r="S508" s="809"/>
      <c r="T508" s="575"/>
      <c r="U508" s="575"/>
      <c r="V508" s="575"/>
      <c r="W508" s="575"/>
      <c r="X508" s="575"/>
      <c r="Y508" s="575"/>
      <c r="Z508" s="809"/>
      <c r="AA508" s="575"/>
      <c r="AB508" s="575"/>
      <c r="AC508" s="575"/>
      <c r="AD508" s="575"/>
      <c r="AE508" s="827"/>
      <c r="AF508" s="575"/>
      <c r="AG508" s="960"/>
      <c r="AH508" s="842"/>
      <c r="AI508" s="738">
        <f t="shared" si="25"/>
        <v>0</v>
      </c>
      <c r="AJ508" s="949">
        <v>0</v>
      </c>
      <c r="AK508" s="581">
        <f t="shared" si="23"/>
        <v>0</v>
      </c>
      <c r="AL508" s="750"/>
      <c r="AM508" s="743">
        <f t="shared" si="24"/>
        <v>0</v>
      </c>
    </row>
    <row r="509" spans="1:39" s="560" customFormat="1">
      <c r="A509" s="492" t="s">
        <v>973</v>
      </c>
      <c r="B509" s="608" t="s">
        <v>1291</v>
      </c>
      <c r="C509" s="690"/>
      <c r="D509" s="580"/>
      <c r="E509" s="778"/>
      <c r="F509" s="581"/>
      <c r="G509" s="581"/>
      <c r="H509" s="581"/>
      <c r="I509" s="949"/>
      <c r="J509" s="949"/>
      <c r="K509" s="949"/>
      <c r="L509" s="809"/>
      <c r="M509" s="575"/>
      <c r="N509" s="575"/>
      <c r="O509" s="575"/>
      <c r="P509" s="575"/>
      <c r="Q509" s="575"/>
      <c r="R509" s="575"/>
      <c r="S509" s="809"/>
      <c r="T509" s="575"/>
      <c r="U509" s="575"/>
      <c r="V509" s="575"/>
      <c r="W509" s="575"/>
      <c r="X509" s="575"/>
      <c r="Y509" s="575"/>
      <c r="Z509" s="809"/>
      <c r="AA509" s="575"/>
      <c r="AB509" s="575"/>
      <c r="AC509" s="575"/>
      <c r="AD509" s="575"/>
      <c r="AE509" s="827"/>
      <c r="AF509" s="575"/>
      <c r="AG509" s="960"/>
      <c r="AH509" s="842"/>
      <c r="AI509" s="738">
        <f t="shared" si="25"/>
        <v>0</v>
      </c>
      <c r="AJ509" s="949">
        <v>0</v>
      </c>
      <c r="AK509" s="581">
        <f t="shared" si="23"/>
        <v>0</v>
      </c>
      <c r="AL509" s="750" t="s">
        <v>1718</v>
      </c>
      <c r="AM509" s="743">
        <f t="shared" si="24"/>
        <v>154.19</v>
      </c>
    </row>
    <row r="510" spans="1:39" s="560" customFormat="1">
      <c r="A510" s="607" t="s">
        <v>974</v>
      </c>
      <c r="B510" s="607" t="s">
        <v>1292</v>
      </c>
      <c r="C510" s="614" t="s">
        <v>36</v>
      </c>
      <c r="D510" s="580"/>
      <c r="E510" s="778"/>
      <c r="F510" s="581"/>
      <c r="G510" s="581"/>
      <c r="H510" s="581"/>
      <c r="I510" s="949"/>
      <c r="J510" s="949"/>
      <c r="K510" s="949"/>
      <c r="L510" s="809"/>
      <c r="M510" s="575"/>
      <c r="N510" s="575"/>
      <c r="O510" s="575"/>
      <c r="P510" s="575"/>
      <c r="Q510" s="575"/>
      <c r="R510" s="575"/>
      <c r="S510" s="809"/>
      <c r="T510" s="575"/>
      <c r="U510" s="575"/>
      <c r="V510" s="575"/>
      <c r="W510" s="575"/>
      <c r="X510" s="575"/>
      <c r="Y510" s="575"/>
      <c r="Z510" s="809"/>
      <c r="AA510" s="575"/>
      <c r="AB510" s="575"/>
      <c r="AC510" s="575"/>
      <c r="AD510" s="575"/>
      <c r="AE510" s="827"/>
      <c r="AF510" s="575"/>
      <c r="AG510" s="960"/>
      <c r="AH510" s="842"/>
      <c r="AI510" s="738">
        <f t="shared" si="25"/>
        <v>0</v>
      </c>
      <c r="AJ510" s="949">
        <v>0</v>
      </c>
      <c r="AK510" s="581">
        <f t="shared" si="23"/>
        <v>0</v>
      </c>
      <c r="AL510" s="750" t="s">
        <v>1719</v>
      </c>
      <c r="AM510" s="743">
        <f t="shared" si="24"/>
        <v>48.81</v>
      </c>
    </row>
    <row r="511" spans="1:39" s="560" customFormat="1">
      <c r="A511" s="607" t="s">
        <v>975</v>
      </c>
      <c r="B511" s="607" t="s">
        <v>1293</v>
      </c>
      <c r="C511" s="614" t="s">
        <v>36</v>
      </c>
      <c r="D511" s="580"/>
      <c r="E511" s="778"/>
      <c r="F511" s="581"/>
      <c r="G511" s="581"/>
      <c r="H511" s="581"/>
      <c r="I511" s="949"/>
      <c r="J511" s="949"/>
      <c r="K511" s="949"/>
      <c r="L511" s="809"/>
      <c r="M511" s="575"/>
      <c r="N511" s="575"/>
      <c r="O511" s="575"/>
      <c r="P511" s="575"/>
      <c r="Q511" s="575"/>
      <c r="R511" s="575"/>
      <c r="S511" s="809"/>
      <c r="T511" s="575"/>
      <c r="U511" s="575"/>
      <c r="V511" s="575"/>
      <c r="W511" s="575"/>
      <c r="X511" s="575"/>
      <c r="Y511" s="575"/>
      <c r="Z511" s="809"/>
      <c r="AA511" s="575"/>
      <c r="AB511" s="575"/>
      <c r="AC511" s="575"/>
      <c r="AD511" s="575"/>
      <c r="AE511" s="827"/>
      <c r="AF511" s="575"/>
      <c r="AG511" s="960"/>
      <c r="AH511" s="842"/>
      <c r="AI511" s="738">
        <f t="shared" si="25"/>
        <v>0</v>
      </c>
      <c r="AJ511" s="949">
        <v>0</v>
      </c>
      <c r="AK511" s="581">
        <f t="shared" si="23"/>
        <v>0</v>
      </c>
      <c r="AL511" s="750"/>
      <c r="AM511" s="743">
        <f t="shared" si="24"/>
        <v>0</v>
      </c>
    </row>
    <row r="512" spans="1:39" s="560" customFormat="1">
      <c r="A512" s="492" t="s">
        <v>976</v>
      </c>
      <c r="B512" s="608" t="s">
        <v>1294</v>
      </c>
      <c r="C512" s="690"/>
      <c r="D512" s="580"/>
      <c r="E512" s="778"/>
      <c r="F512" s="581"/>
      <c r="G512" s="581"/>
      <c r="H512" s="581"/>
      <c r="I512" s="949"/>
      <c r="J512" s="949"/>
      <c r="K512" s="949"/>
      <c r="L512" s="809"/>
      <c r="M512" s="575"/>
      <c r="N512" s="575"/>
      <c r="O512" s="575"/>
      <c r="P512" s="575"/>
      <c r="Q512" s="575"/>
      <c r="R512" s="575"/>
      <c r="S512" s="809"/>
      <c r="T512" s="575"/>
      <c r="U512" s="575"/>
      <c r="V512" s="575"/>
      <c r="W512" s="575"/>
      <c r="X512" s="575"/>
      <c r="Y512" s="575"/>
      <c r="Z512" s="809"/>
      <c r="AA512" s="575"/>
      <c r="AB512" s="575"/>
      <c r="AC512" s="575"/>
      <c r="AD512" s="575"/>
      <c r="AE512" s="827"/>
      <c r="AF512" s="575"/>
      <c r="AG512" s="960"/>
      <c r="AH512" s="842"/>
      <c r="AI512" s="738">
        <f t="shared" si="25"/>
        <v>0</v>
      </c>
      <c r="AJ512" s="949">
        <v>0</v>
      </c>
      <c r="AK512" s="581">
        <f t="shared" si="23"/>
        <v>0</v>
      </c>
      <c r="AL512" s="750"/>
      <c r="AM512" s="743">
        <f t="shared" si="24"/>
        <v>0</v>
      </c>
    </row>
    <row r="513" spans="1:39" s="560" customFormat="1">
      <c r="A513" s="607" t="s">
        <v>977</v>
      </c>
      <c r="B513" s="607" t="s">
        <v>1235</v>
      </c>
      <c r="C513" s="690"/>
      <c r="D513" s="580"/>
      <c r="E513" s="778"/>
      <c r="F513" s="581"/>
      <c r="G513" s="581"/>
      <c r="H513" s="581"/>
      <c r="I513" s="949"/>
      <c r="J513" s="949"/>
      <c r="K513" s="949"/>
      <c r="L513" s="809"/>
      <c r="M513" s="575"/>
      <c r="N513" s="575"/>
      <c r="O513" s="575"/>
      <c r="P513" s="575"/>
      <c r="Q513" s="575"/>
      <c r="R513" s="575"/>
      <c r="S513" s="809"/>
      <c r="T513" s="575"/>
      <c r="U513" s="575"/>
      <c r="V513" s="575"/>
      <c r="W513" s="575"/>
      <c r="X513" s="575"/>
      <c r="Y513" s="575"/>
      <c r="Z513" s="809"/>
      <c r="AA513" s="575"/>
      <c r="AB513" s="575"/>
      <c r="AC513" s="575"/>
      <c r="AD513" s="575"/>
      <c r="AE513" s="827"/>
      <c r="AF513" s="575"/>
      <c r="AG513" s="960"/>
      <c r="AH513" s="842"/>
      <c r="AI513" s="738">
        <f t="shared" si="25"/>
        <v>0</v>
      </c>
      <c r="AJ513" s="949">
        <v>0</v>
      </c>
      <c r="AK513" s="581">
        <f t="shared" si="23"/>
        <v>0</v>
      </c>
      <c r="AL513" s="750" t="s">
        <v>1594</v>
      </c>
      <c r="AM513" s="743">
        <f t="shared" si="24"/>
        <v>60</v>
      </c>
    </row>
    <row r="514" spans="1:39" s="560" customFormat="1">
      <c r="A514" s="604" t="s">
        <v>978</v>
      </c>
      <c r="B514" s="604" t="s">
        <v>1295</v>
      </c>
      <c r="C514" s="614" t="s">
        <v>36</v>
      </c>
      <c r="D514" s="580"/>
      <c r="E514" s="778"/>
      <c r="F514" s="581"/>
      <c r="G514" s="581"/>
      <c r="H514" s="581"/>
      <c r="I514" s="949"/>
      <c r="J514" s="949"/>
      <c r="K514" s="949"/>
      <c r="L514" s="809"/>
      <c r="M514" s="575"/>
      <c r="N514" s="575"/>
      <c r="O514" s="575"/>
      <c r="P514" s="575"/>
      <c r="Q514" s="575"/>
      <c r="R514" s="575"/>
      <c r="S514" s="809"/>
      <c r="T514" s="575"/>
      <c r="U514" s="575"/>
      <c r="V514" s="575"/>
      <c r="W514" s="575"/>
      <c r="X514" s="575"/>
      <c r="Y514" s="575"/>
      <c r="Z514" s="809"/>
      <c r="AA514" s="575"/>
      <c r="AB514" s="575"/>
      <c r="AC514" s="575"/>
      <c r="AD514" s="575"/>
      <c r="AE514" s="827"/>
      <c r="AF514" s="575"/>
      <c r="AG514" s="960"/>
      <c r="AH514" s="842"/>
      <c r="AI514" s="738">
        <f t="shared" si="25"/>
        <v>0</v>
      </c>
      <c r="AJ514" s="949">
        <v>0</v>
      </c>
      <c r="AK514" s="581">
        <f t="shared" si="23"/>
        <v>0</v>
      </c>
      <c r="AL514" s="750" t="s">
        <v>1619</v>
      </c>
      <c r="AM514" s="743">
        <f t="shared" si="24"/>
        <v>5.18</v>
      </c>
    </row>
    <row r="515" spans="1:39" s="560" customFormat="1">
      <c r="A515" s="604" t="s">
        <v>979</v>
      </c>
      <c r="B515" s="604" t="s">
        <v>1296</v>
      </c>
      <c r="C515" s="614" t="s">
        <v>36</v>
      </c>
      <c r="D515" s="580"/>
      <c r="E515" s="778"/>
      <c r="F515" s="581"/>
      <c r="G515" s="581"/>
      <c r="H515" s="581"/>
      <c r="I515" s="949"/>
      <c r="J515" s="949"/>
      <c r="K515" s="949"/>
      <c r="L515" s="809"/>
      <c r="M515" s="575"/>
      <c r="N515" s="575"/>
      <c r="O515" s="575"/>
      <c r="P515" s="575"/>
      <c r="Q515" s="575"/>
      <c r="R515" s="575"/>
      <c r="S515" s="809"/>
      <c r="T515" s="575"/>
      <c r="U515" s="575"/>
      <c r="V515" s="575"/>
      <c r="W515" s="575"/>
      <c r="X515" s="575"/>
      <c r="Y515" s="575"/>
      <c r="Z515" s="809"/>
      <c r="AA515" s="575"/>
      <c r="AB515" s="575"/>
      <c r="AC515" s="575"/>
      <c r="AD515" s="575"/>
      <c r="AE515" s="827"/>
      <c r="AF515" s="575"/>
      <c r="AG515" s="960"/>
      <c r="AH515" s="842"/>
      <c r="AI515" s="738">
        <f t="shared" si="25"/>
        <v>0</v>
      </c>
      <c r="AJ515" s="949">
        <v>0</v>
      </c>
      <c r="AK515" s="581">
        <f t="shared" si="23"/>
        <v>0</v>
      </c>
      <c r="AL515" s="750"/>
      <c r="AM515" s="743">
        <f t="shared" si="24"/>
        <v>0</v>
      </c>
    </row>
    <row r="516" spans="1:39" s="560" customFormat="1">
      <c r="A516" s="607" t="s">
        <v>980</v>
      </c>
      <c r="B516" s="607" t="s">
        <v>1239</v>
      </c>
      <c r="C516" s="690"/>
      <c r="D516" s="580"/>
      <c r="E516" s="778"/>
      <c r="F516" s="581"/>
      <c r="G516" s="581"/>
      <c r="H516" s="581"/>
      <c r="I516" s="949"/>
      <c r="J516" s="949"/>
      <c r="K516" s="949"/>
      <c r="L516" s="809"/>
      <c r="M516" s="575"/>
      <c r="N516" s="575"/>
      <c r="O516" s="575"/>
      <c r="P516" s="575"/>
      <c r="Q516" s="575"/>
      <c r="R516" s="575"/>
      <c r="S516" s="809"/>
      <c r="T516" s="575"/>
      <c r="U516" s="575"/>
      <c r="V516" s="575"/>
      <c r="W516" s="575"/>
      <c r="X516" s="575"/>
      <c r="Y516" s="575"/>
      <c r="Z516" s="809"/>
      <c r="AA516" s="575"/>
      <c r="AB516" s="575"/>
      <c r="AC516" s="575"/>
      <c r="AD516" s="575"/>
      <c r="AE516" s="827"/>
      <c r="AF516" s="575"/>
      <c r="AG516" s="960"/>
      <c r="AH516" s="842"/>
      <c r="AI516" s="738">
        <f t="shared" si="25"/>
        <v>0</v>
      </c>
      <c r="AJ516" s="949">
        <v>0</v>
      </c>
      <c r="AK516" s="581">
        <f t="shared" si="23"/>
        <v>0</v>
      </c>
      <c r="AL516" s="750" t="s">
        <v>1720</v>
      </c>
      <c r="AM516" s="743">
        <f t="shared" si="24"/>
        <v>73.98</v>
      </c>
    </row>
    <row r="517" spans="1:39" s="560" customFormat="1">
      <c r="A517" s="604" t="s">
        <v>981</v>
      </c>
      <c r="B517" s="604" t="s">
        <v>1297</v>
      </c>
      <c r="C517" s="614" t="s">
        <v>37</v>
      </c>
      <c r="D517" s="580"/>
      <c r="E517" s="778"/>
      <c r="F517" s="581"/>
      <c r="G517" s="581"/>
      <c r="H517" s="581"/>
      <c r="I517" s="949"/>
      <c r="J517" s="949"/>
      <c r="K517" s="949"/>
      <c r="L517" s="809"/>
      <c r="M517" s="575"/>
      <c r="N517" s="575"/>
      <c r="O517" s="575"/>
      <c r="P517" s="575"/>
      <c r="Q517" s="575"/>
      <c r="R517" s="575"/>
      <c r="S517" s="809"/>
      <c r="T517" s="575"/>
      <c r="U517" s="575"/>
      <c r="V517" s="575"/>
      <c r="W517" s="575"/>
      <c r="X517" s="575"/>
      <c r="Y517" s="575"/>
      <c r="Z517" s="809"/>
      <c r="AA517" s="575"/>
      <c r="AB517" s="575"/>
      <c r="AC517" s="575"/>
      <c r="AD517" s="575"/>
      <c r="AE517" s="827"/>
      <c r="AF517" s="575"/>
      <c r="AG517" s="960"/>
      <c r="AH517" s="842"/>
      <c r="AI517" s="738">
        <f t="shared" si="25"/>
        <v>0</v>
      </c>
      <c r="AJ517" s="949">
        <v>0</v>
      </c>
      <c r="AK517" s="581">
        <f t="shared" si="23"/>
        <v>0</v>
      </c>
      <c r="AL517" s="750" t="s">
        <v>1721</v>
      </c>
      <c r="AM517" s="743">
        <f t="shared" si="24"/>
        <v>44.39</v>
      </c>
    </row>
    <row r="518" spans="1:39" s="560" customFormat="1">
      <c r="A518" s="604" t="s">
        <v>982</v>
      </c>
      <c r="B518" s="604" t="s">
        <v>1241</v>
      </c>
      <c r="C518" s="614" t="s">
        <v>36</v>
      </c>
      <c r="D518" s="580"/>
      <c r="E518" s="778"/>
      <c r="F518" s="581"/>
      <c r="G518" s="581"/>
      <c r="H518" s="581"/>
      <c r="I518" s="949"/>
      <c r="J518" s="949"/>
      <c r="K518" s="949"/>
      <c r="L518" s="809"/>
      <c r="M518" s="575"/>
      <c r="N518" s="575"/>
      <c r="O518" s="575"/>
      <c r="P518" s="575"/>
      <c r="Q518" s="575"/>
      <c r="R518" s="575"/>
      <c r="S518" s="809"/>
      <c r="T518" s="575"/>
      <c r="U518" s="575"/>
      <c r="V518" s="575"/>
      <c r="W518" s="575"/>
      <c r="X518" s="575"/>
      <c r="Y518" s="575"/>
      <c r="Z518" s="809"/>
      <c r="AA518" s="575"/>
      <c r="AB518" s="575"/>
      <c r="AC518" s="575"/>
      <c r="AD518" s="575"/>
      <c r="AE518" s="827"/>
      <c r="AF518" s="575"/>
      <c r="AG518" s="960"/>
      <c r="AH518" s="842"/>
      <c r="AI518" s="738">
        <f t="shared" si="25"/>
        <v>0</v>
      </c>
      <c r="AJ518" s="949">
        <v>0</v>
      </c>
      <c r="AK518" s="581">
        <f t="shared" si="23"/>
        <v>0</v>
      </c>
      <c r="AL518" s="750"/>
      <c r="AM518" s="743">
        <f t="shared" si="24"/>
        <v>0</v>
      </c>
    </row>
    <row r="519" spans="1:39" s="560" customFormat="1">
      <c r="A519" s="607" t="s">
        <v>983</v>
      </c>
      <c r="B519" s="607" t="s">
        <v>1298</v>
      </c>
      <c r="C519" s="690"/>
      <c r="D519" s="580"/>
      <c r="E519" s="778"/>
      <c r="F519" s="581"/>
      <c r="G519" s="581"/>
      <c r="H519" s="581"/>
      <c r="I519" s="949"/>
      <c r="J519" s="949"/>
      <c r="K519" s="949"/>
      <c r="L519" s="809"/>
      <c r="M519" s="575"/>
      <c r="N519" s="575"/>
      <c r="O519" s="575"/>
      <c r="P519" s="575"/>
      <c r="Q519" s="575"/>
      <c r="R519" s="575"/>
      <c r="S519" s="809"/>
      <c r="T519" s="575"/>
      <c r="U519" s="575"/>
      <c r="V519" s="575"/>
      <c r="W519" s="575"/>
      <c r="X519" s="575"/>
      <c r="Y519" s="575"/>
      <c r="Z519" s="809"/>
      <c r="AA519" s="575"/>
      <c r="AB519" s="575"/>
      <c r="AC519" s="575"/>
      <c r="AD519" s="575"/>
      <c r="AE519" s="827"/>
      <c r="AF519" s="575"/>
      <c r="AG519" s="960"/>
      <c r="AH519" s="842"/>
      <c r="AI519" s="738">
        <f t="shared" si="25"/>
        <v>0</v>
      </c>
      <c r="AJ519" s="949">
        <v>0</v>
      </c>
      <c r="AK519" s="581">
        <f t="shared" si="23"/>
        <v>0</v>
      </c>
      <c r="AL519" s="750" t="s">
        <v>1722</v>
      </c>
      <c r="AM519" s="743">
        <f t="shared" si="24"/>
        <v>64</v>
      </c>
    </row>
    <row r="520" spans="1:39" s="560" customFormat="1">
      <c r="A520" s="604" t="s">
        <v>984</v>
      </c>
      <c r="B520" s="604" t="s">
        <v>1299</v>
      </c>
      <c r="C520" s="614" t="s">
        <v>36</v>
      </c>
      <c r="D520" s="580"/>
      <c r="E520" s="778"/>
      <c r="F520" s="581"/>
      <c r="G520" s="581"/>
      <c r="H520" s="581"/>
      <c r="I520" s="949"/>
      <c r="J520" s="949"/>
      <c r="K520" s="949"/>
      <c r="L520" s="809"/>
      <c r="M520" s="575"/>
      <c r="N520" s="575"/>
      <c r="O520" s="575"/>
      <c r="P520" s="575"/>
      <c r="Q520" s="575"/>
      <c r="R520" s="575"/>
      <c r="S520" s="809"/>
      <c r="T520" s="575"/>
      <c r="U520" s="575"/>
      <c r="V520" s="575"/>
      <c r="W520" s="575"/>
      <c r="X520" s="575"/>
      <c r="Y520" s="575"/>
      <c r="Z520" s="809"/>
      <c r="AA520" s="575"/>
      <c r="AB520" s="575"/>
      <c r="AC520" s="575"/>
      <c r="AD520" s="575"/>
      <c r="AE520" s="827"/>
      <c r="AF520" s="575"/>
      <c r="AG520" s="960"/>
      <c r="AH520" s="842"/>
      <c r="AI520" s="738">
        <f t="shared" si="25"/>
        <v>0</v>
      </c>
      <c r="AJ520" s="949">
        <v>0</v>
      </c>
      <c r="AK520" s="581">
        <f t="shared" si="23"/>
        <v>0</v>
      </c>
      <c r="AL520" s="750"/>
      <c r="AM520" s="743">
        <f t="shared" si="24"/>
        <v>0</v>
      </c>
    </row>
    <row r="521" spans="1:39" s="560" customFormat="1">
      <c r="A521" s="607" t="s">
        <v>985</v>
      </c>
      <c r="B521" s="607" t="s">
        <v>1186</v>
      </c>
      <c r="C521" s="690"/>
      <c r="D521" s="580"/>
      <c r="E521" s="778"/>
      <c r="F521" s="581"/>
      <c r="G521" s="581"/>
      <c r="H521" s="581"/>
      <c r="I521" s="949"/>
      <c r="J521" s="949"/>
      <c r="K521" s="949"/>
      <c r="L521" s="809"/>
      <c r="M521" s="575"/>
      <c r="N521" s="575"/>
      <c r="O521" s="575"/>
      <c r="P521" s="575"/>
      <c r="Q521" s="575"/>
      <c r="R521" s="575"/>
      <c r="S521" s="809"/>
      <c r="T521" s="575"/>
      <c r="U521" s="575"/>
      <c r="V521" s="575"/>
      <c r="W521" s="575"/>
      <c r="X521" s="575"/>
      <c r="Y521" s="575"/>
      <c r="Z521" s="809"/>
      <c r="AA521" s="575"/>
      <c r="AB521" s="575"/>
      <c r="AC521" s="575"/>
      <c r="AD521" s="575"/>
      <c r="AE521" s="827"/>
      <c r="AF521" s="575"/>
      <c r="AG521" s="960"/>
      <c r="AH521" s="842"/>
      <c r="AI521" s="738">
        <f t="shared" si="25"/>
        <v>0</v>
      </c>
      <c r="AJ521" s="949">
        <v>0</v>
      </c>
      <c r="AK521" s="581">
        <f t="shared" si="23"/>
        <v>0</v>
      </c>
      <c r="AL521" s="750" t="s">
        <v>1723</v>
      </c>
      <c r="AM521" s="743">
        <f t="shared" si="24"/>
        <v>22</v>
      </c>
    </row>
    <row r="522" spans="1:39" s="560" customFormat="1">
      <c r="A522" s="604" t="s">
        <v>986</v>
      </c>
      <c r="B522" s="604" t="s">
        <v>1300</v>
      </c>
      <c r="C522" s="614" t="s">
        <v>37</v>
      </c>
      <c r="D522" s="580"/>
      <c r="E522" s="778"/>
      <c r="F522" s="581"/>
      <c r="G522" s="581"/>
      <c r="H522" s="581"/>
      <c r="I522" s="949"/>
      <c r="J522" s="949"/>
      <c r="K522" s="949"/>
      <c r="L522" s="809"/>
      <c r="M522" s="575"/>
      <c r="N522" s="575"/>
      <c r="O522" s="575"/>
      <c r="P522" s="575"/>
      <c r="Q522" s="575"/>
      <c r="R522" s="575"/>
      <c r="S522" s="809"/>
      <c r="T522" s="575"/>
      <c r="U522" s="575"/>
      <c r="V522" s="575"/>
      <c r="W522" s="575"/>
      <c r="X522" s="575"/>
      <c r="Y522" s="575"/>
      <c r="Z522" s="809"/>
      <c r="AA522" s="575"/>
      <c r="AB522" s="575"/>
      <c r="AC522" s="575"/>
      <c r="AD522" s="575"/>
      <c r="AE522" s="827"/>
      <c r="AF522" s="575"/>
      <c r="AG522" s="960"/>
      <c r="AH522" s="842"/>
      <c r="AI522" s="738">
        <f t="shared" si="25"/>
        <v>0</v>
      </c>
      <c r="AJ522" s="949">
        <v>0</v>
      </c>
      <c r="AK522" s="581">
        <f t="shared" si="23"/>
        <v>0</v>
      </c>
      <c r="AL522" s="750" t="s">
        <v>1441</v>
      </c>
      <c r="AM522" s="743">
        <f t="shared" si="24"/>
        <v>1</v>
      </c>
    </row>
    <row r="523" spans="1:39" s="560" customFormat="1">
      <c r="A523" s="604" t="s">
        <v>987</v>
      </c>
      <c r="B523" s="604" t="s">
        <v>1301</v>
      </c>
      <c r="C523" s="614" t="s">
        <v>1436</v>
      </c>
      <c r="D523" s="580"/>
      <c r="E523" s="778"/>
      <c r="F523" s="581"/>
      <c r="G523" s="581"/>
      <c r="H523" s="581"/>
      <c r="I523" s="949"/>
      <c r="J523" s="949"/>
      <c r="K523" s="949"/>
      <c r="L523" s="809"/>
      <c r="M523" s="575"/>
      <c r="N523" s="575"/>
      <c r="O523" s="575"/>
      <c r="P523" s="575"/>
      <c r="Q523" s="575"/>
      <c r="R523" s="575"/>
      <c r="S523" s="809"/>
      <c r="T523" s="575"/>
      <c r="U523" s="575"/>
      <c r="V523" s="575"/>
      <c r="W523" s="575"/>
      <c r="X523" s="575"/>
      <c r="Y523" s="575"/>
      <c r="Z523" s="809"/>
      <c r="AA523" s="575"/>
      <c r="AB523" s="575"/>
      <c r="AC523" s="575"/>
      <c r="AD523" s="575"/>
      <c r="AE523" s="827"/>
      <c r="AF523" s="575"/>
      <c r="AG523" s="960"/>
      <c r="AH523" s="842"/>
      <c r="AI523" s="738">
        <f t="shared" si="25"/>
        <v>0</v>
      </c>
      <c r="AJ523" s="949">
        <v>0</v>
      </c>
      <c r="AK523" s="581">
        <f t="shared" si="23"/>
        <v>0</v>
      </c>
      <c r="AL523" s="750"/>
      <c r="AM523" s="743">
        <f t="shared" si="24"/>
        <v>0</v>
      </c>
    </row>
    <row r="524" spans="1:39" s="560" customFormat="1">
      <c r="A524" s="492" t="s">
        <v>988</v>
      </c>
      <c r="B524" s="608" t="s">
        <v>1302</v>
      </c>
      <c r="C524" s="690"/>
      <c r="D524" s="580"/>
      <c r="E524" s="778"/>
      <c r="F524" s="581"/>
      <c r="G524" s="581"/>
      <c r="H524" s="581"/>
      <c r="I524" s="949"/>
      <c r="J524" s="949"/>
      <c r="K524" s="949"/>
      <c r="L524" s="809"/>
      <c r="M524" s="575"/>
      <c r="N524" s="575"/>
      <c r="O524" s="575"/>
      <c r="P524" s="575"/>
      <c r="Q524" s="575"/>
      <c r="R524" s="575"/>
      <c r="S524" s="809"/>
      <c r="T524" s="575"/>
      <c r="U524" s="575"/>
      <c r="V524" s="575"/>
      <c r="W524" s="575"/>
      <c r="X524" s="575"/>
      <c r="Y524" s="575"/>
      <c r="Z524" s="809"/>
      <c r="AA524" s="575"/>
      <c r="AB524" s="575"/>
      <c r="AC524" s="575"/>
      <c r="AD524" s="575"/>
      <c r="AE524" s="827"/>
      <c r="AF524" s="575"/>
      <c r="AG524" s="960"/>
      <c r="AH524" s="842"/>
      <c r="AI524" s="738">
        <f t="shared" si="25"/>
        <v>0</v>
      </c>
      <c r="AJ524" s="949">
        <v>0</v>
      </c>
      <c r="AK524" s="581">
        <f t="shared" si="23"/>
        <v>0</v>
      </c>
      <c r="AL524" s="750"/>
      <c r="AM524" s="743">
        <f t="shared" si="24"/>
        <v>0</v>
      </c>
    </row>
    <row r="525" spans="1:39" s="560" customFormat="1">
      <c r="A525" s="607" t="s">
        <v>989</v>
      </c>
      <c r="B525" s="607" t="s">
        <v>1235</v>
      </c>
      <c r="C525" s="690"/>
      <c r="D525" s="580"/>
      <c r="E525" s="778"/>
      <c r="F525" s="581"/>
      <c r="G525" s="581"/>
      <c r="H525" s="581"/>
      <c r="I525" s="949"/>
      <c r="J525" s="949"/>
      <c r="K525" s="949"/>
      <c r="L525" s="809"/>
      <c r="M525" s="575"/>
      <c r="N525" s="575"/>
      <c r="O525" s="575"/>
      <c r="P525" s="575"/>
      <c r="Q525" s="575"/>
      <c r="R525" s="575"/>
      <c r="S525" s="809"/>
      <c r="T525" s="575"/>
      <c r="U525" s="575"/>
      <c r="V525" s="575"/>
      <c r="W525" s="575"/>
      <c r="X525" s="575"/>
      <c r="Y525" s="575"/>
      <c r="Z525" s="809"/>
      <c r="AA525" s="575"/>
      <c r="AB525" s="575"/>
      <c r="AC525" s="575"/>
      <c r="AD525" s="575"/>
      <c r="AE525" s="827"/>
      <c r="AF525" s="575"/>
      <c r="AG525" s="960"/>
      <c r="AH525" s="842"/>
      <c r="AI525" s="738">
        <f t="shared" si="25"/>
        <v>0</v>
      </c>
      <c r="AJ525" s="949">
        <v>0</v>
      </c>
      <c r="AK525" s="581">
        <f t="shared" si="23"/>
        <v>0</v>
      </c>
      <c r="AL525" s="750" t="s">
        <v>1724</v>
      </c>
      <c r="AM525" s="743">
        <f t="shared" si="24"/>
        <v>28.21</v>
      </c>
    </row>
    <row r="526" spans="1:39" s="560" customFormat="1">
      <c r="A526" s="604" t="s">
        <v>990</v>
      </c>
      <c r="B526" s="604" t="s">
        <v>1303</v>
      </c>
      <c r="C526" s="614" t="s">
        <v>36</v>
      </c>
      <c r="D526" s="580"/>
      <c r="E526" s="778"/>
      <c r="F526" s="581"/>
      <c r="G526" s="581"/>
      <c r="H526" s="581"/>
      <c r="I526" s="949"/>
      <c r="J526" s="949"/>
      <c r="K526" s="949"/>
      <c r="L526" s="809"/>
      <c r="M526" s="575"/>
      <c r="N526" s="575"/>
      <c r="O526" s="575"/>
      <c r="P526" s="575"/>
      <c r="Q526" s="575"/>
      <c r="R526" s="575"/>
      <c r="S526" s="809"/>
      <c r="T526" s="575"/>
      <c r="U526" s="575"/>
      <c r="V526" s="575"/>
      <c r="W526" s="575"/>
      <c r="X526" s="575"/>
      <c r="Y526" s="575"/>
      <c r="Z526" s="809"/>
      <c r="AA526" s="575"/>
      <c r="AB526" s="575"/>
      <c r="AC526" s="575"/>
      <c r="AD526" s="575"/>
      <c r="AE526" s="827"/>
      <c r="AF526" s="575"/>
      <c r="AG526" s="960"/>
      <c r="AH526" s="842"/>
      <c r="AI526" s="738">
        <f t="shared" si="25"/>
        <v>0</v>
      </c>
      <c r="AJ526" s="949">
        <v>0</v>
      </c>
      <c r="AK526" s="581">
        <f t="shared" ref="AK526:AK589" si="26">AI526+AJ526</f>
        <v>0</v>
      </c>
      <c r="AL526" s="750"/>
      <c r="AM526" s="743">
        <f t="shared" ref="AM526:AM589" si="27">AL526-AK526</f>
        <v>0</v>
      </c>
    </row>
    <row r="527" spans="1:39" s="560" customFormat="1">
      <c r="A527" s="607" t="s">
        <v>991</v>
      </c>
      <c r="B527" s="607" t="s">
        <v>1304</v>
      </c>
      <c r="C527" s="690"/>
      <c r="D527" s="580"/>
      <c r="E527" s="778"/>
      <c r="F527" s="581"/>
      <c r="G527" s="581"/>
      <c r="H527" s="581"/>
      <c r="I527" s="949"/>
      <c r="J527" s="949"/>
      <c r="K527" s="949"/>
      <c r="L527" s="809"/>
      <c r="M527" s="575"/>
      <c r="N527" s="575"/>
      <c r="O527" s="575"/>
      <c r="P527" s="575"/>
      <c r="Q527" s="575"/>
      <c r="R527" s="575"/>
      <c r="S527" s="809"/>
      <c r="T527" s="575"/>
      <c r="U527" s="575"/>
      <c r="V527" s="575"/>
      <c r="W527" s="575"/>
      <c r="X527" s="575"/>
      <c r="Y527" s="575"/>
      <c r="Z527" s="809"/>
      <c r="AA527" s="575"/>
      <c r="AB527" s="575"/>
      <c r="AC527" s="575"/>
      <c r="AD527" s="575"/>
      <c r="AE527" s="827"/>
      <c r="AF527" s="575"/>
      <c r="AG527" s="960"/>
      <c r="AH527" s="842"/>
      <c r="AI527" s="738">
        <f t="shared" si="25"/>
        <v>0</v>
      </c>
      <c r="AJ527" s="949">
        <v>0</v>
      </c>
      <c r="AK527" s="581">
        <f t="shared" si="26"/>
        <v>0</v>
      </c>
      <c r="AL527" s="750" t="s">
        <v>1725</v>
      </c>
      <c r="AM527" s="743">
        <f t="shared" si="27"/>
        <v>5.9</v>
      </c>
    </row>
    <row r="528" spans="1:39" s="560" customFormat="1">
      <c r="A528" s="604" t="s">
        <v>992</v>
      </c>
      <c r="B528" s="604" t="s">
        <v>1305</v>
      </c>
      <c r="C528" s="614" t="s">
        <v>39</v>
      </c>
      <c r="D528" s="580"/>
      <c r="E528" s="778"/>
      <c r="F528" s="581"/>
      <c r="G528" s="581"/>
      <c r="H528" s="581"/>
      <c r="I528" s="949"/>
      <c r="J528" s="949"/>
      <c r="K528" s="949"/>
      <c r="L528" s="809"/>
      <c r="M528" s="575"/>
      <c r="N528" s="575"/>
      <c r="O528" s="575"/>
      <c r="P528" s="575"/>
      <c r="Q528" s="575"/>
      <c r="R528" s="575"/>
      <c r="S528" s="809"/>
      <c r="T528" s="575"/>
      <c r="U528" s="575"/>
      <c r="V528" s="575"/>
      <c r="W528" s="575"/>
      <c r="X528" s="575"/>
      <c r="Y528" s="575"/>
      <c r="Z528" s="809"/>
      <c r="AA528" s="575"/>
      <c r="AB528" s="575"/>
      <c r="AC528" s="575"/>
      <c r="AD528" s="575"/>
      <c r="AE528" s="827"/>
      <c r="AF528" s="575"/>
      <c r="AG528" s="960"/>
      <c r="AH528" s="842"/>
      <c r="AI528" s="738">
        <f t="shared" si="25"/>
        <v>0</v>
      </c>
      <c r="AJ528" s="949">
        <v>0</v>
      </c>
      <c r="AK528" s="581">
        <f t="shared" si="26"/>
        <v>0</v>
      </c>
      <c r="AL528" s="750" t="s">
        <v>1664</v>
      </c>
      <c r="AM528" s="743">
        <f t="shared" si="27"/>
        <v>18.920000000000002</v>
      </c>
    </row>
    <row r="529" spans="1:39" s="560" customFormat="1">
      <c r="A529" s="604" t="s">
        <v>993</v>
      </c>
      <c r="B529" s="604" t="s">
        <v>1182</v>
      </c>
      <c r="C529" s="614" t="s">
        <v>36</v>
      </c>
      <c r="D529" s="580"/>
      <c r="E529" s="778"/>
      <c r="F529" s="581"/>
      <c r="G529" s="581"/>
      <c r="H529" s="581"/>
      <c r="I529" s="949"/>
      <c r="J529" s="949"/>
      <c r="K529" s="949"/>
      <c r="L529" s="809"/>
      <c r="M529" s="575"/>
      <c r="N529" s="575"/>
      <c r="O529" s="575"/>
      <c r="P529" s="575"/>
      <c r="Q529" s="575"/>
      <c r="R529" s="575"/>
      <c r="S529" s="809"/>
      <c r="T529" s="575"/>
      <c r="U529" s="575"/>
      <c r="V529" s="575"/>
      <c r="W529" s="575"/>
      <c r="X529" s="575"/>
      <c r="Y529" s="575"/>
      <c r="Z529" s="809"/>
      <c r="AA529" s="575"/>
      <c r="AB529" s="575"/>
      <c r="AC529" s="575"/>
      <c r="AD529" s="575"/>
      <c r="AE529" s="827"/>
      <c r="AF529" s="575"/>
      <c r="AG529" s="960"/>
      <c r="AH529" s="842"/>
      <c r="AI529" s="738">
        <f t="shared" si="25"/>
        <v>0</v>
      </c>
      <c r="AJ529" s="949">
        <v>0</v>
      </c>
      <c r="AK529" s="581">
        <f t="shared" si="26"/>
        <v>0</v>
      </c>
      <c r="AL529" s="750"/>
      <c r="AM529" s="743">
        <f t="shared" si="27"/>
        <v>0</v>
      </c>
    </row>
    <row r="530" spans="1:39" s="560" customFormat="1">
      <c r="A530" s="607" t="s">
        <v>994</v>
      </c>
      <c r="B530" s="607" t="s">
        <v>1277</v>
      </c>
      <c r="C530" s="690"/>
      <c r="D530" s="580"/>
      <c r="E530" s="778"/>
      <c r="F530" s="581"/>
      <c r="G530" s="581"/>
      <c r="H530" s="581"/>
      <c r="I530" s="949"/>
      <c r="J530" s="949"/>
      <c r="K530" s="949"/>
      <c r="L530" s="809"/>
      <c r="M530" s="575"/>
      <c r="N530" s="575"/>
      <c r="O530" s="575"/>
      <c r="P530" s="575"/>
      <c r="Q530" s="575"/>
      <c r="R530" s="575"/>
      <c r="S530" s="809"/>
      <c r="T530" s="575"/>
      <c r="U530" s="575"/>
      <c r="V530" s="575"/>
      <c r="W530" s="575"/>
      <c r="X530" s="575"/>
      <c r="Y530" s="575"/>
      <c r="Z530" s="809"/>
      <c r="AA530" s="575"/>
      <c r="AB530" s="575"/>
      <c r="AC530" s="575"/>
      <c r="AD530" s="575"/>
      <c r="AE530" s="827"/>
      <c r="AF530" s="575"/>
      <c r="AG530" s="960"/>
      <c r="AH530" s="842"/>
      <c r="AI530" s="738">
        <f t="shared" si="25"/>
        <v>0</v>
      </c>
      <c r="AJ530" s="949">
        <v>0</v>
      </c>
      <c r="AK530" s="581">
        <f t="shared" si="26"/>
        <v>0</v>
      </c>
      <c r="AL530" s="750" t="s">
        <v>1614</v>
      </c>
      <c r="AM530" s="743">
        <f t="shared" si="27"/>
        <v>90.62</v>
      </c>
    </row>
    <row r="531" spans="1:39" s="560" customFormat="1">
      <c r="A531" s="604" t="s">
        <v>995</v>
      </c>
      <c r="B531" s="604" t="s">
        <v>1306</v>
      </c>
      <c r="C531" s="614" t="s">
        <v>37</v>
      </c>
      <c r="D531" s="580"/>
      <c r="E531" s="778"/>
      <c r="F531" s="581"/>
      <c r="G531" s="581"/>
      <c r="H531" s="581"/>
      <c r="I531" s="949"/>
      <c r="J531" s="949"/>
      <c r="K531" s="949"/>
      <c r="L531" s="809"/>
      <c r="M531" s="575"/>
      <c r="N531" s="575"/>
      <c r="O531" s="575"/>
      <c r="P531" s="575"/>
      <c r="Q531" s="575"/>
      <c r="R531" s="575"/>
      <c r="S531" s="809"/>
      <c r="T531" s="575"/>
      <c r="U531" s="575"/>
      <c r="V531" s="575"/>
      <c r="W531" s="575"/>
      <c r="X531" s="575"/>
      <c r="Y531" s="575"/>
      <c r="Z531" s="809"/>
      <c r="AA531" s="575"/>
      <c r="AB531" s="575"/>
      <c r="AC531" s="575"/>
      <c r="AD531" s="575"/>
      <c r="AE531" s="827"/>
      <c r="AF531" s="575"/>
      <c r="AG531" s="960"/>
      <c r="AH531" s="842"/>
      <c r="AI531" s="738">
        <f t="shared" si="25"/>
        <v>0</v>
      </c>
      <c r="AJ531" s="949">
        <v>0</v>
      </c>
      <c r="AK531" s="581">
        <f t="shared" si="26"/>
        <v>0</v>
      </c>
      <c r="AL531" s="750"/>
      <c r="AM531" s="743">
        <f t="shared" si="27"/>
        <v>0</v>
      </c>
    </row>
    <row r="532" spans="1:39" s="560" customFormat="1">
      <c r="A532" s="607" t="s">
        <v>996</v>
      </c>
      <c r="B532" s="607" t="s">
        <v>1307</v>
      </c>
      <c r="C532" s="690"/>
      <c r="D532" s="580"/>
      <c r="E532" s="778"/>
      <c r="F532" s="581"/>
      <c r="G532" s="581"/>
      <c r="H532" s="581"/>
      <c r="I532" s="949"/>
      <c r="J532" s="949"/>
      <c r="K532" s="949"/>
      <c r="L532" s="809"/>
      <c r="M532" s="575"/>
      <c r="N532" s="575"/>
      <c r="O532" s="575"/>
      <c r="P532" s="575"/>
      <c r="Q532" s="575"/>
      <c r="R532" s="575"/>
      <c r="S532" s="809"/>
      <c r="T532" s="575"/>
      <c r="U532" s="575"/>
      <c r="V532" s="575"/>
      <c r="W532" s="575"/>
      <c r="X532" s="575"/>
      <c r="Y532" s="575"/>
      <c r="Z532" s="809"/>
      <c r="AA532" s="575"/>
      <c r="AB532" s="575"/>
      <c r="AC532" s="575"/>
      <c r="AD532" s="575"/>
      <c r="AE532" s="827"/>
      <c r="AF532" s="575"/>
      <c r="AG532" s="960"/>
      <c r="AH532" s="842"/>
      <c r="AI532" s="738">
        <f t="shared" si="25"/>
        <v>0</v>
      </c>
      <c r="AJ532" s="949">
        <v>0</v>
      </c>
      <c r="AK532" s="581">
        <f t="shared" si="26"/>
        <v>0</v>
      </c>
      <c r="AL532" s="750" t="s">
        <v>1726</v>
      </c>
      <c r="AM532" s="743">
        <f t="shared" si="27"/>
        <v>36.799999999999997</v>
      </c>
    </row>
    <row r="533" spans="1:39" s="560" customFormat="1">
      <c r="A533" s="604" t="s">
        <v>997</v>
      </c>
      <c r="B533" s="604" t="s">
        <v>1300</v>
      </c>
      <c r="C533" s="614" t="s">
        <v>37</v>
      </c>
      <c r="D533" s="580"/>
      <c r="E533" s="778"/>
      <c r="F533" s="581"/>
      <c r="G533" s="581"/>
      <c r="H533" s="581"/>
      <c r="I533" s="949"/>
      <c r="J533" s="949"/>
      <c r="K533" s="949"/>
      <c r="L533" s="809"/>
      <c r="M533" s="575"/>
      <c r="N533" s="575"/>
      <c r="O533" s="575"/>
      <c r="P533" s="575"/>
      <c r="Q533" s="575"/>
      <c r="R533" s="575"/>
      <c r="S533" s="809"/>
      <c r="T533" s="575"/>
      <c r="U533" s="575"/>
      <c r="V533" s="575"/>
      <c r="W533" s="575"/>
      <c r="X533" s="575"/>
      <c r="Y533" s="575"/>
      <c r="Z533" s="809"/>
      <c r="AA533" s="575"/>
      <c r="AB533" s="575"/>
      <c r="AC533" s="575"/>
      <c r="AD533" s="575"/>
      <c r="AE533" s="827"/>
      <c r="AF533" s="575"/>
      <c r="AG533" s="960"/>
      <c r="AH533" s="842"/>
      <c r="AI533" s="738">
        <f t="shared" si="25"/>
        <v>0</v>
      </c>
      <c r="AJ533" s="949">
        <v>0</v>
      </c>
      <c r="AK533" s="581">
        <f t="shared" si="26"/>
        <v>0</v>
      </c>
      <c r="AL533" s="750"/>
      <c r="AM533" s="743">
        <f t="shared" si="27"/>
        <v>0</v>
      </c>
    </row>
    <row r="534" spans="1:39" s="560" customFormat="1">
      <c r="A534" s="492" t="s">
        <v>998</v>
      </c>
      <c r="B534" s="608" t="s">
        <v>1308</v>
      </c>
      <c r="C534" s="690"/>
      <c r="D534" s="580"/>
      <c r="E534" s="778"/>
      <c r="F534" s="581"/>
      <c r="G534" s="581"/>
      <c r="H534" s="581"/>
      <c r="I534" s="949"/>
      <c r="J534" s="949"/>
      <c r="K534" s="949"/>
      <c r="L534" s="809"/>
      <c r="M534" s="575"/>
      <c r="N534" s="575"/>
      <c r="O534" s="575"/>
      <c r="P534" s="575"/>
      <c r="Q534" s="575"/>
      <c r="R534" s="575"/>
      <c r="S534" s="809"/>
      <c r="T534" s="575"/>
      <c r="U534" s="575"/>
      <c r="V534" s="575"/>
      <c r="W534" s="575"/>
      <c r="X534" s="575"/>
      <c r="Y534" s="575"/>
      <c r="Z534" s="809"/>
      <c r="AA534" s="575"/>
      <c r="AB534" s="575"/>
      <c r="AC534" s="575"/>
      <c r="AD534" s="575"/>
      <c r="AE534" s="827"/>
      <c r="AF534" s="575"/>
      <c r="AG534" s="960"/>
      <c r="AH534" s="842"/>
      <c r="AI534" s="738">
        <f t="shared" si="25"/>
        <v>0</v>
      </c>
      <c r="AJ534" s="949">
        <v>0</v>
      </c>
      <c r="AK534" s="581">
        <f t="shared" si="26"/>
        <v>0</v>
      </c>
      <c r="AL534" s="750"/>
      <c r="AM534" s="743">
        <f t="shared" si="27"/>
        <v>0</v>
      </c>
    </row>
    <row r="535" spans="1:39" s="560" customFormat="1">
      <c r="A535" s="607" t="s">
        <v>999</v>
      </c>
      <c r="B535" s="607" t="s">
        <v>1309</v>
      </c>
      <c r="C535" s="690"/>
      <c r="D535" s="580"/>
      <c r="E535" s="778"/>
      <c r="F535" s="581"/>
      <c r="G535" s="581"/>
      <c r="H535" s="581"/>
      <c r="I535" s="949"/>
      <c r="J535" s="949"/>
      <c r="K535" s="949"/>
      <c r="L535" s="809"/>
      <c r="M535" s="575"/>
      <c r="N535" s="575"/>
      <c r="O535" s="575"/>
      <c r="P535" s="575"/>
      <c r="Q535" s="575"/>
      <c r="R535" s="575"/>
      <c r="S535" s="809"/>
      <c r="T535" s="575"/>
      <c r="U535" s="575"/>
      <c r="V535" s="575"/>
      <c r="W535" s="575"/>
      <c r="X535" s="575"/>
      <c r="Y535" s="575"/>
      <c r="Z535" s="809"/>
      <c r="AA535" s="575"/>
      <c r="AB535" s="575"/>
      <c r="AC535" s="575"/>
      <c r="AD535" s="575"/>
      <c r="AE535" s="827"/>
      <c r="AF535" s="575"/>
      <c r="AG535" s="960"/>
      <c r="AH535" s="842"/>
      <c r="AI535" s="738">
        <f t="shared" si="25"/>
        <v>0</v>
      </c>
      <c r="AJ535" s="949">
        <v>0</v>
      </c>
      <c r="AK535" s="581">
        <f t="shared" si="26"/>
        <v>0</v>
      </c>
      <c r="AL535" s="750" t="s">
        <v>1727</v>
      </c>
      <c r="AM535" s="743">
        <f t="shared" si="27"/>
        <v>42.32</v>
      </c>
    </row>
    <row r="536" spans="1:39" s="560" customFormat="1">
      <c r="A536" s="604" t="s">
        <v>1000</v>
      </c>
      <c r="B536" s="604" t="s">
        <v>1310</v>
      </c>
      <c r="C536" s="614" t="s">
        <v>36</v>
      </c>
      <c r="D536" s="580"/>
      <c r="E536" s="778"/>
      <c r="F536" s="581"/>
      <c r="G536" s="581"/>
      <c r="H536" s="581"/>
      <c r="I536" s="949"/>
      <c r="J536" s="949"/>
      <c r="K536" s="949"/>
      <c r="L536" s="809"/>
      <c r="M536" s="575"/>
      <c r="N536" s="575"/>
      <c r="O536" s="575"/>
      <c r="P536" s="575"/>
      <c r="Q536" s="575"/>
      <c r="R536" s="575"/>
      <c r="S536" s="809"/>
      <c r="T536" s="575"/>
      <c r="U536" s="575"/>
      <c r="V536" s="575"/>
      <c r="W536" s="575"/>
      <c r="X536" s="575"/>
      <c r="Y536" s="575"/>
      <c r="Z536" s="809"/>
      <c r="AA536" s="575"/>
      <c r="AB536" s="575"/>
      <c r="AC536" s="575"/>
      <c r="AD536" s="575"/>
      <c r="AE536" s="827"/>
      <c r="AF536" s="575"/>
      <c r="AG536" s="960"/>
      <c r="AH536" s="842"/>
      <c r="AI536" s="738">
        <f t="shared" si="25"/>
        <v>0</v>
      </c>
      <c r="AJ536" s="949">
        <v>0</v>
      </c>
      <c r="AK536" s="581">
        <f t="shared" si="26"/>
        <v>0</v>
      </c>
      <c r="AL536" s="750" t="s">
        <v>1727</v>
      </c>
      <c r="AM536" s="743">
        <f t="shared" si="27"/>
        <v>42.32</v>
      </c>
    </row>
    <row r="537" spans="1:39" s="560" customFormat="1">
      <c r="A537" s="604" t="s">
        <v>1001</v>
      </c>
      <c r="B537" s="604" t="s">
        <v>1311</v>
      </c>
      <c r="C537" s="614" t="s">
        <v>36</v>
      </c>
      <c r="D537" s="580"/>
      <c r="E537" s="778"/>
      <c r="F537" s="581"/>
      <c r="G537" s="581"/>
      <c r="H537" s="581"/>
      <c r="I537" s="949"/>
      <c r="J537" s="949"/>
      <c r="K537" s="949"/>
      <c r="L537" s="809"/>
      <c r="M537" s="575"/>
      <c r="N537" s="575"/>
      <c r="O537" s="575"/>
      <c r="P537" s="575"/>
      <c r="Q537" s="575"/>
      <c r="R537" s="575"/>
      <c r="S537" s="809"/>
      <c r="T537" s="575"/>
      <c r="U537" s="575"/>
      <c r="V537" s="575"/>
      <c r="W537" s="575"/>
      <c r="X537" s="575"/>
      <c r="Y537" s="575"/>
      <c r="Z537" s="809"/>
      <c r="AA537" s="575"/>
      <c r="AB537" s="575"/>
      <c r="AC537" s="575"/>
      <c r="AD537" s="575"/>
      <c r="AE537" s="827"/>
      <c r="AF537" s="575"/>
      <c r="AG537" s="960"/>
      <c r="AH537" s="842"/>
      <c r="AI537" s="738">
        <f t="shared" si="25"/>
        <v>0</v>
      </c>
      <c r="AJ537" s="949">
        <v>0</v>
      </c>
      <c r="AK537" s="581">
        <f t="shared" si="26"/>
        <v>0</v>
      </c>
      <c r="AL537" s="750" t="s">
        <v>1728</v>
      </c>
      <c r="AM537" s="743">
        <f t="shared" si="27"/>
        <v>10</v>
      </c>
    </row>
    <row r="538" spans="1:39" s="560" customFormat="1" ht="13.8" thickBot="1">
      <c r="A538" s="604" t="s">
        <v>1002</v>
      </c>
      <c r="B538" s="604" t="s">
        <v>1312</v>
      </c>
      <c r="C538" s="614" t="s">
        <v>35</v>
      </c>
      <c r="D538" s="580"/>
      <c r="E538" s="778"/>
      <c r="F538" s="581"/>
      <c r="G538" s="581"/>
      <c r="H538" s="581"/>
      <c r="I538" s="949"/>
      <c r="J538" s="949"/>
      <c r="K538" s="949"/>
      <c r="L538" s="809"/>
      <c r="M538" s="575"/>
      <c r="N538" s="575"/>
      <c r="O538" s="575"/>
      <c r="P538" s="575"/>
      <c r="Q538" s="575"/>
      <c r="R538" s="575"/>
      <c r="S538" s="809"/>
      <c r="T538" s="575"/>
      <c r="U538" s="575"/>
      <c r="V538" s="575"/>
      <c r="W538" s="575"/>
      <c r="X538" s="575"/>
      <c r="Y538" s="575"/>
      <c r="Z538" s="809"/>
      <c r="AA538" s="575"/>
      <c r="AB538" s="575"/>
      <c r="AC538" s="575"/>
      <c r="AD538" s="575"/>
      <c r="AE538" s="827"/>
      <c r="AF538" s="575"/>
      <c r="AG538" s="960"/>
      <c r="AH538" s="842"/>
      <c r="AI538" s="738">
        <f t="shared" si="25"/>
        <v>0</v>
      </c>
      <c r="AJ538" s="949">
        <v>0</v>
      </c>
      <c r="AK538" s="581">
        <f t="shared" si="26"/>
        <v>0</v>
      </c>
      <c r="AL538" s="750"/>
      <c r="AM538" s="743">
        <f t="shared" si="27"/>
        <v>0</v>
      </c>
    </row>
    <row r="539" spans="1:39" s="560" customFormat="1">
      <c r="A539" s="606" t="s">
        <v>474</v>
      </c>
      <c r="B539" s="606" t="s">
        <v>1313</v>
      </c>
      <c r="C539" s="690"/>
      <c r="D539" s="580"/>
      <c r="E539" s="778"/>
      <c r="F539" s="581"/>
      <c r="G539" s="581"/>
      <c r="H539" s="581"/>
      <c r="I539" s="949"/>
      <c r="J539" s="949"/>
      <c r="K539" s="949"/>
      <c r="L539" s="809"/>
      <c r="M539" s="575"/>
      <c r="N539" s="575"/>
      <c r="O539" s="575"/>
      <c r="P539" s="575"/>
      <c r="Q539" s="575"/>
      <c r="R539" s="575"/>
      <c r="S539" s="809"/>
      <c r="T539" s="575"/>
      <c r="U539" s="575"/>
      <c r="V539" s="575"/>
      <c r="W539" s="575"/>
      <c r="X539" s="575"/>
      <c r="Y539" s="575"/>
      <c r="Z539" s="809"/>
      <c r="AA539" s="575"/>
      <c r="AB539" s="575"/>
      <c r="AC539" s="575"/>
      <c r="AD539" s="575"/>
      <c r="AE539" s="827"/>
      <c r="AF539" s="575"/>
      <c r="AG539" s="960"/>
      <c r="AH539" s="842"/>
      <c r="AI539" s="738">
        <f t="shared" si="25"/>
        <v>0</v>
      </c>
      <c r="AJ539" s="949">
        <v>0</v>
      </c>
      <c r="AK539" s="581">
        <f t="shared" si="26"/>
        <v>0</v>
      </c>
      <c r="AL539" s="750"/>
      <c r="AM539" s="743">
        <f t="shared" si="27"/>
        <v>0</v>
      </c>
    </row>
    <row r="540" spans="1:39" s="560" customFormat="1">
      <c r="A540" s="492" t="s">
        <v>475</v>
      </c>
      <c r="B540" s="608" t="s">
        <v>1314</v>
      </c>
      <c r="C540" s="690"/>
      <c r="D540" s="580"/>
      <c r="E540" s="778"/>
      <c r="F540" s="581"/>
      <c r="G540" s="581"/>
      <c r="H540" s="581"/>
      <c r="I540" s="949"/>
      <c r="J540" s="949"/>
      <c r="K540" s="949"/>
      <c r="L540" s="809"/>
      <c r="M540" s="575"/>
      <c r="N540" s="575"/>
      <c r="O540" s="575"/>
      <c r="P540" s="575"/>
      <c r="Q540" s="575"/>
      <c r="R540" s="575"/>
      <c r="S540" s="809"/>
      <c r="T540" s="575"/>
      <c r="U540" s="575"/>
      <c r="V540" s="575"/>
      <c r="W540" s="575"/>
      <c r="X540" s="575"/>
      <c r="Y540" s="575"/>
      <c r="Z540" s="809"/>
      <c r="AA540" s="575"/>
      <c r="AB540" s="575"/>
      <c r="AC540" s="575"/>
      <c r="AD540" s="575"/>
      <c r="AE540" s="827"/>
      <c r="AF540" s="575"/>
      <c r="AG540" s="960"/>
      <c r="AH540" s="842"/>
      <c r="AI540" s="738">
        <f t="shared" si="25"/>
        <v>0</v>
      </c>
      <c r="AJ540" s="949">
        <v>0</v>
      </c>
      <c r="AK540" s="581">
        <f t="shared" si="26"/>
        <v>0</v>
      </c>
      <c r="AL540" s="750" t="s">
        <v>1657</v>
      </c>
      <c r="AM540" s="743">
        <f t="shared" si="27"/>
        <v>4</v>
      </c>
    </row>
    <row r="541" spans="1:39" s="560" customFormat="1">
      <c r="A541" s="607" t="s">
        <v>476</v>
      </c>
      <c r="B541" s="607" t="s">
        <v>1315</v>
      </c>
      <c r="C541" s="614" t="s">
        <v>1436</v>
      </c>
      <c r="D541" s="580"/>
      <c r="E541" s="778"/>
      <c r="F541" s="581"/>
      <c r="G541" s="581"/>
      <c r="H541" s="581"/>
      <c r="I541" s="949"/>
      <c r="J541" s="949"/>
      <c r="K541" s="949"/>
      <c r="L541" s="809"/>
      <c r="M541" s="575"/>
      <c r="N541" s="575"/>
      <c r="O541" s="575"/>
      <c r="P541" s="575"/>
      <c r="Q541" s="575"/>
      <c r="R541" s="575"/>
      <c r="S541" s="809"/>
      <c r="T541" s="575"/>
      <c r="U541" s="575"/>
      <c r="V541" s="575"/>
      <c r="W541" s="575"/>
      <c r="X541" s="575"/>
      <c r="Y541" s="575"/>
      <c r="Z541" s="809"/>
      <c r="AA541" s="575"/>
      <c r="AB541" s="575"/>
      <c r="AC541" s="575"/>
      <c r="AD541" s="575"/>
      <c r="AE541" s="827"/>
      <c r="AF541" s="575"/>
      <c r="AG541" s="960"/>
      <c r="AH541" s="842"/>
      <c r="AI541" s="738">
        <f t="shared" si="25"/>
        <v>0</v>
      </c>
      <c r="AJ541" s="949">
        <v>0</v>
      </c>
      <c r="AK541" s="581">
        <f t="shared" si="26"/>
        <v>0</v>
      </c>
      <c r="AL541" s="750" t="s">
        <v>1684</v>
      </c>
      <c r="AM541" s="743">
        <f t="shared" si="27"/>
        <v>2</v>
      </c>
    </row>
    <row r="542" spans="1:39" s="560" customFormat="1">
      <c r="A542" s="607" t="s">
        <v>477</v>
      </c>
      <c r="B542" s="607" t="s">
        <v>1316</v>
      </c>
      <c r="C542" s="614" t="s">
        <v>1436</v>
      </c>
      <c r="D542" s="580"/>
      <c r="E542" s="778"/>
      <c r="F542" s="581"/>
      <c r="G542" s="581"/>
      <c r="H542" s="581"/>
      <c r="I542" s="949"/>
      <c r="J542" s="949"/>
      <c r="K542" s="949"/>
      <c r="L542" s="809"/>
      <c r="M542" s="575"/>
      <c r="N542" s="575"/>
      <c r="O542" s="575"/>
      <c r="P542" s="575"/>
      <c r="Q542" s="575"/>
      <c r="R542" s="575"/>
      <c r="S542" s="809"/>
      <c r="T542" s="575"/>
      <c r="U542" s="575"/>
      <c r="V542" s="575"/>
      <c r="W542" s="575"/>
      <c r="X542" s="575"/>
      <c r="Y542" s="575"/>
      <c r="Z542" s="809"/>
      <c r="AA542" s="575"/>
      <c r="AB542" s="575"/>
      <c r="AC542" s="575"/>
      <c r="AD542" s="575"/>
      <c r="AE542" s="827"/>
      <c r="AF542" s="575"/>
      <c r="AG542" s="960"/>
      <c r="AH542" s="842"/>
      <c r="AI542" s="738">
        <f t="shared" si="25"/>
        <v>0</v>
      </c>
      <c r="AJ542" s="949">
        <v>0</v>
      </c>
      <c r="AK542" s="581">
        <f t="shared" si="26"/>
        <v>0</v>
      </c>
      <c r="AL542" s="750" t="s">
        <v>1657</v>
      </c>
      <c r="AM542" s="743">
        <f t="shared" si="27"/>
        <v>4</v>
      </c>
    </row>
    <row r="543" spans="1:39" s="560" customFormat="1">
      <c r="A543" s="607" t="s">
        <v>478</v>
      </c>
      <c r="B543" s="607" t="s">
        <v>1317</v>
      </c>
      <c r="C543" s="614" t="s">
        <v>1436</v>
      </c>
      <c r="D543" s="580"/>
      <c r="E543" s="778"/>
      <c r="F543" s="581"/>
      <c r="G543" s="581"/>
      <c r="H543" s="581"/>
      <c r="I543" s="949"/>
      <c r="J543" s="949"/>
      <c r="K543" s="949"/>
      <c r="L543" s="809"/>
      <c r="M543" s="575"/>
      <c r="N543" s="575"/>
      <c r="O543" s="575"/>
      <c r="P543" s="575"/>
      <c r="Q543" s="575"/>
      <c r="R543" s="575"/>
      <c r="S543" s="809"/>
      <c r="T543" s="575"/>
      <c r="U543" s="575"/>
      <c r="V543" s="575"/>
      <c r="W543" s="575"/>
      <c r="X543" s="575"/>
      <c r="Y543" s="575"/>
      <c r="Z543" s="809"/>
      <c r="AA543" s="575"/>
      <c r="AB543" s="575"/>
      <c r="AC543" s="575"/>
      <c r="AD543" s="575"/>
      <c r="AE543" s="827"/>
      <c r="AF543" s="575"/>
      <c r="AG543" s="960"/>
      <c r="AH543" s="842"/>
      <c r="AI543" s="738">
        <f t="shared" si="25"/>
        <v>0</v>
      </c>
      <c r="AJ543" s="949">
        <v>0</v>
      </c>
      <c r="AK543" s="581">
        <f t="shared" si="26"/>
        <v>0</v>
      </c>
      <c r="AL543" s="750" t="s">
        <v>1684</v>
      </c>
      <c r="AM543" s="743">
        <f t="shared" si="27"/>
        <v>2</v>
      </c>
    </row>
    <row r="544" spans="1:39" s="560" customFormat="1">
      <c r="A544" s="607" t="s">
        <v>1003</v>
      </c>
      <c r="B544" s="607" t="s">
        <v>1318</v>
      </c>
      <c r="C544" s="614" t="s">
        <v>1436</v>
      </c>
      <c r="D544" s="580"/>
      <c r="E544" s="778"/>
      <c r="F544" s="581"/>
      <c r="G544" s="581"/>
      <c r="H544" s="581"/>
      <c r="I544" s="949"/>
      <c r="J544" s="949"/>
      <c r="K544" s="949"/>
      <c r="L544" s="809"/>
      <c r="M544" s="575"/>
      <c r="N544" s="575"/>
      <c r="O544" s="575"/>
      <c r="P544" s="575"/>
      <c r="Q544" s="575"/>
      <c r="R544" s="575"/>
      <c r="S544" s="809"/>
      <c r="T544" s="575"/>
      <c r="U544" s="575"/>
      <c r="V544" s="575"/>
      <c r="W544" s="575"/>
      <c r="X544" s="575"/>
      <c r="Y544" s="575"/>
      <c r="Z544" s="809"/>
      <c r="AA544" s="575"/>
      <c r="AB544" s="575"/>
      <c r="AC544" s="575"/>
      <c r="AD544" s="575"/>
      <c r="AE544" s="827"/>
      <c r="AF544" s="575"/>
      <c r="AG544" s="960"/>
      <c r="AH544" s="842"/>
      <c r="AI544" s="738">
        <f t="shared" si="25"/>
        <v>0</v>
      </c>
      <c r="AJ544" s="949">
        <v>0</v>
      </c>
      <c r="AK544" s="581">
        <f t="shared" si="26"/>
        <v>0</v>
      </c>
      <c r="AL544" s="750" t="s">
        <v>1441</v>
      </c>
      <c r="AM544" s="743">
        <f t="shared" si="27"/>
        <v>1</v>
      </c>
    </row>
    <row r="545" spans="1:39" s="560" customFormat="1">
      <c r="A545" s="607" t="s">
        <v>1004</v>
      </c>
      <c r="B545" s="607" t="s">
        <v>1319</v>
      </c>
      <c r="C545" s="614" t="s">
        <v>1436</v>
      </c>
      <c r="D545" s="580"/>
      <c r="E545" s="778"/>
      <c r="F545" s="581"/>
      <c r="G545" s="581"/>
      <c r="H545" s="581"/>
      <c r="I545" s="949"/>
      <c r="J545" s="949"/>
      <c r="K545" s="949"/>
      <c r="L545" s="809"/>
      <c r="M545" s="575"/>
      <c r="N545" s="575"/>
      <c r="O545" s="575"/>
      <c r="P545" s="575"/>
      <c r="Q545" s="575"/>
      <c r="R545" s="575"/>
      <c r="S545" s="809"/>
      <c r="T545" s="575"/>
      <c r="U545" s="575"/>
      <c r="V545" s="575"/>
      <c r="W545" s="575"/>
      <c r="X545" s="575"/>
      <c r="Y545" s="575"/>
      <c r="Z545" s="809"/>
      <c r="AA545" s="575"/>
      <c r="AB545" s="575"/>
      <c r="AC545" s="575"/>
      <c r="AD545" s="575"/>
      <c r="AE545" s="827"/>
      <c r="AF545" s="575"/>
      <c r="AG545" s="960"/>
      <c r="AH545" s="842"/>
      <c r="AI545" s="738">
        <f t="shared" si="25"/>
        <v>0</v>
      </c>
      <c r="AJ545" s="949">
        <v>0</v>
      </c>
      <c r="AK545" s="581">
        <f t="shared" si="26"/>
        <v>0</v>
      </c>
      <c r="AL545" s="750" t="s">
        <v>1603</v>
      </c>
      <c r="AM545" s="743">
        <f t="shared" si="27"/>
        <v>6</v>
      </c>
    </row>
    <row r="546" spans="1:39" s="560" customFormat="1">
      <c r="A546" s="607" t="s">
        <v>1005</v>
      </c>
      <c r="B546" s="607" t="s">
        <v>1320</v>
      </c>
      <c r="C546" s="614" t="s">
        <v>1436</v>
      </c>
      <c r="D546" s="580"/>
      <c r="E546" s="778"/>
      <c r="F546" s="581"/>
      <c r="G546" s="581"/>
      <c r="H546" s="581"/>
      <c r="I546" s="949"/>
      <c r="J546" s="949"/>
      <c r="K546" s="949"/>
      <c r="L546" s="809"/>
      <c r="M546" s="575"/>
      <c r="N546" s="575"/>
      <c r="O546" s="575"/>
      <c r="P546" s="575"/>
      <c r="Q546" s="575"/>
      <c r="R546" s="575"/>
      <c r="S546" s="809"/>
      <c r="T546" s="575"/>
      <c r="U546" s="575"/>
      <c r="V546" s="575"/>
      <c r="W546" s="575"/>
      <c r="X546" s="575"/>
      <c r="Y546" s="575"/>
      <c r="Z546" s="809"/>
      <c r="AA546" s="575"/>
      <c r="AB546" s="575"/>
      <c r="AC546" s="575"/>
      <c r="AD546" s="575"/>
      <c r="AE546" s="827"/>
      <c r="AF546" s="575"/>
      <c r="AG546" s="960"/>
      <c r="AH546" s="842"/>
      <c r="AI546" s="738">
        <f t="shared" si="25"/>
        <v>0</v>
      </c>
      <c r="AJ546" s="949">
        <v>0</v>
      </c>
      <c r="AK546" s="581">
        <f t="shared" si="26"/>
        <v>0</v>
      </c>
      <c r="AL546" s="750" t="s">
        <v>1657</v>
      </c>
      <c r="AM546" s="743">
        <f t="shared" si="27"/>
        <v>4</v>
      </c>
    </row>
    <row r="547" spans="1:39" s="560" customFormat="1">
      <c r="A547" s="607" t="s">
        <v>1006</v>
      </c>
      <c r="B547" s="607" t="s">
        <v>1321</v>
      </c>
      <c r="C547" s="614" t="s">
        <v>1436</v>
      </c>
      <c r="D547" s="580"/>
      <c r="E547" s="778"/>
      <c r="F547" s="581"/>
      <c r="G547" s="581"/>
      <c r="H547" s="581"/>
      <c r="I547" s="949"/>
      <c r="J547" s="949"/>
      <c r="K547" s="949"/>
      <c r="L547" s="809"/>
      <c r="M547" s="575"/>
      <c r="N547" s="575"/>
      <c r="O547" s="575"/>
      <c r="P547" s="575"/>
      <c r="Q547" s="575"/>
      <c r="R547" s="575"/>
      <c r="S547" s="809"/>
      <c r="T547" s="575"/>
      <c r="U547" s="575"/>
      <c r="V547" s="575"/>
      <c r="W547" s="575"/>
      <c r="X547" s="575"/>
      <c r="Y547" s="575"/>
      <c r="Z547" s="809"/>
      <c r="AA547" s="575"/>
      <c r="AB547" s="575"/>
      <c r="AC547" s="575"/>
      <c r="AD547" s="575"/>
      <c r="AE547" s="827"/>
      <c r="AF547" s="575"/>
      <c r="AG547" s="960"/>
      <c r="AH547" s="842"/>
      <c r="AI547" s="738">
        <f t="shared" si="25"/>
        <v>0</v>
      </c>
      <c r="AJ547" s="949">
        <v>0</v>
      </c>
      <c r="AK547" s="581">
        <f t="shared" si="26"/>
        <v>0</v>
      </c>
      <c r="AL547" s="750" t="s">
        <v>1441</v>
      </c>
      <c r="AM547" s="743">
        <f t="shared" si="27"/>
        <v>1</v>
      </c>
    </row>
    <row r="548" spans="1:39" s="560" customFormat="1">
      <c r="A548" s="607" t="s">
        <v>1007</v>
      </c>
      <c r="B548" s="607" t="s">
        <v>1322</v>
      </c>
      <c r="C548" s="614" t="s">
        <v>1437</v>
      </c>
      <c r="D548" s="580"/>
      <c r="E548" s="778"/>
      <c r="F548" s="581"/>
      <c r="G548" s="581"/>
      <c r="H548" s="581"/>
      <c r="I548" s="949"/>
      <c r="J548" s="949"/>
      <c r="K548" s="949"/>
      <c r="L548" s="809"/>
      <c r="M548" s="575"/>
      <c r="N548" s="575"/>
      <c r="O548" s="575"/>
      <c r="P548" s="575"/>
      <c r="Q548" s="575"/>
      <c r="R548" s="575"/>
      <c r="S548" s="809"/>
      <c r="T548" s="575"/>
      <c r="U548" s="575"/>
      <c r="V548" s="575"/>
      <c r="W548" s="575"/>
      <c r="X548" s="575"/>
      <c r="Y548" s="575"/>
      <c r="Z548" s="809"/>
      <c r="AA548" s="575"/>
      <c r="AB548" s="575"/>
      <c r="AC548" s="575"/>
      <c r="AD548" s="575"/>
      <c r="AE548" s="827"/>
      <c r="AF548" s="575"/>
      <c r="AG548" s="960"/>
      <c r="AH548" s="842"/>
      <c r="AI548" s="738">
        <f t="shared" si="25"/>
        <v>0</v>
      </c>
      <c r="AJ548" s="949">
        <v>0</v>
      </c>
      <c r="AK548" s="581">
        <f t="shared" si="26"/>
        <v>0</v>
      </c>
      <c r="AL548" s="750" t="s">
        <v>1441</v>
      </c>
      <c r="AM548" s="743">
        <f t="shared" si="27"/>
        <v>1</v>
      </c>
    </row>
    <row r="549" spans="1:39" s="560" customFormat="1">
      <c r="A549" s="607" t="s">
        <v>1008</v>
      </c>
      <c r="B549" s="607" t="s">
        <v>1323</v>
      </c>
      <c r="C549" s="614" t="s">
        <v>40</v>
      </c>
      <c r="D549" s="580"/>
      <c r="E549" s="778"/>
      <c r="F549" s="581"/>
      <c r="G549" s="581"/>
      <c r="H549" s="581"/>
      <c r="I549" s="949"/>
      <c r="J549" s="949"/>
      <c r="K549" s="949"/>
      <c r="L549" s="809"/>
      <c r="M549" s="575"/>
      <c r="N549" s="575"/>
      <c r="O549" s="575"/>
      <c r="P549" s="575"/>
      <c r="Q549" s="575"/>
      <c r="R549" s="575"/>
      <c r="S549" s="809"/>
      <c r="T549" s="575"/>
      <c r="U549" s="575"/>
      <c r="V549" s="575"/>
      <c r="W549" s="575"/>
      <c r="X549" s="575"/>
      <c r="Y549" s="575"/>
      <c r="Z549" s="809"/>
      <c r="AA549" s="575"/>
      <c r="AB549" s="575"/>
      <c r="AC549" s="575"/>
      <c r="AD549" s="575"/>
      <c r="AE549" s="827"/>
      <c r="AF549" s="575"/>
      <c r="AG549" s="960"/>
      <c r="AH549" s="842"/>
      <c r="AI549" s="738">
        <f t="shared" si="25"/>
        <v>0</v>
      </c>
      <c r="AJ549" s="949">
        <v>0</v>
      </c>
      <c r="AK549" s="581">
        <f t="shared" si="26"/>
        <v>0</v>
      </c>
      <c r="AL549" s="750" t="s">
        <v>1441</v>
      </c>
      <c r="AM549" s="743">
        <f t="shared" si="27"/>
        <v>1</v>
      </c>
    </row>
    <row r="550" spans="1:39" s="560" customFormat="1">
      <c r="A550" s="607" t="s">
        <v>1009</v>
      </c>
      <c r="B550" s="607" t="s">
        <v>1324</v>
      </c>
      <c r="C550" s="614" t="s">
        <v>1436</v>
      </c>
      <c r="D550" s="580"/>
      <c r="E550" s="778"/>
      <c r="F550" s="581"/>
      <c r="G550" s="581"/>
      <c r="H550" s="581"/>
      <c r="I550" s="949"/>
      <c r="J550" s="949"/>
      <c r="K550" s="949"/>
      <c r="L550" s="809"/>
      <c r="M550" s="575"/>
      <c r="N550" s="575"/>
      <c r="O550" s="575"/>
      <c r="P550" s="575"/>
      <c r="Q550" s="575"/>
      <c r="R550" s="575"/>
      <c r="S550" s="809"/>
      <c r="T550" s="575"/>
      <c r="U550" s="575"/>
      <c r="V550" s="575"/>
      <c r="W550" s="575"/>
      <c r="X550" s="575"/>
      <c r="Y550" s="575"/>
      <c r="Z550" s="809"/>
      <c r="AA550" s="575"/>
      <c r="AB550" s="575"/>
      <c r="AC550" s="575"/>
      <c r="AD550" s="575"/>
      <c r="AE550" s="827"/>
      <c r="AF550" s="575"/>
      <c r="AG550" s="960"/>
      <c r="AH550" s="842"/>
      <c r="AI550" s="738">
        <f t="shared" si="25"/>
        <v>0</v>
      </c>
      <c r="AJ550" s="949">
        <v>0</v>
      </c>
      <c r="AK550" s="581">
        <f t="shared" si="26"/>
        <v>0</v>
      </c>
      <c r="AL550" s="750" t="s">
        <v>1729</v>
      </c>
      <c r="AM550" s="743">
        <f t="shared" si="27"/>
        <v>19</v>
      </c>
    </row>
    <row r="551" spans="1:39" s="560" customFormat="1">
      <c r="A551" s="607" t="s">
        <v>1010</v>
      </c>
      <c r="B551" s="607" t="s">
        <v>1325</v>
      </c>
      <c r="C551" s="614" t="s">
        <v>1437</v>
      </c>
      <c r="D551" s="580"/>
      <c r="E551" s="778"/>
      <c r="F551" s="581"/>
      <c r="G551" s="581"/>
      <c r="H551" s="581"/>
      <c r="I551" s="949"/>
      <c r="J551" s="949"/>
      <c r="K551" s="949"/>
      <c r="L551" s="809"/>
      <c r="M551" s="575"/>
      <c r="N551" s="575"/>
      <c r="O551" s="575"/>
      <c r="P551" s="575"/>
      <c r="Q551" s="575"/>
      <c r="R551" s="575"/>
      <c r="S551" s="809"/>
      <c r="T551" s="575"/>
      <c r="U551" s="575"/>
      <c r="V551" s="575"/>
      <c r="W551" s="575"/>
      <c r="X551" s="575"/>
      <c r="Y551" s="575"/>
      <c r="Z551" s="809"/>
      <c r="AA551" s="575"/>
      <c r="AB551" s="575"/>
      <c r="AC551" s="575"/>
      <c r="AD551" s="575"/>
      <c r="AE551" s="827"/>
      <c r="AF551" s="575"/>
      <c r="AG551" s="960"/>
      <c r="AH551" s="842"/>
      <c r="AI551" s="738">
        <f t="shared" si="25"/>
        <v>0</v>
      </c>
      <c r="AJ551" s="949">
        <v>0</v>
      </c>
      <c r="AK551" s="581">
        <f t="shared" si="26"/>
        <v>0</v>
      </c>
      <c r="AL551" s="750"/>
      <c r="AM551" s="743">
        <f t="shared" si="27"/>
        <v>0</v>
      </c>
    </row>
    <row r="552" spans="1:39" s="560" customFormat="1">
      <c r="A552" s="492" t="s">
        <v>479</v>
      </c>
      <c r="B552" s="608" t="s">
        <v>1326</v>
      </c>
      <c r="C552" s="690"/>
      <c r="D552" s="580"/>
      <c r="E552" s="778"/>
      <c r="F552" s="581"/>
      <c r="G552" s="581"/>
      <c r="H552" s="581"/>
      <c r="I552" s="949"/>
      <c r="J552" s="949"/>
      <c r="K552" s="949"/>
      <c r="L552" s="809"/>
      <c r="M552" s="575"/>
      <c r="N552" s="575"/>
      <c r="O552" s="575"/>
      <c r="P552" s="575"/>
      <c r="Q552" s="575"/>
      <c r="R552" s="575"/>
      <c r="S552" s="809"/>
      <c r="T552" s="575"/>
      <c r="U552" s="575"/>
      <c r="V552" s="575"/>
      <c r="W552" s="575"/>
      <c r="X552" s="575"/>
      <c r="Y552" s="575"/>
      <c r="Z552" s="809"/>
      <c r="AA552" s="575"/>
      <c r="AB552" s="575"/>
      <c r="AC552" s="575"/>
      <c r="AD552" s="575"/>
      <c r="AE552" s="827"/>
      <c r="AF552" s="575"/>
      <c r="AG552" s="960"/>
      <c r="AH552" s="842"/>
      <c r="AI552" s="738">
        <f t="shared" si="25"/>
        <v>0</v>
      </c>
      <c r="AJ552" s="949">
        <v>0</v>
      </c>
      <c r="AK552" s="581">
        <f t="shared" si="26"/>
        <v>0</v>
      </c>
      <c r="AL552" s="750" t="s">
        <v>1657</v>
      </c>
      <c r="AM552" s="743">
        <f t="shared" si="27"/>
        <v>4</v>
      </c>
    </row>
    <row r="553" spans="1:39" s="560" customFormat="1">
      <c r="A553" s="607" t="s">
        <v>480</v>
      </c>
      <c r="B553" s="607" t="s">
        <v>1327</v>
      </c>
      <c r="C553" s="614" t="s">
        <v>1438</v>
      </c>
      <c r="D553" s="580"/>
      <c r="E553" s="778"/>
      <c r="F553" s="581"/>
      <c r="G553" s="581"/>
      <c r="H553" s="581"/>
      <c r="I553" s="949"/>
      <c r="J553" s="949"/>
      <c r="K553" s="949"/>
      <c r="L553" s="809"/>
      <c r="M553" s="575"/>
      <c r="N553" s="575"/>
      <c r="O553" s="575"/>
      <c r="P553" s="575"/>
      <c r="Q553" s="575"/>
      <c r="R553" s="575"/>
      <c r="S553" s="809"/>
      <c r="T553" s="575"/>
      <c r="U553" s="575"/>
      <c r="V553" s="575"/>
      <c r="W553" s="575"/>
      <c r="X553" s="575"/>
      <c r="Y553" s="575"/>
      <c r="Z553" s="809"/>
      <c r="AA553" s="575"/>
      <c r="AB553" s="575"/>
      <c r="AC553" s="575"/>
      <c r="AD553" s="575"/>
      <c r="AE553" s="827"/>
      <c r="AF553" s="575"/>
      <c r="AG553" s="960"/>
      <c r="AH553" s="842"/>
      <c r="AI553" s="738">
        <f t="shared" si="25"/>
        <v>0</v>
      </c>
      <c r="AJ553" s="949">
        <v>0</v>
      </c>
      <c r="AK553" s="581">
        <f t="shared" si="26"/>
        <v>0</v>
      </c>
      <c r="AL553" s="750" t="s">
        <v>1603</v>
      </c>
      <c r="AM553" s="743">
        <f t="shared" si="27"/>
        <v>6</v>
      </c>
    </row>
    <row r="554" spans="1:39" s="560" customFormat="1">
      <c r="A554" s="607" t="s">
        <v>481</v>
      </c>
      <c r="B554" s="607" t="s">
        <v>1328</v>
      </c>
      <c r="C554" s="614" t="s">
        <v>1438</v>
      </c>
      <c r="D554" s="580"/>
      <c r="E554" s="778"/>
      <c r="F554" s="581"/>
      <c r="G554" s="581"/>
      <c r="H554" s="581"/>
      <c r="I554" s="949"/>
      <c r="J554" s="949"/>
      <c r="K554" s="949"/>
      <c r="L554" s="809"/>
      <c r="M554" s="575"/>
      <c r="N554" s="575"/>
      <c r="O554" s="575"/>
      <c r="P554" s="575"/>
      <c r="Q554" s="575"/>
      <c r="R554" s="575"/>
      <c r="S554" s="809"/>
      <c r="T554" s="575"/>
      <c r="U554" s="575"/>
      <c r="V554" s="575"/>
      <c r="W554" s="575"/>
      <c r="X554" s="575"/>
      <c r="Y554" s="575"/>
      <c r="Z554" s="809"/>
      <c r="AA554" s="575"/>
      <c r="AB554" s="575"/>
      <c r="AC554" s="575"/>
      <c r="AD554" s="575"/>
      <c r="AE554" s="827"/>
      <c r="AF554" s="575"/>
      <c r="AG554" s="960"/>
      <c r="AH554" s="842"/>
      <c r="AI554" s="738">
        <f t="shared" si="25"/>
        <v>0</v>
      </c>
      <c r="AJ554" s="949">
        <v>0</v>
      </c>
      <c r="AK554" s="581">
        <f t="shared" si="26"/>
        <v>0</v>
      </c>
      <c r="AL554" s="750" t="s">
        <v>1728</v>
      </c>
      <c r="AM554" s="743">
        <f t="shared" si="27"/>
        <v>10</v>
      </c>
    </row>
    <row r="555" spans="1:39" s="560" customFormat="1">
      <c r="A555" s="607" t="s">
        <v>482</v>
      </c>
      <c r="B555" s="607" t="s">
        <v>1329</v>
      </c>
      <c r="C555" s="614" t="s">
        <v>1438</v>
      </c>
      <c r="D555" s="580"/>
      <c r="E555" s="778"/>
      <c r="F555" s="581"/>
      <c r="G555" s="581"/>
      <c r="H555" s="581"/>
      <c r="I555" s="949"/>
      <c r="J555" s="949"/>
      <c r="K555" s="949"/>
      <c r="L555" s="809"/>
      <c r="M555" s="575"/>
      <c r="N555" s="575"/>
      <c r="O555" s="575"/>
      <c r="P555" s="575"/>
      <c r="Q555" s="575"/>
      <c r="R555" s="575"/>
      <c r="S555" s="809"/>
      <c r="T555" s="575"/>
      <c r="U555" s="575"/>
      <c r="V555" s="575"/>
      <c r="W555" s="575"/>
      <c r="X555" s="575"/>
      <c r="Y555" s="575"/>
      <c r="Z555" s="809"/>
      <c r="AA555" s="575"/>
      <c r="AB555" s="575"/>
      <c r="AC555" s="575"/>
      <c r="AD555" s="575"/>
      <c r="AE555" s="827"/>
      <c r="AF555" s="575"/>
      <c r="AG555" s="960"/>
      <c r="AH555" s="842"/>
      <c r="AI555" s="738">
        <f t="shared" ref="AI555:AI618" si="28">ROUND((SUM(D555:L555)),2)</f>
        <v>0</v>
      </c>
      <c r="AJ555" s="949">
        <v>0</v>
      </c>
      <c r="AK555" s="581">
        <f t="shared" si="26"/>
        <v>0</v>
      </c>
      <c r="AL555" s="750" t="s">
        <v>1730</v>
      </c>
      <c r="AM555" s="743">
        <f t="shared" si="27"/>
        <v>32.450000000000003</v>
      </c>
    </row>
    <row r="556" spans="1:39" s="560" customFormat="1">
      <c r="A556" s="607" t="s">
        <v>1011</v>
      </c>
      <c r="B556" s="607" t="s">
        <v>1330</v>
      </c>
      <c r="C556" s="614" t="s">
        <v>37</v>
      </c>
      <c r="D556" s="580"/>
      <c r="E556" s="778"/>
      <c r="F556" s="581"/>
      <c r="G556" s="581"/>
      <c r="H556" s="581"/>
      <c r="I556" s="949"/>
      <c r="J556" s="949"/>
      <c r="K556" s="949"/>
      <c r="L556" s="809"/>
      <c r="M556" s="575"/>
      <c r="N556" s="575"/>
      <c r="O556" s="575"/>
      <c r="P556" s="575"/>
      <c r="Q556" s="575"/>
      <c r="R556" s="575"/>
      <c r="S556" s="809"/>
      <c r="T556" s="575"/>
      <c r="U556" s="575"/>
      <c r="V556" s="575"/>
      <c r="W556" s="575"/>
      <c r="X556" s="575"/>
      <c r="Y556" s="575"/>
      <c r="Z556" s="809"/>
      <c r="AA556" s="575"/>
      <c r="AB556" s="575"/>
      <c r="AC556" s="575"/>
      <c r="AD556" s="575"/>
      <c r="AE556" s="827"/>
      <c r="AF556" s="575"/>
      <c r="AG556" s="960"/>
      <c r="AH556" s="842"/>
      <c r="AI556" s="738">
        <f t="shared" si="28"/>
        <v>0</v>
      </c>
      <c r="AJ556" s="949">
        <v>0</v>
      </c>
      <c r="AK556" s="581">
        <f t="shared" si="26"/>
        <v>0</v>
      </c>
      <c r="AL556" s="750" t="s">
        <v>1731</v>
      </c>
      <c r="AM556" s="743">
        <f t="shared" si="27"/>
        <v>45.55</v>
      </c>
    </row>
    <row r="557" spans="1:39" s="560" customFormat="1">
      <c r="A557" s="607" t="s">
        <v>1012</v>
      </c>
      <c r="B557" s="607" t="s">
        <v>1331</v>
      </c>
      <c r="C557" s="614" t="s">
        <v>37</v>
      </c>
      <c r="D557" s="580"/>
      <c r="E557" s="778"/>
      <c r="F557" s="581"/>
      <c r="G557" s="581"/>
      <c r="H557" s="581"/>
      <c r="I557" s="949"/>
      <c r="J557" s="949"/>
      <c r="K557" s="949"/>
      <c r="L557" s="809"/>
      <c r="M557" s="575"/>
      <c r="N557" s="575"/>
      <c r="O557" s="575"/>
      <c r="P557" s="575"/>
      <c r="Q557" s="575"/>
      <c r="R557" s="575"/>
      <c r="S557" s="809"/>
      <c r="T557" s="575"/>
      <c r="U557" s="575"/>
      <c r="V557" s="575"/>
      <c r="W557" s="575"/>
      <c r="X557" s="575"/>
      <c r="Y557" s="575"/>
      <c r="Z557" s="809"/>
      <c r="AA557" s="575"/>
      <c r="AB557" s="575"/>
      <c r="AC557" s="575"/>
      <c r="AD557" s="575"/>
      <c r="AE557" s="827"/>
      <c r="AF557" s="575"/>
      <c r="AG557" s="960"/>
      <c r="AH557" s="842"/>
      <c r="AI557" s="738">
        <f t="shared" si="28"/>
        <v>0</v>
      </c>
      <c r="AJ557" s="949">
        <v>0</v>
      </c>
      <c r="AK557" s="581">
        <f t="shared" si="26"/>
        <v>0</v>
      </c>
      <c r="AL557" s="750" t="s">
        <v>1657</v>
      </c>
      <c r="AM557" s="743">
        <f t="shared" si="27"/>
        <v>4</v>
      </c>
    </row>
    <row r="558" spans="1:39" s="560" customFormat="1">
      <c r="A558" s="607" t="s">
        <v>1013</v>
      </c>
      <c r="B558" s="607" t="s">
        <v>1332</v>
      </c>
      <c r="C558" s="614" t="s">
        <v>1436</v>
      </c>
      <c r="D558" s="580"/>
      <c r="E558" s="778"/>
      <c r="F558" s="581"/>
      <c r="G558" s="581"/>
      <c r="H558" s="581"/>
      <c r="I558" s="949"/>
      <c r="J558" s="949"/>
      <c r="K558" s="949"/>
      <c r="L558" s="809"/>
      <c r="M558" s="575"/>
      <c r="N558" s="575"/>
      <c r="O558" s="575"/>
      <c r="P558" s="575"/>
      <c r="Q558" s="575"/>
      <c r="R558" s="575"/>
      <c r="S558" s="809"/>
      <c r="T558" s="575"/>
      <c r="U558" s="575"/>
      <c r="V558" s="575"/>
      <c r="W558" s="575"/>
      <c r="X558" s="575"/>
      <c r="Y558" s="575"/>
      <c r="Z558" s="809"/>
      <c r="AA558" s="575"/>
      <c r="AB558" s="575"/>
      <c r="AC558" s="575"/>
      <c r="AD558" s="575"/>
      <c r="AE558" s="827"/>
      <c r="AF558" s="575"/>
      <c r="AG558" s="960"/>
      <c r="AH558" s="842"/>
      <c r="AI558" s="738">
        <f t="shared" si="28"/>
        <v>0</v>
      </c>
      <c r="AJ558" s="949">
        <v>0</v>
      </c>
      <c r="AK558" s="581">
        <f t="shared" si="26"/>
        <v>0</v>
      </c>
      <c r="AL558" s="750" t="s">
        <v>1684</v>
      </c>
      <c r="AM558" s="743">
        <f t="shared" si="27"/>
        <v>2</v>
      </c>
    </row>
    <row r="559" spans="1:39" s="560" customFormat="1">
      <c r="A559" s="607" t="s">
        <v>1014</v>
      </c>
      <c r="B559" s="607" t="s">
        <v>1333</v>
      </c>
      <c r="C559" s="614" t="s">
        <v>1436</v>
      </c>
      <c r="D559" s="580"/>
      <c r="E559" s="778"/>
      <c r="F559" s="581"/>
      <c r="G559" s="581"/>
      <c r="H559" s="581"/>
      <c r="I559" s="949"/>
      <c r="J559" s="949"/>
      <c r="K559" s="949"/>
      <c r="L559" s="809"/>
      <c r="M559" s="575"/>
      <c r="N559" s="575"/>
      <c r="O559" s="575"/>
      <c r="P559" s="575"/>
      <c r="Q559" s="575"/>
      <c r="R559" s="575"/>
      <c r="S559" s="809"/>
      <c r="T559" s="575"/>
      <c r="U559" s="575"/>
      <c r="V559" s="575"/>
      <c r="W559" s="575"/>
      <c r="X559" s="575"/>
      <c r="Y559" s="575"/>
      <c r="Z559" s="809"/>
      <c r="AA559" s="575"/>
      <c r="AB559" s="575"/>
      <c r="AC559" s="575"/>
      <c r="AD559" s="575"/>
      <c r="AE559" s="827"/>
      <c r="AF559" s="575"/>
      <c r="AG559" s="960"/>
      <c r="AH559" s="842"/>
      <c r="AI559" s="738">
        <f t="shared" si="28"/>
        <v>0</v>
      </c>
      <c r="AJ559" s="949">
        <v>0</v>
      </c>
      <c r="AK559" s="581">
        <f t="shared" si="26"/>
        <v>0</v>
      </c>
      <c r="AL559" s="750" t="s">
        <v>1603</v>
      </c>
      <c r="AM559" s="743">
        <f t="shared" si="27"/>
        <v>6</v>
      </c>
    </row>
    <row r="560" spans="1:39" s="560" customFormat="1">
      <c r="A560" s="607" t="s">
        <v>1015</v>
      </c>
      <c r="B560" s="607" t="s">
        <v>1334</v>
      </c>
      <c r="C560" s="614" t="s">
        <v>1436</v>
      </c>
      <c r="D560" s="580"/>
      <c r="E560" s="778"/>
      <c r="F560" s="581"/>
      <c r="G560" s="581"/>
      <c r="H560" s="581"/>
      <c r="I560" s="949"/>
      <c r="J560" s="949"/>
      <c r="K560" s="949"/>
      <c r="L560" s="809"/>
      <c r="M560" s="575"/>
      <c r="N560" s="575"/>
      <c r="O560" s="575"/>
      <c r="P560" s="575"/>
      <c r="Q560" s="575"/>
      <c r="R560" s="575"/>
      <c r="S560" s="809"/>
      <c r="T560" s="575"/>
      <c r="U560" s="575"/>
      <c r="V560" s="575"/>
      <c r="W560" s="575"/>
      <c r="X560" s="575"/>
      <c r="Y560" s="575"/>
      <c r="Z560" s="809"/>
      <c r="AA560" s="575"/>
      <c r="AB560" s="575"/>
      <c r="AC560" s="575"/>
      <c r="AD560" s="575"/>
      <c r="AE560" s="827"/>
      <c r="AF560" s="575"/>
      <c r="AG560" s="960"/>
      <c r="AH560" s="842"/>
      <c r="AI560" s="738">
        <f t="shared" si="28"/>
        <v>0</v>
      </c>
      <c r="AJ560" s="949">
        <v>0</v>
      </c>
      <c r="AK560" s="581">
        <f t="shared" si="26"/>
        <v>0</v>
      </c>
      <c r="AL560" s="750" t="s">
        <v>1603</v>
      </c>
      <c r="AM560" s="743">
        <f t="shared" si="27"/>
        <v>6</v>
      </c>
    </row>
    <row r="561" spans="1:39" s="560" customFormat="1">
      <c r="A561" s="607" t="s">
        <v>1016</v>
      </c>
      <c r="B561" s="607" t="s">
        <v>1335</v>
      </c>
      <c r="C561" s="614" t="s">
        <v>1436</v>
      </c>
      <c r="D561" s="580"/>
      <c r="E561" s="778"/>
      <c r="F561" s="581"/>
      <c r="G561" s="581"/>
      <c r="H561" s="581"/>
      <c r="I561" s="949"/>
      <c r="J561" s="949"/>
      <c r="K561" s="949"/>
      <c r="L561" s="809"/>
      <c r="M561" s="575"/>
      <c r="N561" s="575"/>
      <c r="O561" s="575"/>
      <c r="P561" s="575"/>
      <c r="Q561" s="575"/>
      <c r="R561" s="575"/>
      <c r="S561" s="809"/>
      <c r="T561" s="575"/>
      <c r="U561" s="575"/>
      <c r="V561" s="575"/>
      <c r="W561" s="575"/>
      <c r="X561" s="575"/>
      <c r="Y561" s="575"/>
      <c r="Z561" s="809"/>
      <c r="AA561" s="575"/>
      <c r="AB561" s="575"/>
      <c r="AC561" s="575"/>
      <c r="AD561" s="575"/>
      <c r="AE561" s="827"/>
      <c r="AF561" s="575"/>
      <c r="AG561" s="960"/>
      <c r="AH561" s="842"/>
      <c r="AI561" s="738">
        <f t="shared" si="28"/>
        <v>0</v>
      </c>
      <c r="AJ561" s="949">
        <v>0</v>
      </c>
      <c r="AK561" s="581">
        <f t="shared" si="26"/>
        <v>0</v>
      </c>
      <c r="AL561" s="750" t="s">
        <v>1603</v>
      </c>
      <c r="AM561" s="743">
        <f t="shared" si="27"/>
        <v>6</v>
      </c>
    </row>
    <row r="562" spans="1:39" s="560" customFormat="1">
      <c r="A562" s="607" t="s">
        <v>1017</v>
      </c>
      <c r="B562" s="607" t="s">
        <v>1336</v>
      </c>
      <c r="C562" s="614" t="s">
        <v>1437</v>
      </c>
      <c r="D562" s="580"/>
      <c r="E562" s="778"/>
      <c r="F562" s="581"/>
      <c r="G562" s="581"/>
      <c r="H562" s="581"/>
      <c r="I562" s="949"/>
      <c r="J562" s="949"/>
      <c r="K562" s="949"/>
      <c r="L562" s="809"/>
      <c r="M562" s="575"/>
      <c r="N562" s="575"/>
      <c r="O562" s="575"/>
      <c r="P562" s="575"/>
      <c r="Q562" s="575"/>
      <c r="R562" s="575"/>
      <c r="S562" s="809"/>
      <c r="T562" s="575"/>
      <c r="U562" s="575"/>
      <c r="V562" s="575"/>
      <c r="W562" s="575"/>
      <c r="X562" s="575"/>
      <c r="Y562" s="575"/>
      <c r="Z562" s="809"/>
      <c r="AA562" s="575"/>
      <c r="AB562" s="575"/>
      <c r="AC562" s="575"/>
      <c r="AD562" s="575"/>
      <c r="AE562" s="827"/>
      <c r="AF562" s="575"/>
      <c r="AG562" s="960"/>
      <c r="AH562" s="842"/>
      <c r="AI562" s="738">
        <f t="shared" si="28"/>
        <v>0</v>
      </c>
      <c r="AJ562" s="949">
        <v>0</v>
      </c>
      <c r="AK562" s="581">
        <f t="shared" si="26"/>
        <v>0</v>
      </c>
      <c r="AL562" s="750"/>
      <c r="AM562" s="743">
        <f t="shared" si="27"/>
        <v>0</v>
      </c>
    </row>
    <row r="563" spans="1:39" s="560" customFormat="1">
      <c r="A563" s="492" t="s">
        <v>483</v>
      </c>
      <c r="B563" s="608" t="s">
        <v>1337</v>
      </c>
      <c r="C563" s="690"/>
      <c r="D563" s="580"/>
      <c r="E563" s="778"/>
      <c r="F563" s="581"/>
      <c r="G563" s="581"/>
      <c r="H563" s="581"/>
      <c r="I563" s="949"/>
      <c r="J563" s="949"/>
      <c r="K563" s="949"/>
      <c r="L563" s="809"/>
      <c r="M563" s="575"/>
      <c r="N563" s="575"/>
      <c r="O563" s="575"/>
      <c r="P563" s="575"/>
      <c r="Q563" s="575"/>
      <c r="R563" s="575"/>
      <c r="S563" s="809"/>
      <c r="T563" s="575"/>
      <c r="U563" s="575"/>
      <c r="V563" s="575"/>
      <c r="W563" s="575"/>
      <c r="X563" s="575"/>
      <c r="Y563" s="575"/>
      <c r="Z563" s="809"/>
      <c r="AA563" s="575"/>
      <c r="AB563" s="575"/>
      <c r="AC563" s="575"/>
      <c r="AD563" s="575"/>
      <c r="AE563" s="827"/>
      <c r="AF563" s="575"/>
      <c r="AG563" s="960"/>
      <c r="AH563" s="842"/>
      <c r="AI563" s="738">
        <f t="shared" si="28"/>
        <v>0</v>
      </c>
      <c r="AJ563" s="949">
        <v>0</v>
      </c>
      <c r="AK563" s="581">
        <f t="shared" si="26"/>
        <v>0</v>
      </c>
      <c r="AL563" s="750" t="s">
        <v>1732</v>
      </c>
      <c r="AM563" s="743">
        <f t="shared" si="27"/>
        <v>18.04</v>
      </c>
    </row>
    <row r="564" spans="1:39" s="560" customFormat="1">
      <c r="A564" s="607" t="s">
        <v>484</v>
      </c>
      <c r="B564" s="607" t="s">
        <v>1338</v>
      </c>
      <c r="C564" s="614" t="s">
        <v>39</v>
      </c>
      <c r="D564" s="580"/>
      <c r="E564" s="778"/>
      <c r="F564" s="581"/>
      <c r="G564" s="581"/>
      <c r="H564" s="581"/>
      <c r="I564" s="949"/>
      <c r="J564" s="949"/>
      <c r="K564" s="949"/>
      <c r="L564" s="809"/>
      <c r="M564" s="575"/>
      <c r="N564" s="575"/>
      <c r="O564" s="575"/>
      <c r="P564" s="575"/>
      <c r="Q564" s="575"/>
      <c r="R564" s="575"/>
      <c r="S564" s="809"/>
      <c r="T564" s="575"/>
      <c r="U564" s="575"/>
      <c r="V564" s="575"/>
      <c r="W564" s="575"/>
      <c r="X564" s="575"/>
      <c r="Y564" s="575"/>
      <c r="Z564" s="809"/>
      <c r="AA564" s="575"/>
      <c r="AB564" s="575"/>
      <c r="AC564" s="575"/>
      <c r="AD564" s="575"/>
      <c r="AE564" s="827"/>
      <c r="AF564" s="575"/>
      <c r="AG564" s="960"/>
      <c r="AH564" s="842"/>
      <c r="AI564" s="738">
        <f t="shared" si="28"/>
        <v>0</v>
      </c>
      <c r="AJ564" s="949">
        <v>0</v>
      </c>
      <c r="AK564" s="581">
        <f t="shared" si="26"/>
        <v>0</v>
      </c>
      <c r="AL564" s="750" t="s">
        <v>1732</v>
      </c>
      <c r="AM564" s="743">
        <f t="shared" si="27"/>
        <v>18.04</v>
      </c>
    </row>
    <row r="565" spans="1:39" s="560" customFormat="1">
      <c r="A565" s="607" t="s">
        <v>485</v>
      </c>
      <c r="B565" s="607" t="s">
        <v>1339</v>
      </c>
      <c r="C565" s="614" t="s">
        <v>39</v>
      </c>
      <c r="D565" s="580"/>
      <c r="E565" s="778"/>
      <c r="F565" s="581"/>
      <c r="G565" s="581"/>
      <c r="H565" s="581"/>
      <c r="I565" s="949"/>
      <c r="J565" s="949"/>
      <c r="K565" s="949"/>
      <c r="L565" s="809"/>
      <c r="M565" s="575"/>
      <c r="N565" s="575"/>
      <c r="O565" s="575"/>
      <c r="P565" s="575"/>
      <c r="Q565" s="575"/>
      <c r="R565" s="575"/>
      <c r="S565" s="809"/>
      <c r="T565" s="575"/>
      <c r="U565" s="575"/>
      <c r="V565" s="575"/>
      <c r="W565" s="575"/>
      <c r="X565" s="575"/>
      <c r="Y565" s="575"/>
      <c r="Z565" s="809"/>
      <c r="AA565" s="575"/>
      <c r="AB565" s="575"/>
      <c r="AC565" s="575"/>
      <c r="AD565" s="575"/>
      <c r="AE565" s="827"/>
      <c r="AF565" s="575"/>
      <c r="AG565" s="960"/>
      <c r="AH565" s="842"/>
      <c r="AI565" s="738">
        <f t="shared" si="28"/>
        <v>0</v>
      </c>
      <c r="AJ565" s="949">
        <v>0</v>
      </c>
      <c r="AK565" s="581">
        <f t="shared" si="26"/>
        <v>0</v>
      </c>
      <c r="AL565" s="750" t="s">
        <v>1441</v>
      </c>
      <c r="AM565" s="743">
        <f t="shared" si="27"/>
        <v>1</v>
      </c>
    </row>
    <row r="566" spans="1:39" s="560" customFormat="1">
      <c r="A566" s="607" t="s">
        <v>1018</v>
      </c>
      <c r="B566" s="607" t="s">
        <v>1340</v>
      </c>
      <c r="C566" s="614" t="s">
        <v>35</v>
      </c>
      <c r="D566" s="580"/>
      <c r="E566" s="778"/>
      <c r="F566" s="581"/>
      <c r="G566" s="581"/>
      <c r="H566" s="581"/>
      <c r="I566" s="949"/>
      <c r="J566" s="949"/>
      <c r="K566" s="949"/>
      <c r="L566" s="809"/>
      <c r="M566" s="575"/>
      <c r="N566" s="575"/>
      <c r="O566" s="575"/>
      <c r="P566" s="575"/>
      <c r="Q566" s="575"/>
      <c r="R566" s="575"/>
      <c r="S566" s="809"/>
      <c r="T566" s="575"/>
      <c r="U566" s="575"/>
      <c r="V566" s="575"/>
      <c r="W566" s="575"/>
      <c r="X566" s="575"/>
      <c r="Y566" s="575"/>
      <c r="Z566" s="809"/>
      <c r="AA566" s="575"/>
      <c r="AB566" s="575"/>
      <c r="AC566" s="575"/>
      <c r="AD566" s="575"/>
      <c r="AE566" s="827"/>
      <c r="AF566" s="575"/>
      <c r="AG566" s="960"/>
      <c r="AH566" s="842"/>
      <c r="AI566" s="738">
        <f t="shared" si="28"/>
        <v>0</v>
      </c>
      <c r="AJ566" s="949">
        <v>0</v>
      </c>
      <c r="AK566" s="581">
        <f t="shared" si="26"/>
        <v>0</v>
      </c>
      <c r="AL566" s="750" t="s">
        <v>1441</v>
      </c>
      <c r="AM566" s="743">
        <f t="shared" si="27"/>
        <v>1</v>
      </c>
    </row>
    <row r="567" spans="1:39" s="560" customFormat="1">
      <c r="A567" s="607" t="s">
        <v>1019</v>
      </c>
      <c r="B567" s="607" t="s">
        <v>1341</v>
      </c>
      <c r="C567" s="614" t="s">
        <v>40</v>
      </c>
      <c r="D567" s="580"/>
      <c r="E567" s="778"/>
      <c r="F567" s="581"/>
      <c r="G567" s="581"/>
      <c r="H567" s="581"/>
      <c r="I567" s="949"/>
      <c r="J567" s="949"/>
      <c r="K567" s="949"/>
      <c r="L567" s="809"/>
      <c r="M567" s="575"/>
      <c r="N567" s="575"/>
      <c r="O567" s="575"/>
      <c r="P567" s="575"/>
      <c r="Q567" s="575"/>
      <c r="R567" s="575"/>
      <c r="S567" s="809"/>
      <c r="T567" s="575"/>
      <c r="U567" s="575"/>
      <c r="V567" s="575"/>
      <c r="W567" s="575"/>
      <c r="X567" s="575"/>
      <c r="Y567" s="575"/>
      <c r="Z567" s="809"/>
      <c r="AA567" s="575"/>
      <c r="AB567" s="575"/>
      <c r="AC567" s="575"/>
      <c r="AD567" s="575"/>
      <c r="AE567" s="827"/>
      <c r="AF567" s="575"/>
      <c r="AG567" s="960"/>
      <c r="AH567" s="842"/>
      <c r="AI567" s="738">
        <f t="shared" si="28"/>
        <v>0</v>
      </c>
      <c r="AJ567" s="949">
        <v>0</v>
      </c>
      <c r="AK567" s="581">
        <f t="shared" si="26"/>
        <v>0</v>
      </c>
      <c r="AL567" s="750"/>
      <c r="AM567" s="743">
        <f t="shared" si="27"/>
        <v>0</v>
      </c>
    </row>
    <row r="568" spans="1:39" s="560" customFormat="1">
      <c r="A568" s="492" t="s">
        <v>486</v>
      </c>
      <c r="B568" s="608" t="s">
        <v>1342</v>
      </c>
      <c r="C568" s="690"/>
      <c r="D568" s="580"/>
      <c r="E568" s="778"/>
      <c r="F568" s="581"/>
      <c r="G568" s="581"/>
      <c r="H568" s="581"/>
      <c r="I568" s="949"/>
      <c r="J568" s="949"/>
      <c r="K568" s="949"/>
      <c r="L568" s="809"/>
      <c r="M568" s="575"/>
      <c r="N568" s="575"/>
      <c r="O568" s="575"/>
      <c r="P568" s="575"/>
      <c r="Q568" s="575"/>
      <c r="R568" s="575"/>
      <c r="S568" s="809"/>
      <c r="T568" s="575"/>
      <c r="U568" s="575"/>
      <c r="V568" s="575"/>
      <c r="W568" s="575"/>
      <c r="X568" s="575"/>
      <c r="Y568" s="575"/>
      <c r="Z568" s="809"/>
      <c r="AA568" s="575"/>
      <c r="AB568" s="575"/>
      <c r="AC568" s="575"/>
      <c r="AD568" s="575"/>
      <c r="AE568" s="827"/>
      <c r="AF568" s="575"/>
      <c r="AG568" s="960"/>
      <c r="AH568" s="842"/>
      <c r="AI568" s="738">
        <f t="shared" si="28"/>
        <v>0</v>
      </c>
      <c r="AJ568" s="949">
        <v>0</v>
      </c>
      <c r="AK568" s="581">
        <f t="shared" si="26"/>
        <v>0</v>
      </c>
      <c r="AL568" s="750" t="s">
        <v>1733</v>
      </c>
      <c r="AM568" s="743">
        <f t="shared" si="27"/>
        <v>10.08</v>
      </c>
    </row>
    <row r="569" spans="1:39" s="560" customFormat="1">
      <c r="A569" s="607" t="s">
        <v>487</v>
      </c>
      <c r="B569" s="607" t="s">
        <v>1338</v>
      </c>
      <c r="C569" s="614" t="s">
        <v>39</v>
      </c>
      <c r="D569" s="580"/>
      <c r="E569" s="778"/>
      <c r="F569" s="581"/>
      <c r="G569" s="581"/>
      <c r="H569" s="581"/>
      <c r="I569" s="949"/>
      <c r="J569" s="949"/>
      <c r="K569" s="949"/>
      <c r="L569" s="809"/>
      <c r="M569" s="575"/>
      <c r="N569" s="575"/>
      <c r="O569" s="575"/>
      <c r="P569" s="575"/>
      <c r="Q569" s="575"/>
      <c r="R569" s="575"/>
      <c r="S569" s="809"/>
      <c r="T569" s="575"/>
      <c r="U569" s="575"/>
      <c r="V569" s="575"/>
      <c r="W569" s="575"/>
      <c r="X569" s="575"/>
      <c r="Y569" s="575"/>
      <c r="Z569" s="809"/>
      <c r="AA569" s="575"/>
      <c r="AB569" s="575"/>
      <c r="AC569" s="575"/>
      <c r="AD569" s="575"/>
      <c r="AE569" s="827"/>
      <c r="AF569" s="575"/>
      <c r="AG569" s="960"/>
      <c r="AH569" s="842"/>
      <c r="AI569" s="738">
        <f t="shared" si="28"/>
        <v>0</v>
      </c>
      <c r="AJ569" s="949">
        <v>0</v>
      </c>
      <c r="AK569" s="581">
        <f t="shared" si="26"/>
        <v>0</v>
      </c>
      <c r="AL569" s="750" t="s">
        <v>1733</v>
      </c>
      <c r="AM569" s="743">
        <f t="shared" si="27"/>
        <v>10.08</v>
      </c>
    </row>
    <row r="570" spans="1:39" s="560" customFormat="1">
      <c r="A570" s="607" t="s">
        <v>488</v>
      </c>
      <c r="B570" s="607" t="s">
        <v>1339</v>
      </c>
      <c r="C570" s="614" t="s">
        <v>39</v>
      </c>
      <c r="D570" s="580"/>
      <c r="E570" s="778"/>
      <c r="F570" s="581"/>
      <c r="G570" s="581"/>
      <c r="H570" s="581"/>
      <c r="I570" s="949"/>
      <c r="J570" s="949"/>
      <c r="K570" s="949"/>
      <c r="L570" s="809"/>
      <c r="M570" s="575"/>
      <c r="N570" s="575"/>
      <c r="O570" s="575"/>
      <c r="P570" s="575"/>
      <c r="Q570" s="575"/>
      <c r="R570" s="575"/>
      <c r="S570" s="809"/>
      <c r="T570" s="575"/>
      <c r="U570" s="575"/>
      <c r="V570" s="575"/>
      <c r="W570" s="575"/>
      <c r="X570" s="575"/>
      <c r="Y570" s="575"/>
      <c r="Z570" s="809"/>
      <c r="AA570" s="575"/>
      <c r="AB570" s="575"/>
      <c r="AC570" s="575"/>
      <c r="AD570" s="575"/>
      <c r="AE570" s="827"/>
      <c r="AF570" s="575"/>
      <c r="AG570" s="960"/>
      <c r="AH570" s="842"/>
      <c r="AI570" s="738">
        <f t="shared" si="28"/>
        <v>0</v>
      </c>
      <c r="AJ570" s="949">
        <v>0</v>
      </c>
      <c r="AK570" s="581">
        <f t="shared" si="26"/>
        <v>0</v>
      </c>
      <c r="AL570" s="750" t="s">
        <v>1734</v>
      </c>
      <c r="AM570" s="743">
        <f t="shared" si="27"/>
        <v>5.04</v>
      </c>
    </row>
    <row r="571" spans="1:39" s="560" customFormat="1">
      <c r="A571" s="607" t="s">
        <v>489</v>
      </c>
      <c r="B571" s="607" t="s">
        <v>1343</v>
      </c>
      <c r="C571" s="614" t="s">
        <v>39</v>
      </c>
      <c r="D571" s="580"/>
      <c r="E571" s="778"/>
      <c r="F571" s="581"/>
      <c r="G571" s="581"/>
      <c r="H571" s="581"/>
      <c r="I571" s="949"/>
      <c r="J571" s="949"/>
      <c r="K571" s="949"/>
      <c r="L571" s="809"/>
      <c r="M571" s="575"/>
      <c r="N571" s="575"/>
      <c r="O571" s="575"/>
      <c r="P571" s="575"/>
      <c r="Q571" s="575"/>
      <c r="R571" s="575"/>
      <c r="S571" s="809"/>
      <c r="T571" s="575"/>
      <c r="U571" s="575"/>
      <c r="V571" s="575"/>
      <c r="W571" s="575"/>
      <c r="X571" s="575"/>
      <c r="Y571" s="575"/>
      <c r="Z571" s="809"/>
      <c r="AA571" s="575"/>
      <c r="AB571" s="575"/>
      <c r="AC571" s="575"/>
      <c r="AD571" s="575"/>
      <c r="AE571" s="827"/>
      <c r="AF571" s="575"/>
      <c r="AG571" s="960"/>
      <c r="AH571" s="842"/>
      <c r="AI571" s="738">
        <f t="shared" si="28"/>
        <v>0</v>
      </c>
      <c r="AJ571" s="949">
        <v>0</v>
      </c>
      <c r="AK571" s="581">
        <f t="shared" si="26"/>
        <v>0</v>
      </c>
      <c r="AL571" s="750" t="s">
        <v>1441</v>
      </c>
      <c r="AM571" s="743">
        <f t="shared" si="27"/>
        <v>1</v>
      </c>
    </row>
    <row r="572" spans="1:39" s="560" customFormat="1">
      <c r="A572" s="607" t="s">
        <v>490</v>
      </c>
      <c r="B572" s="607" t="s">
        <v>1344</v>
      </c>
      <c r="C572" s="614" t="s">
        <v>40</v>
      </c>
      <c r="D572" s="580"/>
      <c r="E572" s="778"/>
      <c r="F572" s="581"/>
      <c r="G572" s="581"/>
      <c r="H572" s="581"/>
      <c r="I572" s="949"/>
      <c r="J572" s="949"/>
      <c r="K572" s="949"/>
      <c r="L572" s="809"/>
      <c r="M572" s="575"/>
      <c r="N572" s="575"/>
      <c r="O572" s="575"/>
      <c r="P572" s="575"/>
      <c r="Q572" s="575"/>
      <c r="R572" s="575"/>
      <c r="S572" s="809"/>
      <c r="T572" s="575"/>
      <c r="U572" s="575"/>
      <c r="V572" s="575"/>
      <c r="W572" s="575"/>
      <c r="X572" s="575"/>
      <c r="Y572" s="575"/>
      <c r="Z572" s="809"/>
      <c r="AA572" s="575"/>
      <c r="AB572" s="575"/>
      <c r="AC572" s="575"/>
      <c r="AD572" s="575"/>
      <c r="AE572" s="827"/>
      <c r="AF572" s="575"/>
      <c r="AG572" s="960"/>
      <c r="AH572" s="842"/>
      <c r="AI572" s="738">
        <f t="shared" si="28"/>
        <v>0</v>
      </c>
      <c r="AJ572" s="949">
        <v>0</v>
      </c>
      <c r="AK572" s="581">
        <f t="shared" si="26"/>
        <v>0</v>
      </c>
      <c r="AL572" s="750" t="s">
        <v>1588</v>
      </c>
      <c r="AM572" s="743">
        <f t="shared" si="27"/>
        <v>24</v>
      </c>
    </row>
    <row r="573" spans="1:39" s="560" customFormat="1">
      <c r="A573" s="607" t="s">
        <v>1020</v>
      </c>
      <c r="B573" s="607" t="s">
        <v>1345</v>
      </c>
      <c r="C573" s="614" t="s">
        <v>37</v>
      </c>
      <c r="D573" s="580"/>
      <c r="E573" s="778"/>
      <c r="F573" s="581"/>
      <c r="G573" s="581"/>
      <c r="H573" s="581"/>
      <c r="I573" s="949"/>
      <c r="J573" s="949"/>
      <c r="K573" s="949"/>
      <c r="L573" s="809"/>
      <c r="M573" s="575"/>
      <c r="N573" s="575"/>
      <c r="O573" s="575"/>
      <c r="P573" s="575"/>
      <c r="Q573" s="575"/>
      <c r="R573" s="575"/>
      <c r="S573" s="809"/>
      <c r="T573" s="575"/>
      <c r="U573" s="575"/>
      <c r="V573" s="575"/>
      <c r="W573" s="575"/>
      <c r="X573" s="575"/>
      <c r="Y573" s="575"/>
      <c r="Z573" s="809"/>
      <c r="AA573" s="575"/>
      <c r="AB573" s="575"/>
      <c r="AC573" s="575"/>
      <c r="AD573" s="575"/>
      <c r="AE573" s="827"/>
      <c r="AF573" s="575"/>
      <c r="AG573" s="960"/>
      <c r="AH573" s="842"/>
      <c r="AI573" s="738">
        <f t="shared" si="28"/>
        <v>0</v>
      </c>
      <c r="AJ573" s="949">
        <v>0</v>
      </c>
      <c r="AK573" s="581">
        <f t="shared" si="26"/>
        <v>0</v>
      </c>
      <c r="AL573" s="750"/>
      <c r="AM573" s="743">
        <f t="shared" si="27"/>
        <v>0</v>
      </c>
    </row>
    <row r="574" spans="1:39" s="560" customFormat="1">
      <c r="A574" s="492" t="s">
        <v>491</v>
      </c>
      <c r="B574" s="608" t="s">
        <v>1346</v>
      </c>
      <c r="C574" s="690"/>
      <c r="D574" s="580"/>
      <c r="E574" s="778"/>
      <c r="F574" s="581"/>
      <c r="G574" s="581"/>
      <c r="H574" s="581"/>
      <c r="I574" s="949"/>
      <c r="J574" s="949"/>
      <c r="K574" s="949"/>
      <c r="L574" s="809"/>
      <c r="M574" s="575"/>
      <c r="N574" s="575"/>
      <c r="O574" s="575"/>
      <c r="P574" s="575"/>
      <c r="Q574" s="575"/>
      <c r="R574" s="575"/>
      <c r="S574" s="809"/>
      <c r="T574" s="575"/>
      <c r="U574" s="575"/>
      <c r="V574" s="575"/>
      <c r="W574" s="575"/>
      <c r="X574" s="575"/>
      <c r="Y574" s="575"/>
      <c r="Z574" s="809"/>
      <c r="AA574" s="575"/>
      <c r="AB574" s="575"/>
      <c r="AC574" s="575"/>
      <c r="AD574" s="575"/>
      <c r="AE574" s="827"/>
      <c r="AF574" s="575"/>
      <c r="AG574" s="960"/>
      <c r="AH574" s="842"/>
      <c r="AI574" s="738">
        <f t="shared" si="28"/>
        <v>0</v>
      </c>
      <c r="AJ574" s="949">
        <v>0</v>
      </c>
      <c r="AK574" s="581">
        <f t="shared" si="26"/>
        <v>0</v>
      </c>
      <c r="AL574" s="750" t="s">
        <v>1479</v>
      </c>
      <c r="AM574" s="743">
        <f t="shared" si="27"/>
        <v>15</v>
      </c>
    </row>
    <row r="575" spans="1:39" s="560" customFormat="1">
      <c r="A575" s="607" t="s">
        <v>492</v>
      </c>
      <c r="B575" s="607" t="s">
        <v>1347</v>
      </c>
      <c r="C575" s="614" t="s">
        <v>1438</v>
      </c>
      <c r="D575" s="580"/>
      <c r="E575" s="778"/>
      <c r="F575" s="581"/>
      <c r="G575" s="581"/>
      <c r="H575" s="581"/>
      <c r="I575" s="949"/>
      <c r="J575" s="949"/>
      <c r="K575" s="949"/>
      <c r="L575" s="809"/>
      <c r="M575" s="575"/>
      <c r="N575" s="575"/>
      <c r="O575" s="575"/>
      <c r="P575" s="575"/>
      <c r="Q575" s="575"/>
      <c r="R575" s="575"/>
      <c r="S575" s="809"/>
      <c r="T575" s="575"/>
      <c r="U575" s="575"/>
      <c r="V575" s="575"/>
      <c r="W575" s="575"/>
      <c r="X575" s="575"/>
      <c r="Y575" s="575"/>
      <c r="Z575" s="809"/>
      <c r="AA575" s="575"/>
      <c r="AB575" s="575"/>
      <c r="AC575" s="575"/>
      <c r="AD575" s="575"/>
      <c r="AE575" s="827"/>
      <c r="AF575" s="575"/>
      <c r="AG575" s="960"/>
      <c r="AH575" s="842"/>
      <c r="AI575" s="738">
        <f t="shared" si="28"/>
        <v>0</v>
      </c>
      <c r="AJ575" s="949">
        <v>0</v>
      </c>
      <c r="AK575" s="581">
        <f t="shared" si="26"/>
        <v>0</v>
      </c>
      <c r="AL575" s="750" t="s">
        <v>1735</v>
      </c>
      <c r="AM575" s="743">
        <f t="shared" si="27"/>
        <v>31.6</v>
      </c>
    </row>
    <row r="576" spans="1:39" s="560" customFormat="1">
      <c r="A576" s="607" t="s">
        <v>493</v>
      </c>
      <c r="B576" s="607" t="s">
        <v>1348</v>
      </c>
      <c r="C576" s="614" t="s">
        <v>37</v>
      </c>
      <c r="D576" s="580"/>
      <c r="E576" s="778"/>
      <c r="F576" s="581"/>
      <c r="G576" s="581"/>
      <c r="H576" s="581"/>
      <c r="I576" s="949"/>
      <c r="J576" s="949"/>
      <c r="K576" s="949"/>
      <c r="L576" s="809"/>
      <c r="M576" s="575"/>
      <c r="N576" s="575"/>
      <c r="O576" s="575"/>
      <c r="P576" s="575"/>
      <c r="Q576" s="575"/>
      <c r="R576" s="575"/>
      <c r="S576" s="809"/>
      <c r="T576" s="575"/>
      <c r="U576" s="575"/>
      <c r="V576" s="575"/>
      <c r="W576" s="575"/>
      <c r="X576" s="575"/>
      <c r="Y576" s="575"/>
      <c r="Z576" s="809"/>
      <c r="AA576" s="575"/>
      <c r="AB576" s="575"/>
      <c r="AC576" s="575"/>
      <c r="AD576" s="575"/>
      <c r="AE576" s="827"/>
      <c r="AF576" s="575"/>
      <c r="AG576" s="960"/>
      <c r="AH576" s="842"/>
      <c r="AI576" s="738">
        <f t="shared" si="28"/>
        <v>0</v>
      </c>
      <c r="AJ576" s="949">
        <v>0</v>
      </c>
      <c r="AK576" s="581">
        <f t="shared" si="26"/>
        <v>0</v>
      </c>
      <c r="AL576" s="750" t="s">
        <v>1736</v>
      </c>
      <c r="AM576" s="743">
        <f t="shared" si="27"/>
        <v>46.35</v>
      </c>
    </row>
    <row r="577" spans="1:39" s="560" customFormat="1">
      <c r="A577" s="607" t="s">
        <v>494</v>
      </c>
      <c r="B577" s="607" t="s">
        <v>1349</v>
      </c>
      <c r="C577" s="614" t="s">
        <v>37</v>
      </c>
      <c r="D577" s="580"/>
      <c r="E577" s="778"/>
      <c r="F577" s="581"/>
      <c r="G577" s="581"/>
      <c r="H577" s="581"/>
      <c r="I577" s="949"/>
      <c r="J577" s="949"/>
      <c r="K577" s="949"/>
      <c r="L577" s="809"/>
      <c r="M577" s="575"/>
      <c r="N577" s="575"/>
      <c r="O577" s="575"/>
      <c r="P577" s="575"/>
      <c r="Q577" s="575"/>
      <c r="R577" s="575"/>
      <c r="S577" s="809"/>
      <c r="T577" s="575"/>
      <c r="U577" s="575"/>
      <c r="V577" s="575"/>
      <c r="W577" s="575"/>
      <c r="X577" s="575"/>
      <c r="Y577" s="575"/>
      <c r="Z577" s="809"/>
      <c r="AA577" s="575"/>
      <c r="AB577" s="575"/>
      <c r="AC577" s="575"/>
      <c r="AD577" s="575"/>
      <c r="AE577" s="827"/>
      <c r="AF577" s="575"/>
      <c r="AG577" s="960"/>
      <c r="AH577" s="842"/>
      <c r="AI577" s="738">
        <f t="shared" si="28"/>
        <v>0</v>
      </c>
      <c r="AJ577" s="949">
        <v>0</v>
      </c>
      <c r="AK577" s="581">
        <f t="shared" si="26"/>
        <v>0</v>
      </c>
      <c r="AL577" s="750" t="s">
        <v>1603</v>
      </c>
      <c r="AM577" s="743">
        <f t="shared" si="27"/>
        <v>6</v>
      </c>
    </row>
    <row r="578" spans="1:39" s="560" customFormat="1">
      <c r="A578" s="607" t="s">
        <v>1021</v>
      </c>
      <c r="B578" s="607" t="s">
        <v>1350</v>
      </c>
      <c r="C578" s="614" t="s">
        <v>1436</v>
      </c>
      <c r="D578" s="580"/>
      <c r="E578" s="778"/>
      <c r="F578" s="581"/>
      <c r="G578" s="581"/>
      <c r="H578" s="581"/>
      <c r="I578" s="949"/>
      <c r="J578" s="949"/>
      <c r="K578" s="949"/>
      <c r="L578" s="809"/>
      <c r="M578" s="575"/>
      <c r="N578" s="575"/>
      <c r="O578" s="575"/>
      <c r="P578" s="575"/>
      <c r="Q578" s="575"/>
      <c r="R578" s="575"/>
      <c r="S578" s="809"/>
      <c r="T578" s="575"/>
      <c r="U578" s="575"/>
      <c r="V578" s="575"/>
      <c r="W578" s="575"/>
      <c r="X578" s="575"/>
      <c r="Y578" s="575"/>
      <c r="Z578" s="809"/>
      <c r="AA578" s="575"/>
      <c r="AB578" s="575"/>
      <c r="AC578" s="575"/>
      <c r="AD578" s="575"/>
      <c r="AE578" s="827"/>
      <c r="AF578" s="575"/>
      <c r="AG578" s="960"/>
      <c r="AH578" s="842"/>
      <c r="AI578" s="738">
        <f t="shared" si="28"/>
        <v>0</v>
      </c>
      <c r="AJ578" s="949">
        <v>0</v>
      </c>
      <c r="AK578" s="581">
        <f t="shared" si="26"/>
        <v>0</v>
      </c>
      <c r="AL578" s="750" t="s">
        <v>1441</v>
      </c>
      <c r="AM578" s="743">
        <f t="shared" si="27"/>
        <v>1</v>
      </c>
    </row>
    <row r="579" spans="1:39" s="560" customFormat="1">
      <c r="A579" s="607" t="s">
        <v>1022</v>
      </c>
      <c r="B579" s="607" t="s">
        <v>1351</v>
      </c>
      <c r="C579" s="614" t="s">
        <v>1437</v>
      </c>
      <c r="D579" s="580"/>
      <c r="E579" s="778"/>
      <c r="F579" s="581"/>
      <c r="G579" s="581"/>
      <c r="H579" s="581"/>
      <c r="I579" s="949"/>
      <c r="J579" s="949"/>
      <c r="K579" s="949"/>
      <c r="L579" s="809"/>
      <c r="M579" s="575"/>
      <c r="N579" s="575"/>
      <c r="O579" s="575"/>
      <c r="P579" s="575"/>
      <c r="Q579" s="575"/>
      <c r="R579" s="575"/>
      <c r="S579" s="809"/>
      <c r="T579" s="575"/>
      <c r="U579" s="575"/>
      <c r="V579" s="575"/>
      <c r="W579" s="575"/>
      <c r="X579" s="575"/>
      <c r="Y579" s="575"/>
      <c r="Z579" s="809"/>
      <c r="AA579" s="575"/>
      <c r="AB579" s="575"/>
      <c r="AC579" s="575"/>
      <c r="AD579" s="575"/>
      <c r="AE579" s="827"/>
      <c r="AF579" s="575"/>
      <c r="AG579" s="960"/>
      <c r="AH579" s="842"/>
      <c r="AI579" s="738">
        <f t="shared" si="28"/>
        <v>0</v>
      </c>
      <c r="AJ579" s="949">
        <v>0</v>
      </c>
      <c r="AK579" s="581">
        <f t="shared" si="26"/>
        <v>0</v>
      </c>
      <c r="AL579" s="750" t="s">
        <v>1684</v>
      </c>
      <c r="AM579" s="743">
        <f t="shared" si="27"/>
        <v>2</v>
      </c>
    </row>
    <row r="580" spans="1:39" s="560" customFormat="1">
      <c r="A580" s="607" t="s">
        <v>1023</v>
      </c>
      <c r="B580" s="607" t="s">
        <v>1352</v>
      </c>
      <c r="C580" s="614" t="s">
        <v>1436</v>
      </c>
      <c r="D580" s="580"/>
      <c r="E580" s="778"/>
      <c r="F580" s="581"/>
      <c r="G580" s="581"/>
      <c r="H580" s="581"/>
      <c r="I580" s="949"/>
      <c r="J580" s="949"/>
      <c r="K580" s="949"/>
      <c r="L580" s="809"/>
      <c r="M580" s="575"/>
      <c r="N580" s="575"/>
      <c r="O580" s="575"/>
      <c r="P580" s="575"/>
      <c r="Q580" s="575"/>
      <c r="R580" s="575"/>
      <c r="S580" s="809"/>
      <c r="T580" s="575"/>
      <c r="U580" s="575"/>
      <c r="V580" s="575"/>
      <c r="W580" s="575"/>
      <c r="X580" s="575"/>
      <c r="Y580" s="575"/>
      <c r="Z580" s="809"/>
      <c r="AA580" s="575"/>
      <c r="AB580" s="575"/>
      <c r="AC580" s="575"/>
      <c r="AD580" s="575"/>
      <c r="AE580" s="827"/>
      <c r="AF580" s="575"/>
      <c r="AG580" s="960"/>
      <c r="AH580" s="842"/>
      <c r="AI580" s="738">
        <f t="shared" si="28"/>
        <v>0</v>
      </c>
      <c r="AJ580" s="949">
        <v>0</v>
      </c>
      <c r="AK580" s="581">
        <f t="shared" si="26"/>
        <v>0</v>
      </c>
      <c r="AL580" s="750"/>
      <c r="AM580" s="743">
        <f t="shared" si="27"/>
        <v>0</v>
      </c>
    </row>
    <row r="581" spans="1:39" s="560" customFormat="1">
      <c r="A581" s="492" t="s">
        <v>1024</v>
      </c>
      <c r="B581" s="608" t="s">
        <v>1353</v>
      </c>
      <c r="C581" s="614"/>
      <c r="D581" s="580"/>
      <c r="E581" s="778"/>
      <c r="F581" s="581"/>
      <c r="G581" s="581"/>
      <c r="H581" s="581"/>
      <c r="I581" s="949"/>
      <c r="J581" s="949"/>
      <c r="K581" s="949"/>
      <c r="L581" s="809"/>
      <c r="M581" s="575"/>
      <c r="N581" s="575"/>
      <c r="O581" s="575"/>
      <c r="P581" s="575"/>
      <c r="Q581" s="575"/>
      <c r="R581" s="575"/>
      <c r="S581" s="809"/>
      <c r="T581" s="575"/>
      <c r="U581" s="575"/>
      <c r="V581" s="575"/>
      <c r="W581" s="575"/>
      <c r="X581" s="575"/>
      <c r="Y581" s="575"/>
      <c r="Z581" s="809"/>
      <c r="AA581" s="575"/>
      <c r="AB581" s="575"/>
      <c r="AC581" s="575"/>
      <c r="AD581" s="575"/>
      <c r="AE581" s="827"/>
      <c r="AF581" s="575"/>
      <c r="AG581" s="960"/>
      <c r="AH581" s="842"/>
      <c r="AI581" s="738">
        <f t="shared" si="28"/>
        <v>0</v>
      </c>
      <c r="AJ581" s="949">
        <v>0</v>
      </c>
      <c r="AK581" s="581">
        <f t="shared" si="26"/>
        <v>0</v>
      </c>
      <c r="AL581" s="750" t="s">
        <v>1441</v>
      </c>
      <c r="AM581" s="743">
        <f t="shared" si="27"/>
        <v>1</v>
      </c>
    </row>
    <row r="582" spans="1:39" s="560" customFormat="1">
      <c r="A582" s="607" t="s">
        <v>495</v>
      </c>
      <c r="B582" s="607" t="s">
        <v>1354</v>
      </c>
      <c r="C582" s="614" t="s">
        <v>63</v>
      </c>
      <c r="D582" s="580"/>
      <c r="E582" s="778"/>
      <c r="F582" s="581"/>
      <c r="G582" s="581"/>
      <c r="H582" s="581"/>
      <c r="I582" s="949"/>
      <c r="J582" s="949"/>
      <c r="K582" s="949"/>
      <c r="L582" s="809"/>
      <c r="M582" s="575"/>
      <c r="N582" s="575"/>
      <c r="O582" s="575"/>
      <c r="P582" s="575"/>
      <c r="Q582" s="575"/>
      <c r="R582" s="575"/>
      <c r="S582" s="809"/>
      <c r="T582" s="575"/>
      <c r="U582" s="575"/>
      <c r="V582" s="575"/>
      <c r="W582" s="575"/>
      <c r="X582" s="575"/>
      <c r="Y582" s="575"/>
      <c r="Z582" s="809"/>
      <c r="AA582" s="575"/>
      <c r="AB582" s="575"/>
      <c r="AC582" s="575"/>
      <c r="AD582" s="575"/>
      <c r="AE582" s="827"/>
      <c r="AF582" s="575"/>
      <c r="AG582" s="960"/>
      <c r="AH582" s="842"/>
      <c r="AI582" s="738">
        <f t="shared" si="28"/>
        <v>0</v>
      </c>
      <c r="AJ582" s="949">
        <v>0</v>
      </c>
      <c r="AK582" s="581">
        <f t="shared" si="26"/>
        <v>0</v>
      </c>
      <c r="AL582" s="750" t="s">
        <v>1737</v>
      </c>
      <c r="AM582" s="743">
        <f t="shared" si="27"/>
        <v>77.95</v>
      </c>
    </row>
    <row r="583" spans="1:39" s="560" customFormat="1">
      <c r="A583" s="607" t="s">
        <v>496</v>
      </c>
      <c r="B583" s="607" t="s">
        <v>1355</v>
      </c>
      <c r="C583" s="614" t="s">
        <v>37</v>
      </c>
      <c r="D583" s="580"/>
      <c r="E583" s="778"/>
      <c r="F583" s="581"/>
      <c r="G583" s="581"/>
      <c r="H583" s="581"/>
      <c r="I583" s="949"/>
      <c r="J583" s="949"/>
      <c r="K583" s="949"/>
      <c r="L583" s="809"/>
      <c r="M583" s="575"/>
      <c r="N583" s="575"/>
      <c r="O583" s="575"/>
      <c r="P583" s="575"/>
      <c r="Q583" s="575"/>
      <c r="R583" s="575"/>
      <c r="S583" s="809"/>
      <c r="T583" s="575"/>
      <c r="U583" s="575"/>
      <c r="V583" s="575"/>
      <c r="W583" s="575"/>
      <c r="X583" s="575"/>
      <c r="Y583" s="575"/>
      <c r="Z583" s="809"/>
      <c r="AA583" s="575"/>
      <c r="AB583" s="575"/>
      <c r="AC583" s="575"/>
      <c r="AD583" s="575"/>
      <c r="AE583" s="827"/>
      <c r="AF583" s="575"/>
      <c r="AG583" s="960"/>
      <c r="AH583" s="842"/>
      <c r="AI583" s="738">
        <f t="shared" si="28"/>
        <v>0</v>
      </c>
      <c r="AJ583" s="949">
        <v>0</v>
      </c>
      <c r="AK583" s="581">
        <f t="shared" si="26"/>
        <v>0</v>
      </c>
      <c r="AL583" s="750"/>
      <c r="AM583" s="743">
        <f t="shared" si="27"/>
        <v>0</v>
      </c>
    </row>
    <row r="584" spans="1:39" s="560" customFormat="1">
      <c r="A584" s="492" t="s">
        <v>1025</v>
      </c>
      <c r="B584" s="608" t="s">
        <v>1356</v>
      </c>
      <c r="C584" s="614"/>
      <c r="D584" s="580"/>
      <c r="E584" s="778"/>
      <c r="F584" s="581"/>
      <c r="G584" s="581"/>
      <c r="H584" s="581"/>
      <c r="I584" s="949"/>
      <c r="J584" s="949"/>
      <c r="K584" s="949"/>
      <c r="L584" s="809"/>
      <c r="M584" s="575"/>
      <c r="N584" s="575"/>
      <c r="O584" s="575"/>
      <c r="P584" s="575"/>
      <c r="Q584" s="575"/>
      <c r="R584" s="575"/>
      <c r="S584" s="809"/>
      <c r="T584" s="575"/>
      <c r="U584" s="575"/>
      <c r="V584" s="575"/>
      <c r="W584" s="575"/>
      <c r="X584" s="575"/>
      <c r="Y584" s="575"/>
      <c r="Z584" s="809"/>
      <c r="AA584" s="575"/>
      <c r="AB584" s="575"/>
      <c r="AC584" s="575"/>
      <c r="AD584" s="575"/>
      <c r="AE584" s="827"/>
      <c r="AF584" s="575"/>
      <c r="AG584" s="960"/>
      <c r="AH584" s="842"/>
      <c r="AI584" s="738">
        <f t="shared" si="28"/>
        <v>0</v>
      </c>
      <c r="AJ584" s="949">
        <v>0</v>
      </c>
      <c r="AK584" s="581">
        <f t="shared" si="26"/>
        <v>0</v>
      </c>
      <c r="AL584" s="750" t="s">
        <v>1738</v>
      </c>
      <c r="AM584" s="743">
        <f t="shared" si="27"/>
        <v>110.78</v>
      </c>
    </row>
    <row r="585" spans="1:39" s="560" customFormat="1">
      <c r="A585" s="607" t="s">
        <v>1026</v>
      </c>
      <c r="B585" s="607" t="s">
        <v>1357</v>
      </c>
      <c r="C585" s="614" t="s">
        <v>37</v>
      </c>
      <c r="D585" s="580"/>
      <c r="E585" s="778"/>
      <c r="F585" s="581"/>
      <c r="G585" s="581"/>
      <c r="H585" s="581"/>
      <c r="I585" s="949"/>
      <c r="J585" s="949"/>
      <c r="K585" s="949"/>
      <c r="L585" s="809"/>
      <c r="M585" s="575"/>
      <c r="N585" s="575"/>
      <c r="O585" s="575"/>
      <c r="P585" s="575"/>
      <c r="Q585" s="575"/>
      <c r="R585" s="575"/>
      <c r="S585" s="809"/>
      <c r="T585" s="575"/>
      <c r="U585" s="575"/>
      <c r="V585" s="575"/>
      <c r="W585" s="575"/>
      <c r="X585" s="575"/>
      <c r="Y585" s="575"/>
      <c r="Z585" s="809"/>
      <c r="AA585" s="575"/>
      <c r="AB585" s="575"/>
      <c r="AC585" s="575"/>
      <c r="AD585" s="575"/>
      <c r="AE585" s="827"/>
      <c r="AF585" s="575"/>
      <c r="AG585" s="960"/>
      <c r="AH585" s="842"/>
      <c r="AI585" s="738">
        <f t="shared" si="28"/>
        <v>0</v>
      </c>
      <c r="AJ585" s="949">
        <v>0</v>
      </c>
      <c r="AK585" s="581">
        <f t="shared" si="26"/>
        <v>0</v>
      </c>
      <c r="AL585" s="750" t="s">
        <v>1739</v>
      </c>
      <c r="AM585" s="743">
        <f t="shared" si="27"/>
        <v>34</v>
      </c>
    </row>
    <row r="586" spans="1:39" s="560" customFormat="1">
      <c r="A586" s="607" t="s">
        <v>1027</v>
      </c>
      <c r="B586" s="607" t="s">
        <v>1358</v>
      </c>
      <c r="C586" s="614" t="s">
        <v>1436</v>
      </c>
      <c r="D586" s="580"/>
      <c r="E586" s="778"/>
      <c r="F586" s="581"/>
      <c r="G586" s="581"/>
      <c r="H586" s="581"/>
      <c r="I586" s="949"/>
      <c r="J586" s="949"/>
      <c r="K586" s="949"/>
      <c r="L586" s="809"/>
      <c r="M586" s="575"/>
      <c r="N586" s="575"/>
      <c r="O586" s="575"/>
      <c r="P586" s="575"/>
      <c r="Q586" s="575"/>
      <c r="R586" s="575"/>
      <c r="S586" s="809"/>
      <c r="T586" s="575"/>
      <c r="U586" s="575"/>
      <c r="V586" s="575"/>
      <c r="W586" s="575"/>
      <c r="X586" s="575"/>
      <c r="Y586" s="575"/>
      <c r="Z586" s="809"/>
      <c r="AA586" s="575"/>
      <c r="AB586" s="575"/>
      <c r="AC586" s="575"/>
      <c r="AD586" s="575"/>
      <c r="AE586" s="827"/>
      <c r="AF586" s="575"/>
      <c r="AG586" s="960"/>
      <c r="AH586" s="842"/>
      <c r="AI586" s="738">
        <f t="shared" si="28"/>
        <v>0</v>
      </c>
      <c r="AJ586" s="949">
        <v>0</v>
      </c>
      <c r="AK586" s="581">
        <f t="shared" si="26"/>
        <v>0</v>
      </c>
      <c r="AL586" s="750" t="s">
        <v>1740</v>
      </c>
      <c r="AM586" s="743">
        <f t="shared" si="27"/>
        <v>35.200000000000003</v>
      </c>
    </row>
    <row r="587" spans="1:39" s="560" customFormat="1">
      <c r="A587" s="607" t="s">
        <v>1028</v>
      </c>
      <c r="B587" s="607" t="s">
        <v>1359</v>
      </c>
      <c r="C587" s="614" t="s">
        <v>36</v>
      </c>
      <c r="D587" s="580"/>
      <c r="E587" s="778"/>
      <c r="F587" s="581"/>
      <c r="G587" s="581"/>
      <c r="H587" s="581"/>
      <c r="I587" s="949"/>
      <c r="J587" s="949"/>
      <c r="K587" s="949"/>
      <c r="L587" s="809"/>
      <c r="M587" s="575"/>
      <c r="N587" s="575"/>
      <c r="O587" s="575"/>
      <c r="P587" s="575"/>
      <c r="Q587" s="575"/>
      <c r="R587" s="575"/>
      <c r="S587" s="809"/>
      <c r="T587" s="575"/>
      <c r="U587" s="575"/>
      <c r="V587" s="575"/>
      <c r="W587" s="575"/>
      <c r="X587" s="575"/>
      <c r="Y587" s="575"/>
      <c r="Z587" s="809"/>
      <c r="AA587" s="575"/>
      <c r="AB587" s="575"/>
      <c r="AC587" s="575"/>
      <c r="AD587" s="575"/>
      <c r="AE587" s="827"/>
      <c r="AF587" s="575"/>
      <c r="AG587" s="960"/>
      <c r="AH587" s="842"/>
      <c r="AI587" s="738">
        <f t="shared" si="28"/>
        <v>0</v>
      </c>
      <c r="AJ587" s="949">
        <v>0</v>
      </c>
      <c r="AK587" s="581">
        <f t="shared" si="26"/>
        <v>0</v>
      </c>
      <c r="AL587" s="750" t="s">
        <v>1741</v>
      </c>
      <c r="AM587" s="743">
        <f t="shared" si="27"/>
        <v>1.32</v>
      </c>
    </row>
    <row r="588" spans="1:39" s="560" customFormat="1">
      <c r="A588" s="607" t="s">
        <v>1029</v>
      </c>
      <c r="B588" s="607" t="s">
        <v>1360</v>
      </c>
      <c r="C588" s="614" t="s">
        <v>39</v>
      </c>
      <c r="D588" s="580"/>
      <c r="E588" s="778"/>
      <c r="F588" s="581"/>
      <c r="G588" s="581"/>
      <c r="H588" s="581"/>
      <c r="I588" s="949"/>
      <c r="J588" s="949"/>
      <c r="K588" s="949"/>
      <c r="L588" s="809"/>
      <c r="M588" s="575"/>
      <c r="N588" s="575"/>
      <c r="O588" s="575"/>
      <c r="P588" s="575"/>
      <c r="Q588" s="575"/>
      <c r="R588" s="575"/>
      <c r="S588" s="809"/>
      <c r="T588" s="575"/>
      <c r="U588" s="575"/>
      <c r="V588" s="575"/>
      <c r="W588" s="575"/>
      <c r="X588" s="575"/>
      <c r="Y588" s="575"/>
      <c r="Z588" s="809"/>
      <c r="AA588" s="575"/>
      <c r="AB588" s="575"/>
      <c r="AC588" s="575"/>
      <c r="AD588" s="575"/>
      <c r="AE588" s="827"/>
      <c r="AF588" s="575"/>
      <c r="AG588" s="960"/>
      <c r="AH588" s="842"/>
      <c r="AI588" s="738">
        <f t="shared" si="28"/>
        <v>0</v>
      </c>
      <c r="AJ588" s="949">
        <v>0</v>
      </c>
      <c r="AK588" s="581">
        <f t="shared" si="26"/>
        <v>0</v>
      </c>
      <c r="AL588" s="750" t="s">
        <v>1742</v>
      </c>
      <c r="AM588" s="743">
        <f t="shared" si="27"/>
        <v>114.4</v>
      </c>
    </row>
    <row r="589" spans="1:39" s="560" customFormat="1">
      <c r="A589" s="607" t="s">
        <v>1030</v>
      </c>
      <c r="B589" s="607" t="s">
        <v>1361</v>
      </c>
      <c r="C589" s="614" t="s">
        <v>47</v>
      </c>
      <c r="D589" s="580"/>
      <c r="E589" s="778"/>
      <c r="F589" s="581"/>
      <c r="G589" s="581"/>
      <c r="H589" s="581"/>
      <c r="I589" s="949"/>
      <c r="J589" s="949"/>
      <c r="K589" s="949"/>
      <c r="L589" s="809"/>
      <c r="M589" s="575"/>
      <c r="N589" s="575"/>
      <c r="O589" s="575"/>
      <c r="P589" s="575"/>
      <c r="Q589" s="575"/>
      <c r="R589" s="575"/>
      <c r="S589" s="809"/>
      <c r="T589" s="575"/>
      <c r="U589" s="575"/>
      <c r="V589" s="575"/>
      <c r="W589" s="575"/>
      <c r="X589" s="575"/>
      <c r="Y589" s="575"/>
      <c r="Z589" s="809"/>
      <c r="AA589" s="575"/>
      <c r="AB589" s="575"/>
      <c r="AC589" s="575"/>
      <c r="AD589" s="575"/>
      <c r="AE589" s="827"/>
      <c r="AF589" s="575"/>
      <c r="AG589" s="960"/>
      <c r="AH589" s="842"/>
      <c r="AI589" s="738">
        <f t="shared" si="28"/>
        <v>0</v>
      </c>
      <c r="AJ589" s="949">
        <v>0</v>
      </c>
      <c r="AK589" s="581">
        <f t="shared" si="26"/>
        <v>0</v>
      </c>
      <c r="AL589" s="750" t="s">
        <v>1743</v>
      </c>
      <c r="AM589" s="743">
        <f t="shared" si="27"/>
        <v>89.98</v>
      </c>
    </row>
    <row r="590" spans="1:39" s="560" customFormat="1">
      <c r="A590" s="607" t="s">
        <v>1031</v>
      </c>
      <c r="B590" s="607" t="s">
        <v>1362</v>
      </c>
      <c r="C590" s="614" t="s">
        <v>37</v>
      </c>
      <c r="D590" s="580"/>
      <c r="E590" s="778"/>
      <c r="F590" s="581"/>
      <c r="G590" s="581"/>
      <c r="H590" s="581"/>
      <c r="I590" s="949"/>
      <c r="J590" s="949"/>
      <c r="K590" s="949"/>
      <c r="L590" s="809"/>
      <c r="M590" s="575"/>
      <c r="N590" s="575"/>
      <c r="O590" s="575"/>
      <c r="P590" s="575"/>
      <c r="Q590" s="575"/>
      <c r="R590" s="575"/>
      <c r="S590" s="809"/>
      <c r="T590" s="575"/>
      <c r="U590" s="575"/>
      <c r="V590" s="575"/>
      <c r="W590" s="575"/>
      <c r="X590" s="575"/>
      <c r="Y590" s="575"/>
      <c r="Z590" s="809"/>
      <c r="AA590" s="575"/>
      <c r="AB590" s="575"/>
      <c r="AC590" s="575"/>
      <c r="AD590" s="575"/>
      <c r="AE590" s="827"/>
      <c r="AF590" s="575"/>
      <c r="AG590" s="960"/>
      <c r="AH590" s="842"/>
      <c r="AI590" s="738">
        <f t="shared" si="28"/>
        <v>0</v>
      </c>
      <c r="AJ590" s="949">
        <v>0</v>
      </c>
      <c r="AK590" s="581">
        <f t="shared" ref="AK590:AK653" si="29">AI590+AJ590</f>
        <v>0</v>
      </c>
      <c r="AL590" s="750" t="s">
        <v>1744</v>
      </c>
      <c r="AM590" s="743">
        <f t="shared" ref="AM590:AM653" si="30">AL590-AK590</f>
        <v>33.78</v>
      </c>
    </row>
    <row r="591" spans="1:39" s="560" customFormat="1">
      <c r="A591" s="607" t="s">
        <v>1032</v>
      </c>
      <c r="B591" s="607" t="s">
        <v>1363</v>
      </c>
      <c r="C591" s="614" t="s">
        <v>37</v>
      </c>
      <c r="D591" s="580"/>
      <c r="E591" s="778"/>
      <c r="F591" s="581"/>
      <c r="G591" s="581"/>
      <c r="H591" s="581"/>
      <c r="I591" s="949"/>
      <c r="J591" s="949"/>
      <c r="K591" s="949"/>
      <c r="L591" s="809"/>
      <c r="M591" s="575"/>
      <c r="N591" s="575"/>
      <c r="O591" s="575"/>
      <c r="P591" s="575"/>
      <c r="Q591" s="575"/>
      <c r="R591" s="575"/>
      <c r="S591" s="809"/>
      <c r="T591" s="575"/>
      <c r="U591" s="575"/>
      <c r="V591" s="575"/>
      <c r="W591" s="575"/>
      <c r="X591" s="575"/>
      <c r="Y591" s="575"/>
      <c r="Z591" s="809"/>
      <c r="AA591" s="575"/>
      <c r="AB591" s="575"/>
      <c r="AC591" s="575"/>
      <c r="AD591" s="575"/>
      <c r="AE591" s="827"/>
      <c r="AF591" s="575"/>
      <c r="AG591" s="960"/>
      <c r="AH591" s="842"/>
      <c r="AI591" s="738">
        <f t="shared" si="28"/>
        <v>0</v>
      </c>
      <c r="AJ591" s="949">
        <v>0</v>
      </c>
      <c r="AK591" s="581">
        <f t="shared" si="29"/>
        <v>0</v>
      </c>
      <c r="AL591" s="750" t="s">
        <v>1745</v>
      </c>
      <c r="AM591" s="743">
        <f t="shared" si="30"/>
        <v>18</v>
      </c>
    </row>
    <row r="592" spans="1:39" s="560" customFormat="1">
      <c r="A592" s="607" t="s">
        <v>1033</v>
      </c>
      <c r="B592" s="607" t="s">
        <v>1339</v>
      </c>
      <c r="C592" s="614" t="s">
        <v>39</v>
      </c>
      <c r="D592" s="580"/>
      <c r="E592" s="778"/>
      <c r="F592" s="581"/>
      <c r="G592" s="581"/>
      <c r="H592" s="581"/>
      <c r="I592" s="949"/>
      <c r="J592" s="949"/>
      <c r="K592" s="949"/>
      <c r="L592" s="809"/>
      <c r="M592" s="575"/>
      <c r="N592" s="575"/>
      <c r="O592" s="575"/>
      <c r="P592" s="575"/>
      <c r="Q592" s="575"/>
      <c r="R592" s="575"/>
      <c r="S592" s="809"/>
      <c r="T592" s="575"/>
      <c r="U592" s="575"/>
      <c r="V592" s="575"/>
      <c r="W592" s="575"/>
      <c r="X592" s="575"/>
      <c r="Y592" s="575"/>
      <c r="Z592" s="809"/>
      <c r="AA592" s="575"/>
      <c r="AB592" s="575"/>
      <c r="AC592" s="575"/>
      <c r="AD592" s="575"/>
      <c r="AE592" s="827"/>
      <c r="AF592" s="575"/>
      <c r="AG592" s="960"/>
      <c r="AH592" s="842"/>
      <c r="AI592" s="738">
        <f t="shared" si="28"/>
        <v>0</v>
      </c>
      <c r="AJ592" s="949">
        <v>0</v>
      </c>
      <c r="AK592" s="581">
        <f t="shared" si="29"/>
        <v>0</v>
      </c>
      <c r="AL592" s="750" t="s">
        <v>1746</v>
      </c>
      <c r="AM592" s="743">
        <f t="shared" si="30"/>
        <v>56.2</v>
      </c>
    </row>
    <row r="593" spans="1:39" s="560" customFormat="1">
      <c r="A593" s="607" t="s">
        <v>1034</v>
      </c>
      <c r="B593" s="607" t="s">
        <v>1364</v>
      </c>
      <c r="C593" s="614" t="s">
        <v>37</v>
      </c>
      <c r="D593" s="580"/>
      <c r="E593" s="778"/>
      <c r="F593" s="581"/>
      <c r="G593" s="581"/>
      <c r="H593" s="581"/>
      <c r="I593" s="949"/>
      <c r="J593" s="949"/>
      <c r="K593" s="949"/>
      <c r="L593" s="809"/>
      <c r="M593" s="575"/>
      <c r="N593" s="575"/>
      <c r="O593" s="575"/>
      <c r="P593" s="575"/>
      <c r="Q593" s="575"/>
      <c r="R593" s="575"/>
      <c r="S593" s="809"/>
      <c r="T593" s="575"/>
      <c r="U593" s="575"/>
      <c r="V593" s="575"/>
      <c r="W593" s="575"/>
      <c r="X593" s="575"/>
      <c r="Y593" s="575"/>
      <c r="Z593" s="809"/>
      <c r="AA593" s="575"/>
      <c r="AB593" s="575"/>
      <c r="AC593" s="575"/>
      <c r="AD593" s="575"/>
      <c r="AE593" s="827"/>
      <c r="AF593" s="575"/>
      <c r="AG593" s="960"/>
      <c r="AH593" s="842"/>
      <c r="AI593" s="738">
        <f t="shared" si="28"/>
        <v>0</v>
      </c>
      <c r="AJ593" s="949">
        <v>0</v>
      </c>
      <c r="AK593" s="581">
        <f t="shared" si="29"/>
        <v>0</v>
      </c>
      <c r="AL593" s="750" t="s">
        <v>1746</v>
      </c>
      <c r="AM593" s="743">
        <f t="shared" si="30"/>
        <v>56.2</v>
      </c>
    </row>
    <row r="594" spans="1:39" s="560" customFormat="1">
      <c r="A594" s="607" t="s">
        <v>1035</v>
      </c>
      <c r="B594" s="607" t="s">
        <v>1365</v>
      </c>
      <c r="C594" s="614" t="s">
        <v>37</v>
      </c>
      <c r="D594" s="580"/>
      <c r="E594" s="778"/>
      <c r="F594" s="581"/>
      <c r="G594" s="581"/>
      <c r="H594" s="581"/>
      <c r="I594" s="949"/>
      <c r="J594" s="949"/>
      <c r="K594" s="949"/>
      <c r="L594" s="809"/>
      <c r="M594" s="575"/>
      <c r="N594" s="575"/>
      <c r="O594" s="575"/>
      <c r="P594" s="575"/>
      <c r="Q594" s="575"/>
      <c r="R594" s="575"/>
      <c r="S594" s="809"/>
      <c r="T594" s="575"/>
      <c r="U594" s="575"/>
      <c r="V594" s="575"/>
      <c r="W594" s="575"/>
      <c r="X594" s="575"/>
      <c r="Y594" s="575"/>
      <c r="Z594" s="809"/>
      <c r="AA594" s="575"/>
      <c r="AB594" s="575"/>
      <c r="AC594" s="575"/>
      <c r="AD594" s="575"/>
      <c r="AE594" s="827"/>
      <c r="AF594" s="575"/>
      <c r="AG594" s="960"/>
      <c r="AH594" s="842"/>
      <c r="AI594" s="738">
        <f t="shared" si="28"/>
        <v>0</v>
      </c>
      <c r="AJ594" s="949">
        <v>0</v>
      </c>
      <c r="AK594" s="581">
        <f t="shared" si="29"/>
        <v>0</v>
      </c>
      <c r="AL594" s="750" t="s">
        <v>1747</v>
      </c>
      <c r="AM594" s="743">
        <f t="shared" si="30"/>
        <v>59.01</v>
      </c>
    </row>
    <row r="595" spans="1:39" s="560" customFormat="1">
      <c r="A595" s="607" t="s">
        <v>1036</v>
      </c>
      <c r="B595" s="607" t="s">
        <v>1366</v>
      </c>
      <c r="C595" s="614" t="s">
        <v>36</v>
      </c>
      <c r="D595" s="580"/>
      <c r="E595" s="778"/>
      <c r="F595" s="581"/>
      <c r="G595" s="581"/>
      <c r="H595" s="581"/>
      <c r="I595" s="949"/>
      <c r="J595" s="949"/>
      <c r="K595" s="949"/>
      <c r="L595" s="809"/>
      <c r="M595" s="575"/>
      <c r="N595" s="575"/>
      <c r="O595" s="575"/>
      <c r="P595" s="575"/>
      <c r="Q595" s="575"/>
      <c r="R595" s="575"/>
      <c r="S595" s="809"/>
      <c r="T595" s="575"/>
      <c r="U595" s="575"/>
      <c r="V595" s="575"/>
      <c r="W595" s="575"/>
      <c r="X595" s="575"/>
      <c r="Y595" s="575"/>
      <c r="Z595" s="809"/>
      <c r="AA595" s="575"/>
      <c r="AB595" s="575"/>
      <c r="AC595" s="575"/>
      <c r="AD595" s="575"/>
      <c r="AE595" s="827"/>
      <c r="AF595" s="575"/>
      <c r="AG595" s="960"/>
      <c r="AH595" s="842"/>
      <c r="AI595" s="738">
        <f t="shared" si="28"/>
        <v>0</v>
      </c>
      <c r="AJ595" s="949">
        <v>0</v>
      </c>
      <c r="AK595" s="581">
        <f t="shared" si="29"/>
        <v>0</v>
      </c>
      <c r="AL595" s="750" t="s">
        <v>1748</v>
      </c>
      <c r="AM595" s="743">
        <f t="shared" si="30"/>
        <v>36.119999999999997</v>
      </c>
    </row>
    <row r="596" spans="1:39" s="560" customFormat="1">
      <c r="A596" s="607" t="s">
        <v>1037</v>
      </c>
      <c r="B596" s="607" t="s">
        <v>1367</v>
      </c>
      <c r="C596" s="614" t="s">
        <v>37</v>
      </c>
      <c r="D596" s="580"/>
      <c r="E596" s="778"/>
      <c r="F596" s="581"/>
      <c r="G596" s="581"/>
      <c r="H596" s="581"/>
      <c r="I596" s="949"/>
      <c r="J596" s="949"/>
      <c r="K596" s="949"/>
      <c r="L596" s="809"/>
      <c r="M596" s="575"/>
      <c r="N596" s="575"/>
      <c r="O596" s="575"/>
      <c r="P596" s="575"/>
      <c r="Q596" s="575"/>
      <c r="R596" s="575"/>
      <c r="S596" s="809"/>
      <c r="T596" s="575"/>
      <c r="U596" s="575"/>
      <c r="V596" s="575"/>
      <c r="W596" s="575"/>
      <c r="X596" s="575"/>
      <c r="Y596" s="575"/>
      <c r="Z596" s="809"/>
      <c r="AA596" s="575"/>
      <c r="AB596" s="575"/>
      <c r="AC596" s="575"/>
      <c r="AD596" s="575"/>
      <c r="AE596" s="827"/>
      <c r="AF596" s="575"/>
      <c r="AG596" s="960"/>
      <c r="AH596" s="842"/>
      <c r="AI596" s="738">
        <f t="shared" si="28"/>
        <v>0</v>
      </c>
      <c r="AJ596" s="949">
        <v>0</v>
      </c>
      <c r="AK596" s="581">
        <f t="shared" si="29"/>
        <v>0</v>
      </c>
      <c r="AL596" s="750" t="s">
        <v>1656</v>
      </c>
      <c r="AM596" s="743">
        <f t="shared" si="30"/>
        <v>20</v>
      </c>
    </row>
    <row r="597" spans="1:39" s="560" customFormat="1" ht="13.8" thickBot="1">
      <c r="A597" s="607" t="s">
        <v>1038</v>
      </c>
      <c r="B597" s="607" t="s">
        <v>1368</v>
      </c>
      <c r="C597" s="614" t="s">
        <v>37</v>
      </c>
      <c r="D597" s="580"/>
      <c r="E597" s="778"/>
      <c r="F597" s="581"/>
      <c r="G597" s="581"/>
      <c r="H597" s="581"/>
      <c r="I597" s="949"/>
      <c r="J597" s="949"/>
      <c r="K597" s="949"/>
      <c r="L597" s="809"/>
      <c r="M597" s="575"/>
      <c r="N597" s="575"/>
      <c r="O597" s="575"/>
      <c r="P597" s="575"/>
      <c r="Q597" s="575"/>
      <c r="R597" s="575"/>
      <c r="S597" s="809"/>
      <c r="T597" s="575"/>
      <c r="U597" s="575"/>
      <c r="V597" s="575"/>
      <c r="W597" s="575"/>
      <c r="X597" s="575"/>
      <c r="Y597" s="575"/>
      <c r="Z597" s="809"/>
      <c r="AA597" s="575"/>
      <c r="AB597" s="575"/>
      <c r="AC597" s="575"/>
      <c r="AD597" s="575"/>
      <c r="AE597" s="827"/>
      <c r="AF597" s="575"/>
      <c r="AG597" s="960"/>
      <c r="AH597" s="842"/>
      <c r="AI597" s="738">
        <f t="shared" si="28"/>
        <v>0</v>
      </c>
      <c r="AJ597" s="949">
        <v>0</v>
      </c>
      <c r="AK597" s="581">
        <f t="shared" si="29"/>
        <v>0</v>
      </c>
      <c r="AL597" s="750"/>
      <c r="AM597" s="743">
        <f t="shared" si="30"/>
        <v>0</v>
      </c>
    </row>
    <row r="598" spans="1:39" s="782" customFormat="1">
      <c r="A598" s="870" t="s">
        <v>497</v>
      </c>
      <c r="B598" s="870" t="s">
        <v>1369</v>
      </c>
      <c r="C598" s="898"/>
      <c r="D598" s="795"/>
      <c r="E598" s="778"/>
      <c r="F598" s="778"/>
      <c r="G598" s="778"/>
      <c r="H598" s="778"/>
      <c r="I598" s="777"/>
      <c r="J598" s="777"/>
      <c r="K598" s="777"/>
      <c r="L598" s="809"/>
      <c r="M598" s="809"/>
      <c r="N598" s="809"/>
      <c r="O598" s="809"/>
      <c r="P598" s="809"/>
      <c r="Q598" s="809"/>
      <c r="R598" s="809"/>
      <c r="S598" s="809"/>
      <c r="T598" s="809"/>
      <c r="U598" s="809"/>
      <c r="V598" s="809"/>
      <c r="W598" s="809"/>
      <c r="X598" s="809"/>
      <c r="Y598" s="809"/>
      <c r="Z598" s="809"/>
      <c r="AA598" s="809"/>
      <c r="AB598" s="809"/>
      <c r="AC598" s="809"/>
      <c r="AD598" s="809"/>
      <c r="AE598" s="827"/>
      <c r="AF598" s="809"/>
      <c r="AG598" s="960"/>
      <c r="AH598" s="873"/>
      <c r="AI598" s="839">
        <f t="shared" si="28"/>
        <v>0</v>
      </c>
      <c r="AJ598" s="777">
        <v>0</v>
      </c>
      <c r="AK598" s="778">
        <f t="shared" si="29"/>
        <v>0</v>
      </c>
      <c r="AL598" s="901"/>
      <c r="AM598" s="781">
        <f t="shared" si="30"/>
        <v>0</v>
      </c>
    </row>
    <row r="599" spans="1:39" s="560" customFormat="1">
      <c r="A599" s="492" t="s">
        <v>498</v>
      </c>
      <c r="B599" s="608" t="s">
        <v>1370</v>
      </c>
      <c r="C599" s="690"/>
      <c r="D599" s="580"/>
      <c r="E599" s="778"/>
      <c r="F599" s="581"/>
      <c r="G599" s="581"/>
      <c r="H599" s="581"/>
      <c r="I599" s="949"/>
      <c r="J599" s="949"/>
      <c r="K599" s="949"/>
      <c r="L599" s="809"/>
      <c r="M599" s="575"/>
      <c r="N599" s="575"/>
      <c r="O599" s="575"/>
      <c r="P599" s="575"/>
      <c r="Q599" s="575"/>
      <c r="R599" s="575"/>
      <c r="S599" s="809"/>
      <c r="T599" s="575"/>
      <c r="U599" s="575"/>
      <c r="V599" s="575"/>
      <c r="W599" s="575"/>
      <c r="X599" s="575"/>
      <c r="Y599" s="575"/>
      <c r="Z599" s="809"/>
      <c r="AA599" s="575"/>
      <c r="AB599" s="575"/>
      <c r="AC599" s="575"/>
      <c r="AD599" s="575"/>
      <c r="AE599" s="827"/>
      <c r="AF599" s="575"/>
      <c r="AG599" s="960"/>
      <c r="AH599" s="842"/>
      <c r="AI599" s="738">
        <f t="shared" si="28"/>
        <v>0</v>
      </c>
      <c r="AJ599" s="949">
        <v>0</v>
      </c>
      <c r="AK599" s="581">
        <f t="shared" si="29"/>
        <v>0</v>
      </c>
      <c r="AL599" s="750"/>
      <c r="AM599" s="743">
        <f t="shared" si="30"/>
        <v>0</v>
      </c>
    </row>
    <row r="600" spans="1:39" s="560" customFormat="1">
      <c r="A600" s="607" t="s">
        <v>1039</v>
      </c>
      <c r="B600" s="607" t="s">
        <v>1371</v>
      </c>
      <c r="C600" s="690"/>
      <c r="D600" s="580"/>
      <c r="E600" s="778"/>
      <c r="F600" s="581"/>
      <c r="G600" s="581"/>
      <c r="H600" s="581"/>
      <c r="I600" s="949"/>
      <c r="J600" s="949"/>
      <c r="K600" s="949"/>
      <c r="L600" s="809"/>
      <c r="M600" s="575"/>
      <c r="N600" s="575"/>
      <c r="O600" s="575"/>
      <c r="P600" s="575"/>
      <c r="Q600" s="575"/>
      <c r="R600" s="575"/>
      <c r="S600" s="809"/>
      <c r="T600" s="575"/>
      <c r="U600" s="575"/>
      <c r="V600" s="575"/>
      <c r="W600" s="575"/>
      <c r="X600" s="575"/>
      <c r="Y600" s="575"/>
      <c r="Z600" s="809"/>
      <c r="AA600" s="575"/>
      <c r="AB600" s="575"/>
      <c r="AC600" s="575"/>
      <c r="AD600" s="575"/>
      <c r="AE600" s="827"/>
      <c r="AF600" s="575"/>
      <c r="AG600" s="960"/>
      <c r="AH600" s="842"/>
      <c r="AI600" s="738">
        <f t="shared" si="28"/>
        <v>0</v>
      </c>
      <c r="AJ600" s="949">
        <v>0</v>
      </c>
      <c r="AK600" s="581">
        <f t="shared" si="29"/>
        <v>0</v>
      </c>
      <c r="AL600" s="750" t="s">
        <v>1441</v>
      </c>
      <c r="AM600" s="743">
        <f t="shared" si="30"/>
        <v>1</v>
      </c>
    </row>
    <row r="601" spans="1:39" s="560" customFormat="1">
      <c r="A601" s="604" t="s">
        <v>1040</v>
      </c>
      <c r="B601" s="604" t="s">
        <v>1372</v>
      </c>
      <c r="C601" s="614" t="s">
        <v>1439</v>
      </c>
      <c r="D601" s="580"/>
      <c r="E601" s="778"/>
      <c r="F601" s="581"/>
      <c r="G601" s="581"/>
      <c r="H601" s="581"/>
      <c r="I601" s="949"/>
      <c r="J601" s="949"/>
      <c r="K601" s="949"/>
      <c r="L601" s="809"/>
      <c r="M601" s="575"/>
      <c r="N601" s="575"/>
      <c r="O601" s="575"/>
      <c r="P601" s="575"/>
      <c r="Q601" s="575"/>
      <c r="R601" s="575"/>
      <c r="S601" s="809"/>
      <c r="T601" s="575"/>
      <c r="U601" s="575"/>
      <c r="V601" s="575"/>
      <c r="W601" s="575"/>
      <c r="X601" s="575"/>
      <c r="Y601" s="575"/>
      <c r="Z601" s="809"/>
      <c r="AA601" s="575"/>
      <c r="AB601" s="575"/>
      <c r="AC601" s="575"/>
      <c r="AD601" s="575"/>
      <c r="AE601" s="827"/>
      <c r="AF601" s="575"/>
      <c r="AG601" s="960"/>
      <c r="AH601" s="842"/>
      <c r="AI601" s="738">
        <f t="shared" si="28"/>
        <v>0</v>
      </c>
      <c r="AJ601" s="949">
        <v>0</v>
      </c>
      <c r="AK601" s="581">
        <f t="shared" si="29"/>
        <v>0</v>
      </c>
      <c r="AL601" s="750" t="s">
        <v>1441</v>
      </c>
      <c r="AM601" s="743">
        <f t="shared" si="30"/>
        <v>1</v>
      </c>
    </row>
    <row r="602" spans="1:39" s="560" customFormat="1">
      <c r="A602" s="604" t="s">
        <v>1041</v>
      </c>
      <c r="B602" s="604" t="s">
        <v>1373</v>
      </c>
      <c r="C602" s="614" t="s">
        <v>1439</v>
      </c>
      <c r="D602" s="580"/>
      <c r="E602" s="778"/>
      <c r="F602" s="581"/>
      <c r="G602" s="581"/>
      <c r="H602" s="581"/>
      <c r="I602" s="949"/>
      <c r="J602" s="949"/>
      <c r="K602" s="949"/>
      <c r="L602" s="809"/>
      <c r="M602" s="575"/>
      <c r="N602" s="575"/>
      <c r="O602" s="575"/>
      <c r="P602" s="575"/>
      <c r="Q602" s="575"/>
      <c r="R602" s="575"/>
      <c r="S602" s="809"/>
      <c r="T602" s="575"/>
      <c r="U602" s="575"/>
      <c r="V602" s="575"/>
      <c r="W602" s="575"/>
      <c r="X602" s="575"/>
      <c r="Y602" s="575"/>
      <c r="Z602" s="809"/>
      <c r="AA602" s="575"/>
      <c r="AB602" s="575"/>
      <c r="AC602" s="575"/>
      <c r="AD602" s="575"/>
      <c r="AE602" s="827"/>
      <c r="AF602" s="575"/>
      <c r="AG602" s="960"/>
      <c r="AH602" s="842"/>
      <c r="AI602" s="738">
        <f t="shared" si="28"/>
        <v>0</v>
      </c>
      <c r="AJ602" s="949">
        <v>0</v>
      </c>
      <c r="AK602" s="581">
        <f t="shared" si="29"/>
        <v>0</v>
      </c>
      <c r="AL602" s="750" t="s">
        <v>1441</v>
      </c>
      <c r="AM602" s="743">
        <f t="shared" si="30"/>
        <v>1</v>
      </c>
    </row>
    <row r="603" spans="1:39" s="560" customFormat="1">
      <c r="A603" s="604" t="s">
        <v>1042</v>
      </c>
      <c r="B603" s="604" t="s">
        <v>1374</v>
      </c>
      <c r="C603" s="614" t="s">
        <v>1439</v>
      </c>
      <c r="D603" s="580"/>
      <c r="E603" s="778"/>
      <c r="F603" s="581"/>
      <c r="G603" s="581"/>
      <c r="H603" s="581"/>
      <c r="I603" s="949"/>
      <c r="J603" s="949"/>
      <c r="K603" s="949"/>
      <c r="L603" s="809"/>
      <c r="M603" s="575"/>
      <c r="N603" s="575"/>
      <c r="O603" s="575"/>
      <c r="P603" s="575"/>
      <c r="Q603" s="575"/>
      <c r="R603" s="575"/>
      <c r="S603" s="809"/>
      <c r="T603" s="575"/>
      <c r="U603" s="575"/>
      <c r="V603" s="575"/>
      <c r="W603" s="575"/>
      <c r="X603" s="575"/>
      <c r="Y603" s="575"/>
      <c r="Z603" s="809"/>
      <c r="AA603" s="575"/>
      <c r="AB603" s="575"/>
      <c r="AC603" s="575"/>
      <c r="AD603" s="575"/>
      <c r="AE603" s="827"/>
      <c r="AF603" s="575"/>
      <c r="AG603" s="960"/>
      <c r="AH603" s="842"/>
      <c r="AI603" s="738">
        <f t="shared" si="28"/>
        <v>0</v>
      </c>
      <c r="AJ603" s="949">
        <v>0</v>
      </c>
      <c r="AK603" s="581">
        <f t="shared" si="29"/>
        <v>0</v>
      </c>
      <c r="AL603" s="750" t="s">
        <v>1441</v>
      </c>
      <c r="AM603" s="743">
        <f t="shared" si="30"/>
        <v>1</v>
      </c>
    </row>
    <row r="604" spans="1:39" s="560" customFormat="1">
      <c r="A604" s="604" t="s">
        <v>1043</v>
      </c>
      <c r="B604" s="604" t="s">
        <v>1375</v>
      </c>
      <c r="C604" s="614" t="s">
        <v>1439</v>
      </c>
      <c r="D604" s="580"/>
      <c r="E604" s="778"/>
      <c r="F604" s="581"/>
      <c r="G604" s="581"/>
      <c r="H604" s="581"/>
      <c r="I604" s="949"/>
      <c r="J604" s="949"/>
      <c r="K604" s="949"/>
      <c r="L604" s="809"/>
      <c r="M604" s="575"/>
      <c r="N604" s="575"/>
      <c r="O604" s="575"/>
      <c r="P604" s="575"/>
      <c r="Q604" s="575"/>
      <c r="R604" s="575"/>
      <c r="S604" s="809"/>
      <c r="T604" s="575"/>
      <c r="U604" s="575"/>
      <c r="V604" s="575"/>
      <c r="W604" s="575"/>
      <c r="X604" s="575"/>
      <c r="Y604" s="575"/>
      <c r="Z604" s="809"/>
      <c r="AA604" s="575"/>
      <c r="AB604" s="575"/>
      <c r="AC604" s="575"/>
      <c r="AD604" s="575"/>
      <c r="AE604" s="827"/>
      <c r="AF604" s="575"/>
      <c r="AG604" s="960"/>
      <c r="AH604" s="842"/>
      <c r="AI604" s="738">
        <f t="shared" si="28"/>
        <v>0</v>
      </c>
      <c r="AJ604" s="949">
        <v>0</v>
      </c>
      <c r="AK604" s="581">
        <f t="shared" si="29"/>
        <v>0</v>
      </c>
      <c r="AL604" s="750"/>
      <c r="AM604" s="743">
        <f t="shared" si="30"/>
        <v>0</v>
      </c>
    </row>
    <row r="605" spans="1:39" s="782" customFormat="1">
      <c r="A605" s="885" t="s">
        <v>1044</v>
      </c>
      <c r="B605" s="885" t="s">
        <v>1376</v>
      </c>
      <c r="C605" s="898"/>
      <c r="D605" s="795"/>
      <c r="E605" s="778"/>
      <c r="F605" s="778"/>
      <c r="G605" s="778"/>
      <c r="H605" s="778"/>
      <c r="I605" s="777"/>
      <c r="J605" s="777"/>
      <c r="K605" s="777"/>
      <c r="L605" s="809"/>
      <c r="M605" s="809"/>
      <c r="N605" s="809"/>
      <c r="O605" s="809"/>
      <c r="P605" s="809"/>
      <c r="Q605" s="809"/>
      <c r="R605" s="809"/>
      <c r="S605" s="809"/>
      <c r="T605" s="809"/>
      <c r="U605" s="809"/>
      <c r="V605" s="809"/>
      <c r="W605" s="809"/>
      <c r="X605" s="809"/>
      <c r="Y605" s="809"/>
      <c r="Z605" s="809"/>
      <c r="AA605" s="809"/>
      <c r="AB605" s="809"/>
      <c r="AC605" s="809"/>
      <c r="AD605" s="809"/>
      <c r="AE605" s="827"/>
      <c r="AF605" s="809"/>
      <c r="AG605" s="960"/>
      <c r="AH605" s="873"/>
      <c r="AI605" s="839">
        <f t="shared" si="28"/>
        <v>0</v>
      </c>
      <c r="AJ605" s="777">
        <v>0</v>
      </c>
      <c r="AK605" s="778">
        <f t="shared" si="29"/>
        <v>0</v>
      </c>
      <c r="AL605" s="901" t="s">
        <v>1749</v>
      </c>
      <c r="AM605" s="781">
        <f t="shared" si="30"/>
        <v>43</v>
      </c>
    </row>
    <row r="606" spans="1:39" s="782" customFormat="1">
      <c r="A606" s="772" t="s">
        <v>1045</v>
      </c>
      <c r="B606" s="772" t="s">
        <v>1376</v>
      </c>
      <c r="C606" s="877" t="s">
        <v>1438</v>
      </c>
      <c r="D606" s="795"/>
      <c r="E606" s="778"/>
      <c r="F606" s="778"/>
      <c r="G606" s="778"/>
      <c r="H606" s="778"/>
      <c r="I606" s="777"/>
      <c r="J606" s="777"/>
      <c r="K606" s="777"/>
      <c r="L606" s="809"/>
      <c r="M606" s="809"/>
      <c r="N606" s="809"/>
      <c r="O606" s="809"/>
      <c r="P606" s="809"/>
      <c r="Q606" s="809"/>
      <c r="R606" s="809"/>
      <c r="S606" s="809"/>
      <c r="T606" s="809"/>
      <c r="U606" s="809"/>
      <c r="V606" s="809"/>
      <c r="W606" s="809"/>
      <c r="X606" s="809"/>
      <c r="Y606" s="809"/>
      <c r="Z606" s="809"/>
      <c r="AA606" s="809"/>
      <c r="AB606" s="809"/>
      <c r="AC606" s="809"/>
      <c r="AD606" s="809"/>
      <c r="AE606" s="827"/>
      <c r="AF606" s="809"/>
      <c r="AG606" s="960"/>
      <c r="AH606" s="873"/>
      <c r="AI606" s="839">
        <f t="shared" si="28"/>
        <v>0</v>
      </c>
      <c r="AJ606" s="777">
        <v>0</v>
      </c>
      <c r="AK606" s="778">
        <f t="shared" si="29"/>
        <v>0</v>
      </c>
      <c r="AL606" s="901" t="s">
        <v>1750</v>
      </c>
      <c r="AM606" s="781">
        <f t="shared" si="30"/>
        <v>7</v>
      </c>
    </row>
    <row r="607" spans="1:39" s="782" customFormat="1">
      <c r="A607" s="772" t="s">
        <v>1046</v>
      </c>
      <c r="B607" s="772" t="s">
        <v>1377</v>
      </c>
      <c r="C607" s="877" t="s">
        <v>1438</v>
      </c>
      <c r="D607" s="795"/>
      <c r="E607" s="778"/>
      <c r="F607" s="778"/>
      <c r="G607" s="778"/>
      <c r="H607" s="778"/>
      <c r="I607" s="777"/>
      <c r="J607" s="777"/>
      <c r="K607" s="777"/>
      <c r="L607" s="809"/>
      <c r="M607" s="809"/>
      <c r="N607" s="809"/>
      <c r="O607" s="809"/>
      <c r="P607" s="809"/>
      <c r="Q607" s="809"/>
      <c r="R607" s="809"/>
      <c r="S607" s="809"/>
      <c r="T607" s="809"/>
      <c r="U607" s="809"/>
      <c r="V607" s="809"/>
      <c r="W607" s="809"/>
      <c r="X607" s="809"/>
      <c r="Y607" s="809"/>
      <c r="Z607" s="809"/>
      <c r="AA607" s="809"/>
      <c r="AB607" s="809"/>
      <c r="AC607" s="809"/>
      <c r="AD607" s="809"/>
      <c r="AE607" s="827"/>
      <c r="AF607" s="809"/>
      <c r="AG607" s="960"/>
      <c r="AH607" s="873"/>
      <c r="AI607" s="839">
        <f t="shared" si="28"/>
        <v>0</v>
      </c>
      <c r="AJ607" s="777">
        <v>0</v>
      </c>
      <c r="AK607" s="778">
        <f t="shared" si="29"/>
        <v>0</v>
      </c>
      <c r="AL607" s="901"/>
      <c r="AM607" s="781">
        <f t="shared" si="30"/>
        <v>0</v>
      </c>
    </row>
    <row r="608" spans="1:39" s="560" customFormat="1">
      <c r="A608" s="607" t="s">
        <v>1047</v>
      </c>
      <c r="B608" s="607" t="s">
        <v>1378</v>
      </c>
      <c r="C608" s="690"/>
      <c r="D608" s="580"/>
      <c r="E608" s="778"/>
      <c r="F608" s="581"/>
      <c r="G608" s="581"/>
      <c r="H608" s="581"/>
      <c r="I608" s="949"/>
      <c r="J608" s="949"/>
      <c r="K608" s="949"/>
      <c r="L608" s="809"/>
      <c r="M608" s="575"/>
      <c r="N608" s="575"/>
      <c r="O608" s="575"/>
      <c r="P608" s="575"/>
      <c r="Q608" s="575"/>
      <c r="R608" s="575"/>
      <c r="S608" s="809"/>
      <c r="T608" s="575"/>
      <c r="U608" s="575"/>
      <c r="V608" s="575"/>
      <c r="W608" s="575"/>
      <c r="X608" s="575"/>
      <c r="Y608" s="575"/>
      <c r="Z608" s="809"/>
      <c r="AA608" s="575"/>
      <c r="AB608" s="575"/>
      <c r="AC608" s="575"/>
      <c r="AD608" s="575"/>
      <c r="AE608" s="827"/>
      <c r="AF608" s="575"/>
      <c r="AG608" s="960"/>
      <c r="AH608" s="842"/>
      <c r="AI608" s="738">
        <f t="shared" si="28"/>
        <v>0</v>
      </c>
      <c r="AJ608" s="949">
        <v>0</v>
      </c>
      <c r="AK608" s="581">
        <f t="shared" si="29"/>
        <v>0</v>
      </c>
      <c r="AL608" s="750" t="s">
        <v>1751</v>
      </c>
      <c r="AM608" s="743">
        <f t="shared" si="30"/>
        <v>17</v>
      </c>
    </row>
    <row r="609" spans="1:39" s="560" customFormat="1">
      <c r="A609" s="604" t="s">
        <v>1048</v>
      </c>
      <c r="B609" s="604" t="s">
        <v>1379</v>
      </c>
      <c r="C609" s="614" t="s">
        <v>35</v>
      </c>
      <c r="D609" s="580"/>
      <c r="E609" s="778"/>
      <c r="F609" s="581"/>
      <c r="G609" s="581"/>
      <c r="H609" s="581"/>
      <c r="I609" s="949"/>
      <c r="J609" s="949"/>
      <c r="K609" s="949"/>
      <c r="L609" s="809"/>
      <c r="M609" s="575"/>
      <c r="N609" s="575"/>
      <c r="O609" s="575"/>
      <c r="P609" s="575"/>
      <c r="Q609" s="575"/>
      <c r="R609" s="575"/>
      <c r="S609" s="809"/>
      <c r="T609" s="575"/>
      <c r="U609" s="575"/>
      <c r="V609" s="575"/>
      <c r="W609" s="575"/>
      <c r="X609" s="575"/>
      <c r="Y609" s="575"/>
      <c r="Z609" s="809"/>
      <c r="AA609" s="575"/>
      <c r="AB609" s="575"/>
      <c r="AC609" s="575"/>
      <c r="AD609" s="575"/>
      <c r="AE609" s="827"/>
      <c r="AF609" s="575"/>
      <c r="AG609" s="960"/>
      <c r="AH609" s="842"/>
      <c r="AI609" s="738">
        <f t="shared" si="28"/>
        <v>0</v>
      </c>
      <c r="AJ609" s="949">
        <v>0</v>
      </c>
      <c r="AK609" s="581">
        <f t="shared" si="29"/>
        <v>0</v>
      </c>
      <c r="AL609" s="750" t="s">
        <v>1752</v>
      </c>
      <c r="AM609" s="743">
        <f t="shared" si="30"/>
        <v>23</v>
      </c>
    </row>
    <row r="610" spans="1:39" s="560" customFormat="1">
      <c r="A610" s="604" t="s">
        <v>1049</v>
      </c>
      <c r="B610" s="604" t="s">
        <v>1380</v>
      </c>
      <c r="C610" s="614" t="s">
        <v>35</v>
      </c>
      <c r="D610" s="580"/>
      <c r="E610" s="778"/>
      <c r="F610" s="581"/>
      <c r="G610" s="581"/>
      <c r="H610" s="581"/>
      <c r="I610" s="949"/>
      <c r="J610" s="949"/>
      <c r="K610" s="949"/>
      <c r="L610" s="809"/>
      <c r="M610" s="575"/>
      <c r="N610" s="575"/>
      <c r="O610" s="575"/>
      <c r="P610" s="575"/>
      <c r="Q610" s="575"/>
      <c r="R610" s="575"/>
      <c r="S610" s="809"/>
      <c r="T610" s="575"/>
      <c r="U610" s="575"/>
      <c r="V610" s="575"/>
      <c r="W610" s="575"/>
      <c r="X610" s="575"/>
      <c r="Y610" s="575"/>
      <c r="Z610" s="809"/>
      <c r="AA610" s="575"/>
      <c r="AB610" s="575"/>
      <c r="AC610" s="575"/>
      <c r="AD610" s="575"/>
      <c r="AE610" s="827"/>
      <c r="AF610" s="575"/>
      <c r="AG610" s="960"/>
      <c r="AH610" s="842"/>
      <c r="AI610" s="738">
        <f t="shared" si="28"/>
        <v>0</v>
      </c>
      <c r="AJ610" s="949">
        <v>0</v>
      </c>
      <c r="AK610" s="581">
        <f t="shared" si="29"/>
        <v>0</v>
      </c>
      <c r="AL610" s="750" t="s">
        <v>1684</v>
      </c>
      <c r="AM610" s="743">
        <f t="shared" si="30"/>
        <v>2</v>
      </c>
    </row>
    <row r="611" spans="1:39" s="560" customFormat="1">
      <c r="A611" s="604" t="s">
        <v>1050</v>
      </c>
      <c r="B611" s="604" t="s">
        <v>1381</v>
      </c>
      <c r="C611" s="614" t="s">
        <v>35</v>
      </c>
      <c r="D611" s="580"/>
      <c r="E611" s="778"/>
      <c r="F611" s="581"/>
      <c r="G611" s="581"/>
      <c r="H611" s="581"/>
      <c r="I611" s="949"/>
      <c r="J611" s="949"/>
      <c r="K611" s="949"/>
      <c r="L611" s="809"/>
      <c r="M611" s="575"/>
      <c r="N611" s="575"/>
      <c r="O611" s="575"/>
      <c r="P611" s="575"/>
      <c r="Q611" s="575"/>
      <c r="R611" s="575"/>
      <c r="S611" s="809"/>
      <c r="T611" s="575"/>
      <c r="U611" s="575"/>
      <c r="V611" s="575"/>
      <c r="W611" s="575"/>
      <c r="X611" s="575"/>
      <c r="Y611" s="575"/>
      <c r="Z611" s="809"/>
      <c r="AA611" s="575"/>
      <c r="AB611" s="575"/>
      <c r="AC611" s="575"/>
      <c r="AD611" s="575"/>
      <c r="AE611" s="827"/>
      <c r="AF611" s="575"/>
      <c r="AG611" s="960"/>
      <c r="AH611" s="842"/>
      <c r="AI611" s="738">
        <f t="shared" si="28"/>
        <v>0</v>
      </c>
      <c r="AJ611" s="949">
        <v>0</v>
      </c>
      <c r="AK611" s="581">
        <f t="shared" si="29"/>
        <v>0</v>
      </c>
      <c r="AL611" s="750" t="s">
        <v>1441</v>
      </c>
      <c r="AM611" s="743">
        <f t="shared" si="30"/>
        <v>1</v>
      </c>
    </row>
    <row r="612" spans="1:39" s="560" customFormat="1">
      <c r="A612" s="604" t="s">
        <v>1051</v>
      </c>
      <c r="B612" s="604" t="s">
        <v>1382</v>
      </c>
      <c r="C612" s="614" t="s">
        <v>35</v>
      </c>
      <c r="D612" s="580"/>
      <c r="E612" s="778"/>
      <c r="F612" s="581"/>
      <c r="G612" s="581"/>
      <c r="H612" s="581"/>
      <c r="I612" s="949"/>
      <c r="J612" s="949"/>
      <c r="K612" s="949"/>
      <c r="L612" s="809"/>
      <c r="M612" s="575"/>
      <c r="N612" s="575"/>
      <c r="O612" s="575"/>
      <c r="P612" s="575"/>
      <c r="Q612" s="575"/>
      <c r="R612" s="575"/>
      <c r="S612" s="809"/>
      <c r="T612" s="575"/>
      <c r="U612" s="575"/>
      <c r="V612" s="575"/>
      <c r="W612" s="575"/>
      <c r="X612" s="575"/>
      <c r="Y612" s="575"/>
      <c r="Z612" s="809"/>
      <c r="AA612" s="575"/>
      <c r="AB612" s="575"/>
      <c r="AC612" s="575"/>
      <c r="AD612" s="575"/>
      <c r="AE612" s="827"/>
      <c r="AF612" s="575"/>
      <c r="AG612" s="960"/>
      <c r="AH612" s="842"/>
      <c r="AI612" s="738">
        <f t="shared" si="28"/>
        <v>0</v>
      </c>
      <c r="AJ612" s="949">
        <v>0</v>
      </c>
      <c r="AK612" s="581">
        <f t="shared" si="29"/>
        <v>0</v>
      </c>
      <c r="AL612" s="750" t="s">
        <v>1750</v>
      </c>
      <c r="AM612" s="743">
        <f t="shared" si="30"/>
        <v>7</v>
      </c>
    </row>
    <row r="613" spans="1:39" s="560" customFormat="1">
      <c r="A613" s="604" t="s">
        <v>1052</v>
      </c>
      <c r="B613" s="604" t="s">
        <v>1383</v>
      </c>
      <c r="C613" s="614" t="s">
        <v>35</v>
      </c>
      <c r="D613" s="580"/>
      <c r="E613" s="778"/>
      <c r="F613" s="581"/>
      <c r="G613" s="581"/>
      <c r="H613" s="581"/>
      <c r="I613" s="949"/>
      <c r="J613" s="949"/>
      <c r="K613" s="949"/>
      <c r="L613" s="809"/>
      <c r="M613" s="575"/>
      <c r="N613" s="575"/>
      <c r="O613" s="575"/>
      <c r="P613" s="575"/>
      <c r="Q613" s="575"/>
      <c r="R613" s="575"/>
      <c r="S613" s="809"/>
      <c r="T613" s="575"/>
      <c r="U613" s="575"/>
      <c r="V613" s="575"/>
      <c r="W613" s="575"/>
      <c r="X613" s="575"/>
      <c r="Y613" s="575"/>
      <c r="Z613" s="809"/>
      <c r="AA613" s="575"/>
      <c r="AB613" s="575"/>
      <c r="AC613" s="575"/>
      <c r="AD613" s="575"/>
      <c r="AE613" s="827"/>
      <c r="AF613" s="575"/>
      <c r="AG613" s="960"/>
      <c r="AH613" s="842"/>
      <c r="AI613" s="738">
        <f t="shared" si="28"/>
        <v>0</v>
      </c>
      <c r="AJ613" s="949">
        <v>0</v>
      </c>
      <c r="AK613" s="581">
        <f t="shared" si="29"/>
        <v>0</v>
      </c>
      <c r="AL613" s="750"/>
      <c r="AM613" s="743">
        <f t="shared" si="30"/>
        <v>0</v>
      </c>
    </row>
    <row r="614" spans="1:39" s="782" customFormat="1">
      <c r="A614" s="885" t="s">
        <v>1053</v>
      </c>
      <c r="B614" s="885" t="s">
        <v>1384</v>
      </c>
      <c r="C614" s="898"/>
      <c r="D614" s="795"/>
      <c r="E614" s="778"/>
      <c r="F614" s="778"/>
      <c r="G614" s="778"/>
      <c r="H614" s="778"/>
      <c r="I614" s="777"/>
      <c r="J614" s="777"/>
      <c r="K614" s="777"/>
      <c r="L614" s="809"/>
      <c r="M614" s="809"/>
      <c r="N614" s="809"/>
      <c r="O614" s="809"/>
      <c r="P614" s="809"/>
      <c r="Q614" s="809"/>
      <c r="R614" s="809"/>
      <c r="S614" s="809"/>
      <c r="T614" s="809"/>
      <c r="U614" s="809"/>
      <c r="V614" s="809"/>
      <c r="W614" s="809"/>
      <c r="X614" s="809"/>
      <c r="Y614" s="809"/>
      <c r="Z614" s="809"/>
      <c r="AA614" s="809"/>
      <c r="AB614" s="809"/>
      <c r="AC614" s="809"/>
      <c r="AD614" s="809"/>
      <c r="AE614" s="827"/>
      <c r="AF614" s="809"/>
      <c r="AG614" s="960"/>
      <c r="AH614" s="873"/>
      <c r="AI614" s="839">
        <f t="shared" si="28"/>
        <v>0</v>
      </c>
      <c r="AJ614" s="777">
        <v>0</v>
      </c>
      <c r="AK614" s="778">
        <f t="shared" si="29"/>
        <v>0</v>
      </c>
      <c r="AL614" s="901" t="s">
        <v>1475</v>
      </c>
      <c r="AM614" s="781">
        <f t="shared" si="30"/>
        <v>16</v>
      </c>
    </row>
    <row r="615" spans="1:39" s="782" customFormat="1">
      <c r="A615" s="772" t="s">
        <v>1054</v>
      </c>
      <c r="B615" s="772" t="s">
        <v>1385</v>
      </c>
      <c r="C615" s="877" t="s">
        <v>1438</v>
      </c>
      <c r="D615" s="795"/>
      <c r="E615" s="778"/>
      <c r="F615" s="778"/>
      <c r="G615" s="778"/>
      <c r="H615" s="778"/>
      <c r="I615" s="777"/>
      <c r="J615" s="777"/>
      <c r="K615" s="777"/>
      <c r="L615" s="809"/>
      <c r="M615" s="809"/>
      <c r="N615" s="809"/>
      <c r="O615" s="809"/>
      <c r="P615" s="809"/>
      <c r="Q615" s="809"/>
      <c r="R615" s="809"/>
      <c r="S615" s="809"/>
      <c r="T615" s="809"/>
      <c r="U615" s="809"/>
      <c r="V615" s="809"/>
      <c r="W615" s="809"/>
      <c r="X615" s="809"/>
      <c r="Y615" s="809"/>
      <c r="Z615" s="809"/>
      <c r="AA615" s="809"/>
      <c r="AB615" s="809"/>
      <c r="AC615" s="809"/>
      <c r="AD615" s="809"/>
      <c r="AE615" s="827"/>
      <c r="AF615" s="809"/>
      <c r="AG615" s="960"/>
      <c r="AH615" s="873"/>
      <c r="AI615" s="839">
        <f t="shared" si="28"/>
        <v>0</v>
      </c>
      <c r="AJ615" s="777">
        <v>0</v>
      </c>
      <c r="AK615" s="778">
        <f t="shared" si="29"/>
        <v>0</v>
      </c>
      <c r="AL615" s="901" t="s">
        <v>1684</v>
      </c>
      <c r="AM615" s="781">
        <f t="shared" si="30"/>
        <v>2</v>
      </c>
    </row>
    <row r="616" spans="1:39" s="782" customFormat="1">
      <c r="A616" s="772" t="s">
        <v>1055</v>
      </c>
      <c r="B616" s="772" t="s">
        <v>1386</v>
      </c>
      <c r="C616" s="877" t="s">
        <v>1438</v>
      </c>
      <c r="D616" s="795"/>
      <c r="E616" s="778"/>
      <c r="F616" s="778"/>
      <c r="G616" s="778"/>
      <c r="H616" s="778"/>
      <c r="I616" s="777"/>
      <c r="J616" s="777"/>
      <c r="K616" s="777"/>
      <c r="L616" s="809"/>
      <c r="M616" s="809"/>
      <c r="N616" s="809"/>
      <c r="O616" s="809"/>
      <c r="P616" s="809"/>
      <c r="Q616" s="809"/>
      <c r="R616" s="809"/>
      <c r="S616" s="809"/>
      <c r="T616" s="809"/>
      <c r="U616" s="809"/>
      <c r="V616" s="809"/>
      <c r="W616" s="809"/>
      <c r="X616" s="809"/>
      <c r="Y616" s="809"/>
      <c r="Z616" s="809"/>
      <c r="AA616" s="809"/>
      <c r="AB616" s="809"/>
      <c r="AC616" s="809"/>
      <c r="AD616" s="809"/>
      <c r="AE616" s="827"/>
      <c r="AF616" s="809"/>
      <c r="AG616" s="960"/>
      <c r="AH616" s="873"/>
      <c r="AI616" s="839">
        <f t="shared" si="28"/>
        <v>0</v>
      </c>
      <c r="AJ616" s="777">
        <v>0</v>
      </c>
      <c r="AK616" s="778">
        <f t="shared" si="29"/>
        <v>0</v>
      </c>
      <c r="AL616" s="901" t="s">
        <v>1684</v>
      </c>
      <c r="AM616" s="781">
        <f t="shared" si="30"/>
        <v>2</v>
      </c>
    </row>
    <row r="617" spans="1:39" s="782" customFormat="1">
      <c r="A617" s="772" t="s">
        <v>1056</v>
      </c>
      <c r="B617" s="772" t="s">
        <v>1387</v>
      </c>
      <c r="C617" s="877" t="s">
        <v>1438</v>
      </c>
      <c r="D617" s="795"/>
      <c r="E617" s="778"/>
      <c r="F617" s="778"/>
      <c r="G617" s="778"/>
      <c r="H617" s="778"/>
      <c r="I617" s="777"/>
      <c r="J617" s="777"/>
      <c r="K617" s="777"/>
      <c r="L617" s="809"/>
      <c r="M617" s="809"/>
      <c r="N617" s="809"/>
      <c r="O617" s="809"/>
      <c r="P617" s="809"/>
      <c r="Q617" s="809"/>
      <c r="R617" s="809"/>
      <c r="S617" s="809"/>
      <c r="T617" s="809"/>
      <c r="U617" s="809"/>
      <c r="V617" s="809"/>
      <c r="W617" s="809"/>
      <c r="X617" s="809"/>
      <c r="Y617" s="809"/>
      <c r="Z617" s="809"/>
      <c r="AA617" s="809"/>
      <c r="AB617" s="809"/>
      <c r="AC617" s="809"/>
      <c r="AD617" s="809"/>
      <c r="AE617" s="827"/>
      <c r="AF617" s="809"/>
      <c r="AG617" s="960"/>
      <c r="AH617" s="873"/>
      <c r="AI617" s="839">
        <f t="shared" si="28"/>
        <v>0</v>
      </c>
      <c r="AJ617" s="777">
        <v>0</v>
      </c>
      <c r="AK617" s="778">
        <f t="shared" si="29"/>
        <v>0</v>
      </c>
      <c r="AL617" s="901"/>
      <c r="AM617" s="781">
        <f t="shared" si="30"/>
        <v>0</v>
      </c>
    </row>
    <row r="618" spans="1:39" s="782" customFormat="1">
      <c r="A618" s="885" t="s">
        <v>1057</v>
      </c>
      <c r="B618" s="885" t="s">
        <v>1388</v>
      </c>
      <c r="C618" s="898"/>
      <c r="D618" s="795"/>
      <c r="E618" s="778"/>
      <c r="F618" s="778"/>
      <c r="G618" s="778"/>
      <c r="H618" s="778"/>
      <c r="I618" s="777"/>
      <c r="J618" s="777"/>
      <c r="K618" s="777"/>
      <c r="L618" s="809"/>
      <c r="M618" s="809"/>
      <c r="N618" s="809"/>
      <c r="O618" s="809"/>
      <c r="P618" s="809"/>
      <c r="Q618" s="809"/>
      <c r="R618" s="809"/>
      <c r="S618" s="809"/>
      <c r="T618" s="809"/>
      <c r="U618" s="809"/>
      <c r="V618" s="809"/>
      <c r="W618" s="809"/>
      <c r="X618" s="809"/>
      <c r="Y618" s="809"/>
      <c r="Z618" s="809"/>
      <c r="AA618" s="809"/>
      <c r="AB618" s="809"/>
      <c r="AC618" s="809"/>
      <c r="AD618" s="809"/>
      <c r="AE618" s="827"/>
      <c r="AF618" s="809"/>
      <c r="AG618" s="960"/>
      <c r="AH618" s="873"/>
      <c r="AI618" s="839">
        <f t="shared" si="28"/>
        <v>0</v>
      </c>
      <c r="AJ618" s="777">
        <v>0</v>
      </c>
      <c r="AK618" s="778">
        <f t="shared" si="29"/>
        <v>0</v>
      </c>
      <c r="AL618" s="901" t="s">
        <v>1753</v>
      </c>
      <c r="AM618" s="781">
        <f t="shared" si="30"/>
        <v>14</v>
      </c>
    </row>
    <row r="619" spans="1:39" s="782" customFormat="1">
      <c r="A619" s="772" t="s">
        <v>1058</v>
      </c>
      <c r="B619" s="772" t="s">
        <v>1389</v>
      </c>
      <c r="C619" s="877" t="s">
        <v>1438</v>
      </c>
      <c r="D619" s="795"/>
      <c r="E619" s="778"/>
      <c r="F619" s="778"/>
      <c r="G619" s="778"/>
      <c r="H619" s="778"/>
      <c r="I619" s="777"/>
      <c r="J619" s="777"/>
      <c r="K619" s="777"/>
      <c r="L619" s="809"/>
      <c r="M619" s="809"/>
      <c r="N619" s="809"/>
      <c r="O619" s="809"/>
      <c r="P619" s="809"/>
      <c r="Q619" s="809"/>
      <c r="R619" s="809"/>
      <c r="S619" s="809"/>
      <c r="T619" s="809"/>
      <c r="U619" s="809"/>
      <c r="V619" s="809"/>
      <c r="W619" s="809"/>
      <c r="X619" s="809"/>
      <c r="Y619" s="809"/>
      <c r="Z619" s="809"/>
      <c r="AA619" s="809"/>
      <c r="AB619" s="809"/>
      <c r="AC619" s="809"/>
      <c r="AD619" s="809"/>
      <c r="AE619" s="827"/>
      <c r="AF619" s="809"/>
      <c r="AG619" s="960"/>
      <c r="AH619" s="873"/>
      <c r="AI619" s="839">
        <f t="shared" ref="AI619:AI677" si="31">ROUND((SUM(D619:L619)),2)</f>
        <v>0</v>
      </c>
      <c r="AJ619" s="777">
        <v>0</v>
      </c>
      <c r="AK619" s="778">
        <f t="shared" si="29"/>
        <v>0</v>
      </c>
      <c r="AL619" s="901" t="s">
        <v>1441</v>
      </c>
      <c r="AM619" s="781">
        <f t="shared" si="30"/>
        <v>1</v>
      </c>
    </row>
    <row r="620" spans="1:39" s="782" customFormat="1">
      <c r="A620" s="772" t="s">
        <v>1059</v>
      </c>
      <c r="B620" s="772" t="s">
        <v>1390</v>
      </c>
      <c r="C620" s="877" t="s">
        <v>1438</v>
      </c>
      <c r="D620" s="795"/>
      <c r="E620" s="778"/>
      <c r="F620" s="778"/>
      <c r="G620" s="778"/>
      <c r="H620" s="778"/>
      <c r="I620" s="777"/>
      <c r="J620" s="777"/>
      <c r="K620" s="777"/>
      <c r="L620" s="809"/>
      <c r="M620" s="809"/>
      <c r="N620" s="809"/>
      <c r="O620" s="809"/>
      <c r="P620" s="809"/>
      <c r="Q620" s="809"/>
      <c r="R620" s="809"/>
      <c r="S620" s="809"/>
      <c r="T620" s="809"/>
      <c r="U620" s="809"/>
      <c r="V620" s="809"/>
      <c r="W620" s="809"/>
      <c r="X620" s="809"/>
      <c r="Y620" s="809"/>
      <c r="Z620" s="809"/>
      <c r="AA620" s="809"/>
      <c r="AB620" s="809"/>
      <c r="AC620" s="809"/>
      <c r="AD620" s="809"/>
      <c r="AE620" s="827"/>
      <c r="AF620" s="809"/>
      <c r="AG620" s="960"/>
      <c r="AH620" s="952"/>
      <c r="AI620" s="899">
        <f t="shared" si="31"/>
        <v>0</v>
      </c>
      <c r="AJ620" s="777">
        <v>0</v>
      </c>
      <c r="AK620" s="778">
        <f t="shared" si="29"/>
        <v>0</v>
      </c>
      <c r="AL620" s="901" t="s">
        <v>1604</v>
      </c>
      <c r="AM620" s="781">
        <f t="shared" si="30"/>
        <v>3</v>
      </c>
    </row>
    <row r="621" spans="1:39" s="782" customFormat="1">
      <c r="A621" s="772" t="s">
        <v>1060</v>
      </c>
      <c r="B621" s="772" t="s">
        <v>1391</v>
      </c>
      <c r="C621" s="877" t="s">
        <v>1438</v>
      </c>
      <c r="D621" s="795"/>
      <c r="E621" s="778"/>
      <c r="F621" s="778"/>
      <c r="G621" s="778"/>
      <c r="H621" s="778"/>
      <c r="I621" s="777"/>
      <c r="J621" s="777"/>
      <c r="K621" s="777"/>
      <c r="L621" s="809"/>
      <c r="M621" s="809"/>
      <c r="N621" s="809"/>
      <c r="O621" s="809"/>
      <c r="P621" s="809"/>
      <c r="Q621" s="809"/>
      <c r="R621" s="809"/>
      <c r="S621" s="809"/>
      <c r="T621" s="809"/>
      <c r="U621" s="809"/>
      <c r="V621" s="809"/>
      <c r="W621" s="809"/>
      <c r="X621" s="809"/>
      <c r="Y621" s="809"/>
      <c r="Z621" s="809"/>
      <c r="AA621" s="809"/>
      <c r="AB621" s="809"/>
      <c r="AC621" s="809"/>
      <c r="AD621" s="809"/>
      <c r="AE621" s="827"/>
      <c r="AF621" s="809"/>
      <c r="AG621" s="960"/>
      <c r="AH621" s="952"/>
      <c r="AI621" s="899">
        <f t="shared" si="31"/>
        <v>0</v>
      </c>
      <c r="AJ621" s="777">
        <v>0</v>
      </c>
      <c r="AK621" s="778">
        <f t="shared" si="29"/>
        <v>0</v>
      </c>
      <c r="AL621" s="901" t="s">
        <v>1627</v>
      </c>
      <c r="AM621" s="781">
        <f t="shared" si="30"/>
        <v>9</v>
      </c>
    </row>
    <row r="622" spans="1:39" s="782" customFormat="1">
      <c r="A622" s="772" t="s">
        <v>1061</v>
      </c>
      <c r="B622" s="772" t="s">
        <v>1392</v>
      </c>
      <c r="C622" s="877" t="s">
        <v>1438</v>
      </c>
      <c r="D622" s="795"/>
      <c r="E622" s="778"/>
      <c r="F622" s="778"/>
      <c r="G622" s="778"/>
      <c r="H622" s="778"/>
      <c r="I622" s="777"/>
      <c r="J622" s="777"/>
      <c r="K622" s="777"/>
      <c r="L622" s="809"/>
      <c r="M622" s="809"/>
      <c r="N622" s="809"/>
      <c r="O622" s="809"/>
      <c r="P622" s="809"/>
      <c r="Q622" s="809"/>
      <c r="R622" s="809"/>
      <c r="S622" s="809"/>
      <c r="T622" s="809"/>
      <c r="U622" s="809"/>
      <c r="V622" s="809"/>
      <c r="W622" s="809"/>
      <c r="X622" s="809"/>
      <c r="Y622" s="809"/>
      <c r="Z622" s="809"/>
      <c r="AA622" s="809"/>
      <c r="AB622" s="809"/>
      <c r="AC622" s="809"/>
      <c r="AD622" s="809"/>
      <c r="AE622" s="827"/>
      <c r="AF622" s="809"/>
      <c r="AG622" s="960"/>
      <c r="AH622" s="952"/>
      <c r="AI622" s="899">
        <f t="shared" si="31"/>
        <v>0</v>
      </c>
      <c r="AJ622" s="777">
        <v>0</v>
      </c>
      <c r="AK622" s="778">
        <f t="shared" si="29"/>
        <v>0</v>
      </c>
      <c r="AL622" s="901" t="s">
        <v>1441</v>
      </c>
      <c r="AM622" s="781">
        <f t="shared" si="30"/>
        <v>1</v>
      </c>
    </row>
    <row r="623" spans="1:39" s="782" customFormat="1">
      <c r="A623" s="772" t="s">
        <v>1062</v>
      </c>
      <c r="B623" s="772" t="s">
        <v>1393</v>
      </c>
      <c r="C623" s="877" t="s">
        <v>1438</v>
      </c>
      <c r="D623" s="795"/>
      <c r="E623" s="778"/>
      <c r="F623" s="778"/>
      <c r="G623" s="778"/>
      <c r="H623" s="778"/>
      <c r="I623" s="777"/>
      <c r="J623" s="777"/>
      <c r="K623" s="777"/>
      <c r="L623" s="809"/>
      <c r="M623" s="809"/>
      <c r="N623" s="809"/>
      <c r="O623" s="809"/>
      <c r="P623" s="809"/>
      <c r="Q623" s="809"/>
      <c r="R623" s="809"/>
      <c r="S623" s="809"/>
      <c r="T623" s="809"/>
      <c r="U623" s="809"/>
      <c r="V623" s="809"/>
      <c r="W623" s="809"/>
      <c r="X623" s="809"/>
      <c r="Y623" s="809"/>
      <c r="Z623" s="809"/>
      <c r="AA623" s="809"/>
      <c r="AB623" s="809"/>
      <c r="AC623" s="809"/>
      <c r="AD623" s="809"/>
      <c r="AE623" s="827"/>
      <c r="AF623" s="809"/>
      <c r="AG623" s="960"/>
      <c r="AH623" s="952"/>
      <c r="AI623" s="899">
        <f t="shared" si="31"/>
        <v>0</v>
      </c>
      <c r="AJ623" s="777">
        <v>0</v>
      </c>
      <c r="AK623" s="778">
        <f t="shared" si="29"/>
        <v>0</v>
      </c>
      <c r="AL623" s="901"/>
      <c r="AM623" s="781">
        <f t="shared" si="30"/>
        <v>0</v>
      </c>
    </row>
    <row r="624" spans="1:39" s="560" customFormat="1">
      <c r="A624" s="607" t="s">
        <v>1063</v>
      </c>
      <c r="B624" s="607" t="s">
        <v>1394</v>
      </c>
      <c r="C624" s="690"/>
      <c r="D624" s="580"/>
      <c r="E624" s="778"/>
      <c r="F624" s="581"/>
      <c r="G624" s="581"/>
      <c r="H624" s="581"/>
      <c r="I624" s="949"/>
      <c r="J624" s="949"/>
      <c r="K624" s="949"/>
      <c r="L624" s="809"/>
      <c r="M624" s="575"/>
      <c r="N624" s="575"/>
      <c r="O624" s="575"/>
      <c r="P624" s="575"/>
      <c r="Q624" s="575"/>
      <c r="R624" s="575"/>
      <c r="S624" s="809"/>
      <c r="T624" s="575"/>
      <c r="U624" s="575"/>
      <c r="V624" s="575"/>
      <c r="W624" s="575"/>
      <c r="X624" s="575"/>
      <c r="Y624" s="575"/>
      <c r="Z624" s="809"/>
      <c r="AA624" s="575"/>
      <c r="AB624" s="575"/>
      <c r="AC624" s="575"/>
      <c r="AD624" s="575"/>
      <c r="AE624" s="827"/>
      <c r="AF624" s="575"/>
      <c r="AG624" s="960"/>
      <c r="AH624" s="953"/>
      <c r="AI624" s="843">
        <f t="shared" si="31"/>
        <v>0</v>
      </c>
      <c r="AJ624" s="949">
        <v>0</v>
      </c>
      <c r="AK624" s="581">
        <f t="shared" si="29"/>
        <v>0</v>
      </c>
      <c r="AL624" s="750" t="s">
        <v>1441</v>
      </c>
      <c r="AM624" s="743">
        <f t="shared" si="30"/>
        <v>1</v>
      </c>
    </row>
    <row r="625" spans="1:39" s="560" customFormat="1">
      <c r="A625" s="604" t="s">
        <v>1064</v>
      </c>
      <c r="B625" s="604" t="s">
        <v>1395</v>
      </c>
      <c r="C625" s="614" t="s">
        <v>1438</v>
      </c>
      <c r="D625" s="580"/>
      <c r="E625" s="778"/>
      <c r="F625" s="581"/>
      <c r="G625" s="581"/>
      <c r="H625" s="581"/>
      <c r="I625" s="949"/>
      <c r="J625" s="949"/>
      <c r="K625" s="949"/>
      <c r="L625" s="809"/>
      <c r="M625" s="575"/>
      <c r="N625" s="575"/>
      <c r="O625" s="575"/>
      <c r="P625" s="575"/>
      <c r="Q625" s="575"/>
      <c r="R625" s="575"/>
      <c r="S625" s="809"/>
      <c r="T625" s="575"/>
      <c r="U625" s="575"/>
      <c r="V625" s="575"/>
      <c r="W625" s="575"/>
      <c r="X625" s="575"/>
      <c r="Y625" s="575"/>
      <c r="Z625" s="809"/>
      <c r="AA625" s="575"/>
      <c r="AB625" s="575"/>
      <c r="AC625" s="575"/>
      <c r="AD625" s="575"/>
      <c r="AE625" s="827"/>
      <c r="AF625" s="575"/>
      <c r="AG625" s="960"/>
      <c r="AH625" s="953"/>
      <c r="AI625" s="843">
        <f t="shared" si="31"/>
        <v>0</v>
      </c>
      <c r="AJ625" s="949">
        <v>0</v>
      </c>
      <c r="AK625" s="581">
        <f t="shared" si="29"/>
        <v>0</v>
      </c>
      <c r="AL625" s="750" t="s">
        <v>1441</v>
      </c>
      <c r="AM625" s="743">
        <f t="shared" si="30"/>
        <v>1</v>
      </c>
    </row>
    <row r="626" spans="1:39" s="560" customFormat="1">
      <c r="A626" s="604" t="s">
        <v>1065</v>
      </c>
      <c r="B626" s="604" t="s">
        <v>1396</v>
      </c>
      <c r="C626" s="614" t="s">
        <v>1438</v>
      </c>
      <c r="D626" s="580"/>
      <c r="E626" s="778"/>
      <c r="F626" s="581"/>
      <c r="G626" s="581"/>
      <c r="H626" s="581"/>
      <c r="I626" s="949"/>
      <c r="J626" s="949"/>
      <c r="K626" s="949"/>
      <c r="L626" s="809"/>
      <c r="M626" s="575"/>
      <c r="N626" s="575"/>
      <c r="O626" s="575"/>
      <c r="P626" s="575"/>
      <c r="Q626" s="575"/>
      <c r="R626" s="575"/>
      <c r="S626" s="809"/>
      <c r="T626" s="575"/>
      <c r="U626" s="575"/>
      <c r="V626" s="575"/>
      <c r="W626" s="575"/>
      <c r="X626" s="575"/>
      <c r="Y626" s="575"/>
      <c r="Z626" s="809"/>
      <c r="AA626" s="575"/>
      <c r="AB626" s="575"/>
      <c r="AC626" s="575"/>
      <c r="AD626" s="575"/>
      <c r="AE626" s="827"/>
      <c r="AF626" s="575"/>
      <c r="AG626" s="960"/>
      <c r="AH626" s="953"/>
      <c r="AI626" s="843">
        <f t="shared" si="31"/>
        <v>0</v>
      </c>
      <c r="AJ626" s="949">
        <v>0</v>
      </c>
      <c r="AK626" s="581">
        <f t="shared" si="29"/>
        <v>0</v>
      </c>
      <c r="AL626" s="750" t="s">
        <v>1712</v>
      </c>
      <c r="AM626" s="743">
        <f t="shared" si="30"/>
        <v>11</v>
      </c>
    </row>
    <row r="627" spans="1:39" s="560" customFormat="1">
      <c r="A627" s="604" t="s">
        <v>1066</v>
      </c>
      <c r="B627" s="604" t="s">
        <v>1397</v>
      </c>
      <c r="C627" s="614" t="s">
        <v>1438</v>
      </c>
      <c r="D627" s="580"/>
      <c r="E627" s="778"/>
      <c r="F627" s="581"/>
      <c r="G627" s="581"/>
      <c r="H627" s="581"/>
      <c r="I627" s="949"/>
      <c r="J627" s="949"/>
      <c r="K627" s="949"/>
      <c r="L627" s="809"/>
      <c r="M627" s="575"/>
      <c r="N627" s="575"/>
      <c r="O627" s="575"/>
      <c r="P627" s="575"/>
      <c r="Q627" s="575"/>
      <c r="R627" s="575"/>
      <c r="S627" s="809"/>
      <c r="T627" s="575"/>
      <c r="U627" s="575"/>
      <c r="V627" s="575"/>
      <c r="W627" s="575"/>
      <c r="X627" s="575"/>
      <c r="Y627" s="575"/>
      <c r="Z627" s="809"/>
      <c r="AA627" s="575"/>
      <c r="AB627" s="575"/>
      <c r="AC627" s="575"/>
      <c r="AD627" s="575"/>
      <c r="AE627" s="827"/>
      <c r="AF627" s="575"/>
      <c r="AG627" s="960"/>
      <c r="AH627" s="953"/>
      <c r="AI627" s="843">
        <f t="shared" si="31"/>
        <v>0</v>
      </c>
      <c r="AJ627" s="949">
        <v>0</v>
      </c>
      <c r="AK627" s="581">
        <f t="shared" si="29"/>
        <v>0</v>
      </c>
      <c r="AL627" s="750" t="s">
        <v>1684</v>
      </c>
      <c r="AM627" s="743">
        <f t="shared" si="30"/>
        <v>2</v>
      </c>
    </row>
    <row r="628" spans="1:39" s="560" customFormat="1">
      <c r="A628" s="604" t="s">
        <v>1067</v>
      </c>
      <c r="B628" s="604" t="s">
        <v>1398</v>
      </c>
      <c r="C628" s="614" t="s">
        <v>1438</v>
      </c>
      <c r="D628" s="580"/>
      <c r="E628" s="778"/>
      <c r="F628" s="581"/>
      <c r="G628" s="581"/>
      <c r="H628" s="581"/>
      <c r="I628" s="949"/>
      <c r="J628" s="949"/>
      <c r="K628" s="949"/>
      <c r="L628" s="809"/>
      <c r="M628" s="575"/>
      <c r="N628" s="575"/>
      <c r="O628" s="575"/>
      <c r="P628" s="575"/>
      <c r="Q628" s="575"/>
      <c r="R628" s="575"/>
      <c r="S628" s="809"/>
      <c r="T628" s="575"/>
      <c r="U628" s="575"/>
      <c r="V628" s="575"/>
      <c r="W628" s="575"/>
      <c r="X628" s="575"/>
      <c r="Y628" s="575"/>
      <c r="Z628" s="809"/>
      <c r="AA628" s="575"/>
      <c r="AB628" s="575"/>
      <c r="AC628" s="575"/>
      <c r="AD628" s="575"/>
      <c r="AE628" s="827"/>
      <c r="AF628" s="575"/>
      <c r="AG628" s="960"/>
      <c r="AH628" s="953"/>
      <c r="AI628" s="843">
        <f t="shared" si="31"/>
        <v>0</v>
      </c>
      <c r="AJ628" s="949">
        <v>0</v>
      </c>
      <c r="AK628" s="581">
        <f t="shared" si="29"/>
        <v>0</v>
      </c>
      <c r="AL628" s="750" t="s">
        <v>1684</v>
      </c>
      <c r="AM628" s="743">
        <f t="shared" si="30"/>
        <v>2</v>
      </c>
    </row>
    <row r="629" spans="1:39" s="560" customFormat="1">
      <c r="A629" s="604" t="s">
        <v>1068</v>
      </c>
      <c r="B629" s="604" t="s">
        <v>1399</v>
      </c>
      <c r="C629" s="614" t="s">
        <v>1438</v>
      </c>
      <c r="D629" s="580"/>
      <c r="E629" s="778"/>
      <c r="F629" s="581"/>
      <c r="G629" s="581"/>
      <c r="H629" s="581"/>
      <c r="I629" s="949"/>
      <c r="J629" s="949"/>
      <c r="K629" s="949"/>
      <c r="L629" s="809"/>
      <c r="M629" s="575"/>
      <c r="N629" s="575"/>
      <c r="O629" s="575"/>
      <c r="P629" s="575"/>
      <c r="Q629" s="575"/>
      <c r="R629" s="575"/>
      <c r="S629" s="809"/>
      <c r="T629" s="575"/>
      <c r="U629" s="575"/>
      <c r="V629" s="575"/>
      <c r="W629" s="575"/>
      <c r="X629" s="575"/>
      <c r="Y629" s="575"/>
      <c r="Z629" s="809"/>
      <c r="AA629" s="575"/>
      <c r="AB629" s="575"/>
      <c r="AC629" s="575"/>
      <c r="AD629" s="575"/>
      <c r="AE629" s="827"/>
      <c r="AF629" s="575"/>
      <c r="AG629" s="960"/>
      <c r="AH629" s="953"/>
      <c r="AI629" s="843">
        <f t="shared" si="31"/>
        <v>0</v>
      </c>
      <c r="AJ629" s="949">
        <v>0</v>
      </c>
      <c r="AK629" s="581">
        <f t="shared" si="29"/>
        <v>0</v>
      </c>
      <c r="AL629" s="750"/>
      <c r="AM629" s="743">
        <f t="shared" si="30"/>
        <v>0</v>
      </c>
    </row>
    <row r="630" spans="1:39" s="782" customFormat="1">
      <c r="A630" s="885" t="s">
        <v>1069</v>
      </c>
      <c r="B630" s="885" t="s">
        <v>1400</v>
      </c>
      <c r="C630" s="898"/>
      <c r="D630" s="795"/>
      <c r="E630" s="778"/>
      <c r="F630" s="778"/>
      <c r="G630" s="778"/>
      <c r="H630" s="778"/>
      <c r="I630" s="777"/>
      <c r="J630" s="777"/>
      <c r="K630" s="777"/>
      <c r="L630" s="809"/>
      <c r="M630" s="809"/>
      <c r="N630" s="809"/>
      <c r="O630" s="809"/>
      <c r="P630" s="809"/>
      <c r="Q630" s="809"/>
      <c r="R630" s="809"/>
      <c r="S630" s="809"/>
      <c r="T630" s="809"/>
      <c r="U630" s="809"/>
      <c r="V630" s="809"/>
      <c r="W630" s="809"/>
      <c r="X630" s="809"/>
      <c r="Y630" s="809"/>
      <c r="Z630" s="809"/>
      <c r="AA630" s="809"/>
      <c r="AB630" s="809"/>
      <c r="AC630" s="809"/>
      <c r="AD630" s="809"/>
      <c r="AE630" s="827"/>
      <c r="AF630" s="809"/>
      <c r="AG630" s="960"/>
      <c r="AH630" s="952"/>
      <c r="AI630" s="899">
        <f t="shared" si="31"/>
        <v>0</v>
      </c>
      <c r="AJ630" s="777">
        <v>0</v>
      </c>
      <c r="AK630" s="778">
        <f t="shared" si="29"/>
        <v>0</v>
      </c>
      <c r="AL630" s="901" t="s">
        <v>1441</v>
      </c>
      <c r="AM630" s="781">
        <f t="shared" si="30"/>
        <v>1</v>
      </c>
    </row>
    <row r="631" spans="1:39" s="782" customFormat="1">
      <c r="A631" s="772" t="s">
        <v>1070</v>
      </c>
      <c r="B631" s="772" t="s">
        <v>1401</v>
      </c>
      <c r="C631" s="877" t="s">
        <v>35</v>
      </c>
      <c r="D631" s="795"/>
      <c r="E631" s="778"/>
      <c r="F631" s="778"/>
      <c r="G631" s="778"/>
      <c r="H631" s="778"/>
      <c r="I631" s="777"/>
      <c r="J631" s="777"/>
      <c r="K631" s="777"/>
      <c r="L631" s="809"/>
      <c r="M631" s="809"/>
      <c r="N631" s="809"/>
      <c r="O631" s="809"/>
      <c r="P631" s="809"/>
      <c r="Q631" s="809"/>
      <c r="R631" s="809"/>
      <c r="S631" s="809"/>
      <c r="T631" s="809"/>
      <c r="U631" s="809"/>
      <c r="V631" s="809"/>
      <c r="W631" s="809"/>
      <c r="X631" s="809"/>
      <c r="Y631" s="809"/>
      <c r="Z631" s="809"/>
      <c r="AA631" s="809"/>
      <c r="AB631" s="809"/>
      <c r="AC631" s="809"/>
      <c r="AD631" s="809"/>
      <c r="AE631" s="827"/>
      <c r="AF631" s="809"/>
      <c r="AG631" s="960"/>
      <c r="AH631" s="952"/>
      <c r="AI631" s="899">
        <f t="shared" si="31"/>
        <v>0</v>
      </c>
      <c r="AJ631" s="777">
        <v>0</v>
      </c>
      <c r="AK631" s="778">
        <f t="shared" si="29"/>
        <v>0</v>
      </c>
      <c r="AL631" s="901"/>
      <c r="AM631" s="781">
        <f t="shared" si="30"/>
        <v>0</v>
      </c>
    </row>
    <row r="632" spans="1:39" s="560" customFormat="1">
      <c r="A632" s="607" t="s">
        <v>1071</v>
      </c>
      <c r="B632" s="607" t="s">
        <v>1402</v>
      </c>
      <c r="C632" s="690"/>
      <c r="D632" s="580"/>
      <c r="E632" s="778"/>
      <c r="F632" s="581"/>
      <c r="G632" s="581"/>
      <c r="H632" s="581"/>
      <c r="I632" s="949"/>
      <c r="J632" s="949"/>
      <c r="K632" s="949"/>
      <c r="L632" s="809"/>
      <c r="M632" s="575"/>
      <c r="N632" s="575"/>
      <c r="O632" s="575"/>
      <c r="P632" s="575"/>
      <c r="Q632" s="575"/>
      <c r="R632" s="575"/>
      <c r="S632" s="809"/>
      <c r="T632" s="575"/>
      <c r="U632" s="575"/>
      <c r="V632" s="575"/>
      <c r="W632" s="575"/>
      <c r="X632" s="575"/>
      <c r="Y632" s="575"/>
      <c r="Z632" s="809"/>
      <c r="AA632" s="575"/>
      <c r="AB632" s="575"/>
      <c r="AC632" s="575"/>
      <c r="AD632" s="575"/>
      <c r="AE632" s="827"/>
      <c r="AF632" s="575"/>
      <c r="AG632" s="960"/>
      <c r="AH632" s="953"/>
      <c r="AI632" s="843">
        <f t="shared" si="31"/>
        <v>0</v>
      </c>
      <c r="AJ632" s="949">
        <v>0</v>
      </c>
      <c r="AK632" s="581">
        <f t="shared" si="29"/>
        <v>0</v>
      </c>
      <c r="AL632" s="750" t="s">
        <v>1441</v>
      </c>
      <c r="AM632" s="743">
        <f t="shared" si="30"/>
        <v>1</v>
      </c>
    </row>
    <row r="633" spans="1:39" s="560" customFormat="1">
      <c r="A633" s="604" t="s">
        <v>1072</v>
      </c>
      <c r="B633" s="604" t="s">
        <v>1403</v>
      </c>
      <c r="C633" s="614" t="s">
        <v>35</v>
      </c>
      <c r="D633" s="580"/>
      <c r="E633" s="778"/>
      <c r="F633" s="581"/>
      <c r="G633" s="581"/>
      <c r="H633" s="581"/>
      <c r="I633" s="949"/>
      <c r="J633" s="949"/>
      <c r="K633" s="949"/>
      <c r="L633" s="809"/>
      <c r="M633" s="575"/>
      <c r="N633" s="575"/>
      <c r="O633" s="575"/>
      <c r="P633" s="575"/>
      <c r="Q633" s="575"/>
      <c r="R633" s="575"/>
      <c r="S633" s="809"/>
      <c r="T633" s="575"/>
      <c r="U633" s="575"/>
      <c r="V633" s="575"/>
      <c r="W633" s="575"/>
      <c r="X633" s="575"/>
      <c r="Y633" s="575"/>
      <c r="Z633" s="809"/>
      <c r="AA633" s="575"/>
      <c r="AB633" s="575"/>
      <c r="AC633" s="575"/>
      <c r="AD633" s="575"/>
      <c r="AE633" s="827"/>
      <c r="AF633" s="575"/>
      <c r="AG633" s="960"/>
      <c r="AH633" s="953"/>
      <c r="AI633" s="843">
        <f t="shared" si="31"/>
        <v>0</v>
      </c>
      <c r="AJ633" s="949">
        <v>0</v>
      </c>
      <c r="AK633" s="581">
        <f t="shared" si="29"/>
        <v>0</v>
      </c>
      <c r="AL633" s="750"/>
      <c r="AM633" s="743">
        <f t="shared" si="30"/>
        <v>0</v>
      </c>
    </row>
    <row r="634" spans="1:39" s="560" customFormat="1">
      <c r="A634" s="492" t="s">
        <v>499</v>
      </c>
      <c r="B634" s="608" t="s">
        <v>1404</v>
      </c>
      <c r="C634" s="690"/>
      <c r="D634" s="580"/>
      <c r="E634" s="778"/>
      <c r="F634" s="581"/>
      <c r="G634" s="581"/>
      <c r="H634" s="581"/>
      <c r="I634" s="949"/>
      <c r="J634" s="949"/>
      <c r="K634" s="949"/>
      <c r="L634" s="809"/>
      <c r="M634" s="575"/>
      <c r="N634" s="575"/>
      <c r="O634" s="575"/>
      <c r="P634" s="575"/>
      <c r="Q634" s="575"/>
      <c r="R634" s="575"/>
      <c r="S634" s="809"/>
      <c r="T634" s="575"/>
      <c r="U634" s="575"/>
      <c r="V634" s="575"/>
      <c r="W634" s="575"/>
      <c r="X634" s="575"/>
      <c r="Y634" s="575"/>
      <c r="Z634" s="809"/>
      <c r="AA634" s="575"/>
      <c r="AB634" s="575"/>
      <c r="AC634" s="575"/>
      <c r="AD634" s="575"/>
      <c r="AE634" s="827"/>
      <c r="AF634" s="575"/>
      <c r="AG634" s="960"/>
      <c r="AH634" s="953"/>
      <c r="AI634" s="843">
        <f t="shared" si="31"/>
        <v>0</v>
      </c>
      <c r="AJ634" s="949">
        <v>0</v>
      </c>
      <c r="AK634" s="581">
        <f t="shared" si="29"/>
        <v>0</v>
      </c>
      <c r="AL634" s="750"/>
      <c r="AM634" s="743">
        <f t="shared" si="30"/>
        <v>0</v>
      </c>
    </row>
    <row r="635" spans="1:39" s="560" customFormat="1">
      <c r="A635" s="607" t="s">
        <v>1073</v>
      </c>
      <c r="B635" s="607" t="s">
        <v>1405</v>
      </c>
      <c r="C635" s="690"/>
      <c r="D635" s="580"/>
      <c r="E635" s="778"/>
      <c r="F635" s="581"/>
      <c r="G635" s="581"/>
      <c r="H635" s="581"/>
      <c r="I635" s="949"/>
      <c r="J635" s="949"/>
      <c r="K635" s="949"/>
      <c r="L635" s="809"/>
      <c r="M635" s="575"/>
      <c r="N635" s="575"/>
      <c r="O635" s="575"/>
      <c r="P635" s="575"/>
      <c r="Q635" s="575"/>
      <c r="R635" s="575"/>
      <c r="S635" s="809"/>
      <c r="T635" s="575"/>
      <c r="U635" s="575"/>
      <c r="V635" s="575"/>
      <c r="W635" s="575"/>
      <c r="X635" s="575"/>
      <c r="Y635" s="575"/>
      <c r="Z635" s="809"/>
      <c r="AA635" s="575"/>
      <c r="AB635" s="575"/>
      <c r="AC635" s="575"/>
      <c r="AD635" s="575"/>
      <c r="AE635" s="827"/>
      <c r="AF635" s="575"/>
      <c r="AG635" s="960"/>
      <c r="AH635" s="953"/>
      <c r="AI635" s="843">
        <f t="shared" si="31"/>
        <v>0</v>
      </c>
      <c r="AJ635" s="949">
        <v>0</v>
      </c>
      <c r="AK635" s="581">
        <f t="shared" si="29"/>
        <v>0</v>
      </c>
      <c r="AL635" s="750" t="s">
        <v>1754</v>
      </c>
      <c r="AM635" s="743">
        <f t="shared" si="30"/>
        <v>29</v>
      </c>
    </row>
    <row r="636" spans="1:39" s="560" customFormat="1">
      <c r="A636" s="604" t="s">
        <v>1074</v>
      </c>
      <c r="B636" s="604" t="s">
        <v>1406</v>
      </c>
      <c r="C636" s="614" t="s">
        <v>37</v>
      </c>
      <c r="D636" s="580"/>
      <c r="E636" s="778"/>
      <c r="F636" s="581"/>
      <c r="G636" s="581"/>
      <c r="H636" s="581"/>
      <c r="I636" s="949"/>
      <c r="J636" s="949"/>
      <c r="K636" s="949"/>
      <c r="L636" s="809"/>
      <c r="M636" s="575"/>
      <c r="N636" s="575"/>
      <c r="O636" s="575"/>
      <c r="P636" s="575"/>
      <c r="Q636" s="575"/>
      <c r="R636" s="575"/>
      <c r="S636" s="809"/>
      <c r="T636" s="575"/>
      <c r="U636" s="575"/>
      <c r="V636" s="575"/>
      <c r="W636" s="575"/>
      <c r="X636" s="575"/>
      <c r="Y636" s="575"/>
      <c r="Z636" s="809"/>
      <c r="AA636" s="575"/>
      <c r="AB636" s="575"/>
      <c r="AC636" s="575"/>
      <c r="AD636" s="575"/>
      <c r="AE636" s="827"/>
      <c r="AF636" s="575"/>
      <c r="AG636" s="960"/>
      <c r="AH636" s="953"/>
      <c r="AI636" s="843">
        <f t="shared" si="31"/>
        <v>0</v>
      </c>
      <c r="AJ636" s="949">
        <v>0</v>
      </c>
      <c r="AK636" s="581">
        <f t="shared" si="29"/>
        <v>0</v>
      </c>
      <c r="AL636" s="750"/>
      <c r="AM636" s="743">
        <f t="shared" si="30"/>
        <v>0</v>
      </c>
    </row>
    <row r="637" spans="1:39" s="560" customFormat="1">
      <c r="A637" s="607" t="s">
        <v>1075</v>
      </c>
      <c r="B637" s="607" t="s">
        <v>1407</v>
      </c>
      <c r="C637" s="690"/>
      <c r="D637" s="580"/>
      <c r="E637" s="778"/>
      <c r="F637" s="581"/>
      <c r="G637" s="581"/>
      <c r="H637" s="581"/>
      <c r="I637" s="949"/>
      <c r="J637" s="949"/>
      <c r="K637" s="949"/>
      <c r="L637" s="809"/>
      <c r="M637" s="575"/>
      <c r="N637" s="575"/>
      <c r="O637" s="575"/>
      <c r="P637" s="575"/>
      <c r="Q637" s="575"/>
      <c r="R637" s="575"/>
      <c r="S637" s="809"/>
      <c r="T637" s="575"/>
      <c r="U637" s="575"/>
      <c r="V637" s="575"/>
      <c r="W637" s="575"/>
      <c r="X637" s="575"/>
      <c r="Y637" s="575"/>
      <c r="Z637" s="809"/>
      <c r="AA637" s="575"/>
      <c r="AB637" s="575"/>
      <c r="AC637" s="575"/>
      <c r="AD637" s="575"/>
      <c r="AE637" s="827"/>
      <c r="AF637" s="575"/>
      <c r="AG637" s="960"/>
      <c r="AH637" s="953"/>
      <c r="AI637" s="843">
        <f t="shared" si="31"/>
        <v>0</v>
      </c>
      <c r="AJ637" s="949">
        <v>0</v>
      </c>
      <c r="AK637" s="581">
        <f t="shared" si="29"/>
        <v>0</v>
      </c>
      <c r="AL637" s="750" t="s">
        <v>1722</v>
      </c>
      <c r="AM637" s="743">
        <f t="shared" si="30"/>
        <v>64</v>
      </c>
    </row>
    <row r="638" spans="1:39" s="560" customFormat="1">
      <c r="A638" s="604" t="s">
        <v>1076</v>
      </c>
      <c r="B638" s="604" t="s">
        <v>1408</v>
      </c>
      <c r="C638" s="614" t="s">
        <v>37</v>
      </c>
      <c r="D638" s="580"/>
      <c r="E638" s="778"/>
      <c r="F638" s="581"/>
      <c r="G638" s="581"/>
      <c r="H638" s="581"/>
      <c r="I638" s="949"/>
      <c r="J638" s="949"/>
      <c r="K638" s="949"/>
      <c r="L638" s="809"/>
      <c r="M638" s="575"/>
      <c r="N638" s="575"/>
      <c r="O638" s="575"/>
      <c r="P638" s="575"/>
      <c r="Q638" s="575"/>
      <c r="R638" s="575"/>
      <c r="S638" s="809"/>
      <c r="T638" s="575"/>
      <c r="U638" s="575"/>
      <c r="V638" s="575"/>
      <c r="W638" s="575"/>
      <c r="X638" s="575"/>
      <c r="Y638" s="575"/>
      <c r="Z638" s="809"/>
      <c r="AA638" s="575"/>
      <c r="AB638" s="575"/>
      <c r="AC638" s="575"/>
      <c r="AD638" s="575"/>
      <c r="AE638" s="827"/>
      <c r="AF638" s="575"/>
      <c r="AG638" s="960"/>
      <c r="AH638" s="953"/>
      <c r="AI638" s="843">
        <f t="shared" si="31"/>
        <v>0</v>
      </c>
      <c r="AJ638" s="949">
        <v>0</v>
      </c>
      <c r="AK638" s="581">
        <f t="shared" si="29"/>
        <v>0</v>
      </c>
      <c r="AL638" s="750"/>
      <c r="AM638" s="743">
        <f t="shared" si="30"/>
        <v>0</v>
      </c>
    </row>
    <row r="639" spans="1:39" s="560" customFormat="1">
      <c r="A639" s="607" t="s">
        <v>1077</v>
      </c>
      <c r="B639" s="607" t="s">
        <v>1409</v>
      </c>
      <c r="C639" s="690"/>
      <c r="D639" s="580"/>
      <c r="E639" s="778"/>
      <c r="F639" s="581"/>
      <c r="G639" s="581"/>
      <c r="H639" s="581"/>
      <c r="I639" s="949"/>
      <c r="J639" s="949"/>
      <c r="K639" s="949"/>
      <c r="L639" s="809"/>
      <c r="M639" s="575"/>
      <c r="N639" s="575"/>
      <c r="O639" s="575"/>
      <c r="P639" s="575"/>
      <c r="Q639" s="575"/>
      <c r="R639" s="575"/>
      <c r="S639" s="809"/>
      <c r="T639" s="575"/>
      <c r="U639" s="575"/>
      <c r="V639" s="575"/>
      <c r="W639" s="575"/>
      <c r="X639" s="575"/>
      <c r="Y639" s="575"/>
      <c r="Z639" s="809"/>
      <c r="AA639" s="575"/>
      <c r="AB639" s="575"/>
      <c r="AC639" s="575"/>
      <c r="AD639" s="575"/>
      <c r="AE639" s="827"/>
      <c r="AF639" s="575"/>
      <c r="AG639" s="960"/>
      <c r="AH639" s="953"/>
      <c r="AI639" s="843">
        <f t="shared" si="31"/>
        <v>0</v>
      </c>
      <c r="AJ639" s="949">
        <v>0</v>
      </c>
      <c r="AK639" s="581">
        <f t="shared" si="29"/>
        <v>0</v>
      </c>
      <c r="AL639" s="750" t="s">
        <v>1722</v>
      </c>
      <c r="AM639" s="743">
        <f t="shared" si="30"/>
        <v>64</v>
      </c>
    </row>
    <row r="640" spans="1:39" s="560" customFormat="1">
      <c r="A640" s="604" t="s">
        <v>1078</v>
      </c>
      <c r="B640" s="604" t="s">
        <v>1410</v>
      </c>
      <c r="C640" s="614" t="s">
        <v>37</v>
      </c>
      <c r="D640" s="580"/>
      <c r="E640" s="778"/>
      <c r="F640" s="581"/>
      <c r="G640" s="581"/>
      <c r="H640" s="581"/>
      <c r="I640" s="949"/>
      <c r="J640" s="949"/>
      <c r="K640" s="949"/>
      <c r="L640" s="809"/>
      <c r="M640" s="575"/>
      <c r="N640" s="575"/>
      <c r="O640" s="575"/>
      <c r="P640" s="575"/>
      <c r="Q640" s="575"/>
      <c r="R640" s="575"/>
      <c r="S640" s="809"/>
      <c r="T640" s="575"/>
      <c r="U640" s="575"/>
      <c r="V640" s="575"/>
      <c r="W640" s="575"/>
      <c r="X640" s="575"/>
      <c r="Y640" s="575"/>
      <c r="Z640" s="809"/>
      <c r="AA640" s="575"/>
      <c r="AB640" s="575"/>
      <c r="AC640" s="575"/>
      <c r="AD640" s="575"/>
      <c r="AE640" s="827"/>
      <c r="AF640" s="575"/>
      <c r="AG640" s="960"/>
      <c r="AH640" s="953"/>
      <c r="AI640" s="843">
        <f t="shared" si="31"/>
        <v>0</v>
      </c>
      <c r="AJ640" s="949">
        <v>0</v>
      </c>
      <c r="AK640" s="581">
        <f t="shared" si="29"/>
        <v>0</v>
      </c>
      <c r="AL640" s="750"/>
      <c r="AM640" s="743">
        <f t="shared" si="30"/>
        <v>0</v>
      </c>
    </row>
    <row r="641" spans="1:39" s="560" customFormat="1">
      <c r="A641" s="607" t="s">
        <v>1079</v>
      </c>
      <c r="B641" s="607" t="s">
        <v>1411</v>
      </c>
      <c r="C641" s="690"/>
      <c r="D641" s="580"/>
      <c r="E641" s="778"/>
      <c r="F641" s="581"/>
      <c r="G641" s="581"/>
      <c r="H641" s="581"/>
      <c r="I641" s="949"/>
      <c r="J641" s="949"/>
      <c r="K641" s="949"/>
      <c r="L641" s="809"/>
      <c r="M641" s="575"/>
      <c r="N641" s="575"/>
      <c r="O641" s="575"/>
      <c r="P641" s="575"/>
      <c r="Q641" s="575"/>
      <c r="R641" s="575"/>
      <c r="S641" s="809"/>
      <c r="T641" s="575"/>
      <c r="U641" s="575"/>
      <c r="V641" s="575"/>
      <c r="W641" s="575"/>
      <c r="X641" s="575"/>
      <c r="Y641" s="575"/>
      <c r="Z641" s="809"/>
      <c r="AA641" s="575"/>
      <c r="AB641" s="575"/>
      <c r="AC641" s="575"/>
      <c r="AD641" s="575"/>
      <c r="AE641" s="827"/>
      <c r="AF641" s="575"/>
      <c r="AG641" s="960"/>
      <c r="AH641" s="953"/>
      <c r="AI641" s="843">
        <f t="shared" si="31"/>
        <v>0</v>
      </c>
      <c r="AJ641" s="949">
        <v>0</v>
      </c>
      <c r="AK641" s="581">
        <f t="shared" si="29"/>
        <v>0</v>
      </c>
      <c r="AL641" s="750" t="s">
        <v>1603</v>
      </c>
      <c r="AM641" s="743">
        <f t="shared" si="30"/>
        <v>6</v>
      </c>
    </row>
    <row r="642" spans="1:39" s="560" customFormat="1">
      <c r="A642" s="604" t="s">
        <v>1080</v>
      </c>
      <c r="B642" s="604" t="s">
        <v>1412</v>
      </c>
      <c r="C642" s="614" t="s">
        <v>1438</v>
      </c>
      <c r="D642" s="580"/>
      <c r="E642" s="778"/>
      <c r="F642" s="581"/>
      <c r="G642" s="581"/>
      <c r="H642" s="581"/>
      <c r="I642" s="949"/>
      <c r="J642" s="949"/>
      <c r="K642" s="949"/>
      <c r="L642" s="809"/>
      <c r="M642" s="575"/>
      <c r="N642" s="575"/>
      <c r="O642" s="575"/>
      <c r="P642" s="575"/>
      <c r="Q642" s="575"/>
      <c r="R642" s="575"/>
      <c r="S642" s="809"/>
      <c r="T642" s="575"/>
      <c r="U642" s="575"/>
      <c r="V642" s="575"/>
      <c r="W642" s="575"/>
      <c r="X642" s="575"/>
      <c r="Y642" s="575"/>
      <c r="Z642" s="809"/>
      <c r="AA642" s="575"/>
      <c r="AB642" s="575"/>
      <c r="AC642" s="575"/>
      <c r="AD642" s="575"/>
      <c r="AE642" s="827"/>
      <c r="AF642" s="575"/>
      <c r="AG642" s="960"/>
      <c r="AH642" s="953"/>
      <c r="AI642" s="843">
        <f t="shared" si="31"/>
        <v>0</v>
      </c>
      <c r="AJ642" s="949">
        <v>0</v>
      </c>
      <c r="AK642" s="581">
        <f t="shared" si="29"/>
        <v>0</v>
      </c>
      <c r="AL642" s="750"/>
      <c r="AM642" s="743">
        <f t="shared" si="30"/>
        <v>0</v>
      </c>
    </row>
    <row r="643" spans="1:39" s="560" customFormat="1">
      <c r="A643" s="607" t="s">
        <v>1081</v>
      </c>
      <c r="B643" s="607" t="s">
        <v>1378</v>
      </c>
      <c r="C643" s="690"/>
      <c r="D643" s="580"/>
      <c r="E643" s="778"/>
      <c r="F643" s="581"/>
      <c r="G643" s="581"/>
      <c r="H643" s="581"/>
      <c r="I643" s="949"/>
      <c r="J643" s="949"/>
      <c r="K643" s="949"/>
      <c r="L643" s="809"/>
      <c r="M643" s="575"/>
      <c r="N643" s="575"/>
      <c r="O643" s="575"/>
      <c r="P643" s="575"/>
      <c r="Q643" s="575"/>
      <c r="R643" s="575"/>
      <c r="S643" s="809"/>
      <c r="T643" s="575"/>
      <c r="U643" s="575"/>
      <c r="V643" s="575"/>
      <c r="W643" s="575"/>
      <c r="X643" s="575"/>
      <c r="Y643" s="575"/>
      <c r="Z643" s="809"/>
      <c r="AA643" s="575"/>
      <c r="AB643" s="575"/>
      <c r="AC643" s="575"/>
      <c r="AD643" s="575"/>
      <c r="AE643" s="827"/>
      <c r="AF643" s="575"/>
      <c r="AG643" s="960"/>
      <c r="AH643" s="953"/>
      <c r="AI643" s="843">
        <f t="shared" si="31"/>
        <v>0</v>
      </c>
      <c r="AJ643" s="949">
        <v>0</v>
      </c>
      <c r="AK643" s="581">
        <f t="shared" si="29"/>
        <v>0</v>
      </c>
      <c r="AL643" s="750" t="s">
        <v>1603</v>
      </c>
      <c r="AM643" s="743">
        <f t="shared" si="30"/>
        <v>6</v>
      </c>
    </row>
    <row r="644" spans="1:39" s="560" customFormat="1">
      <c r="A644" s="604" t="s">
        <v>1082</v>
      </c>
      <c r="B644" s="604" t="s">
        <v>1413</v>
      </c>
      <c r="C644" s="614" t="s">
        <v>35</v>
      </c>
      <c r="D644" s="580"/>
      <c r="E644" s="778"/>
      <c r="F644" s="581"/>
      <c r="G644" s="581"/>
      <c r="H644" s="581"/>
      <c r="I644" s="949"/>
      <c r="J644" s="949"/>
      <c r="K644" s="949"/>
      <c r="L644" s="809"/>
      <c r="M644" s="575"/>
      <c r="N644" s="575"/>
      <c r="O644" s="575"/>
      <c r="P644" s="575"/>
      <c r="Q644" s="575"/>
      <c r="R644" s="575"/>
      <c r="S644" s="809"/>
      <c r="T644" s="575"/>
      <c r="U644" s="575"/>
      <c r="V644" s="575"/>
      <c r="W644" s="575"/>
      <c r="X644" s="575"/>
      <c r="Y644" s="575"/>
      <c r="Z644" s="809"/>
      <c r="AA644" s="575"/>
      <c r="AB644" s="575"/>
      <c r="AC644" s="575"/>
      <c r="AD644" s="575"/>
      <c r="AE644" s="827"/>
      <c r="AF644" s="575"/>
      <c r="AG644" s="960"/>
      <c r="AH644" s="953"/>
      <c r="AI644" s="843">
        <f t="shared" si="31"/>
        <v>0</v>
      </c>
      <c r="AJ644" s="949">
        <v>0</v>
      </c>
      <c r="AK644" s="581">
        <f t="shared" si="29"/>
        <v>0</v>
      </c>
      <c r="AL644" s="750"/>
      <c r="AM644" s="743">
        <f t="shared" si="30"/>
        <v>0</v>
      </c>
    </row>
    <row r="645" spans="1:39" s="560" customFormat="1">
      <c r="A645" s="492" t="s">
        <v>1083</v>
      </c>
      <c r="B645" s="608" t="s">
        <v>1414</v>
      </c>
      <c r="C645" s="690"/>
      <c r="D645" s="580"/>
      <c r="E645" s="778"/>
      <c r="F645" s="581"/>
      <c r="G645" s="581"/>
      <c r="H645" s="581"/>
      <c r="I645" s="949"/>
      <c r="J645" s="949"/>
      <c r="K645" s="949"/>
      <c r="L645" s="809"/>
      <c r="M645" s="575"/>
      <c r="N645" s="575"/>
      <c r="O645" s="575"/>
      <c r="P645" s="575"/>
      <c r="Q645" s="575"/>
      <c r="R645" s="575"/>
      <c r="S645" s="809"/>
      <c r="T645" s="575"/>
      <c r="U645" s="575"/>
      <c r="V645" s="575"/>
      <c r="W645" s="575"/>
      <c r="X645" s="575"/>
      <c r="Y645" s="575"/>
      <c r="Z645" s="809"/>
      <c r="AA645" s="575"/>
      <c r="AB645" s="575"/>
      <c r="AC645" s="575"/>
      <c r="AD645" s="575"/>
      <c r="AE645" s="827"/>
      <c r="AF645" s="575"/>
      <c r="AG645" s="960"/>
      <c r="AH645" s="953"/>
      <c r="AI645" s="843">
        <f t="shared" si="31"/>
        <v>0</v>
      </c>
      <c r="AJ645" s="949">
        <v>0</v>
      </c>
      <c r="AK645" s="581">
        <f t="shared" si="29"/>
        <v>0</v>
      </c>
      <c r="AL645" s="750"/>
      <c r="AM645" s="743">
        <f t="shared" si="30"/>
        <v>0</v>
      </c>
    </row>
    <row r="646" spans="1:39" s="560" customFormat="1">
      <c r="A646" s="607" t="s">
        <v>1084</v>
      </c>
      <c r="B646" s="607" t="s">
        <v>1405</v>
      </c>
      <c r="C646" s="690"/>
      <c r="D646" s="580"/>
      <c r="E646" s="778"/>
      <c r="F646" s="581"/>
      <c r="G646" s="581"/>
      <c r="H646" s="581"/>
      <c r="I646" s="949"/>
      <c r="J646" s="949"/>
      <c r="K646" s="949"/>
      <c r="L646" s="809"/>
      <c r="M646" s="575"/>
      <c r="N646" s="575"/>
      <c r="O646" s="575"/>
      <c r="P646" s="575"/>
      <c r="Q646" s="575"/>
      <c r="R646" s="575"/>
      <c r="S646" s="809"/>
      <c r="T646" s="575"/>
      <c r="U646" s="575"/>
      <c r="V646" s="575"/>
      <c r="W646" s="575"/>
      <c r="X646" s="575"/>
      <c r="Y646" s="575"/>
      <c r="Z646" s="809"/>
      <c r="AA646" s="575"/>
      <c r="AB646" s="575"/>
      <c r="AC646" s="575"/>
      <c r="AD646" s="575"/>
      <c r="AE646" s="827"/>
      <c r="AF646" s="575"/>
      <c r="AG646" s="960"/>
      <c r="AH646" s="953"/>
      <c r="AI646" s="843">
        <f t="shared" si="31"/>
        <v>0</v>
      </c>
      <c r="AJ646" s="949">
        <v>0</v>
      </c>
      <c r="AK646" s="581">
        <f t="shared" si="29"/>
        <v>0</v>
      </c>
      <c r="AL646" s="750" t="s">
        <v>1755</v>
      </c>
      <c r="AM646" s="743">
        <f t="shared" si="30"/>
        <v>56</v>
      </c>
    </row>
    <row r="647" spans="1:39" s="560" customFormat="1">
      <c r="A647" s="604" t="s">
        <v>1085</v>
      </c>
      <c r="B647" s="604" t="s">
        <v>1406</v>
      </c>
      <c r="C647" s="614" t="s">
        <v>37</v>
      </c>
      <c r="D647" s="580"/>
      <c r="E647" s="778"/>
      <c r="F647" s="581"/>
      <c r="G647" s="581"/>
      <c r="H647" s="581"/>
      <c r="I647" s="949"/>
      <c r="J647" s="949"/>
      <c r="K647" s="949"/>
      <c r="L647" s="809"/>
      <c r="M647" s="575"/>
      <c r="N647" s="575"/>
      <c r="O647" s="575"/>
      <c r="P647" s="575"/>
      <c r="Q647" s="575"/>
      <c r="R647" s="575"/>
      <c r="S647" s="809"/>
      <c r="T647" s="575"/>
      <c r="U647" s="575"/>
      <c r="V647" s="575"/>
      <c r="W647" s="575"/>
      <c r="X647" s="575"/>
      <c r="Y647" s="575"/>
      <c r="Z647" s="809"/>
      <c r="AA647" s="575"/>
      <c r="AB647" s="575"/>
      <c r="AC647" s="575"/>
      <c r="AD647" s="575"/>
      <c r="AE647" s="827"/>
      <c r="AF647" s="575"/>
      <c r="AG647" s="960"/>
      <c r="AH647" s="953"/>
      <c r="AI647" s="843">
        <f t="shared" si="31"/>
        <v>0</v>
      </c>
      <c r="AJ647" s="949">
        <v>0</v>
      </c>
      <c r="AK647" s="581">
        <f t="shared" si="29"/>
        <v>0</v>
      </c>
      <c r="AL647" s="750"/>
      <c r="AM647" s="743">
        <f t="shared" si="30"/>
        <v>0</v>
      </c>
    </row>
    <row r="648" spans="1:39" s="560" customFormat="1">
      <c r="A648" s="607" t="s">
        <v>1086</v>
      </c>
      <c r="B648" s="607" t="s">
        <v>1407</v>
      </c>
      <c r="C648" s="690"/>
      <c r="D648" s="580"/>
      <c r="E648" s="778"/>
      <c r="F648" s="581"/>
      <c r="G648" s="581"/>
      <c r="H648" s="581"/>
      <c r="I648" s="949"/>
      <c r="J648" s="949"/>
      <c r="K648" s="949"/>
      <c r="L648" s="809"/>
      <c r="M648" s="575"/>
      <c r="N648" s="575"/>
      <c r="O648" s="575"/>
      <c r="P648" s="575"/>
      <c r="Q648" s="575"/>
      <c r="R648" s="575"/>
      <c r="S648" s="809"/>
      <c r="T648" s="575"/>
      <c r="U648" s="575"/>
      <c r="V648" s="575"/>
      <c r="W648" s="575"/>
      <c r="X648" s="575"/>
      <c r="Y648" s="575"/>
      <c r="Z648" s="809"/>
      <c r="AA648" s="575"/>
      <c r="AB648" s="575"/>
      <c r="AC648" s="575"/>
      <c r="AD648" s="575"/>
      <c r="AE648" s="827"/>
      <c r="AF648" s="575"/>
      <c r="AG648" s="960"/>
      <c r="AH648" s="953"/>
      <c r="AI648" s="843">
        <f t="shared" si="31"/>
        <v>0</v>
      </c>
      <c r="AJ648" s="949">
        <v>0</v>
      </c>
      <c r="AK648" s="581">
        <f t="shared" si="29"/>
        <v>0</v>
      </c>
      <c r="AL648" s="750" t="s">
        <v>1756</v>
      </c>
      <c r="AM648" s="743">
        <f t="shared" si="30"/>
        <v>80</v>
      </c>
    </row>
    <row r="649" spans="1:39" s="560" customFormat="1">
      <c r="A649" s="604" t="s">
        <v>1087</v>
      </c>
      <c r="B649" s="604" t="s">
        <v>1415</v>
      </c>
      <c r="C649" s="614" t="s">
        <v>37</v>
      </c>
      <c r="D649" s="580"/>
      <c r="E649" s="778"/>
      <c r="F649" s="581"/>
      <c r="G649" s="581"/>
      <c r="H649" s="581"/>
      <c r="I649" s="949"/>
      <c r="J649" s="949"/>
      <c r="K649" s="949"/>
      <c r="L649" s="809"/>
      <c r="M649" s="575"/>
      <c r="N649" s="575"/>
      <c r="O649" s="575"/>
      <c r="P649" s="575"/>
      <c r="Q649" s="575"/>
      <c r="R649" s="575"/>
      <c r="S649" s="809"/>
      <c r="T649" s="575"/>
      <c r="U649" s="575"/>
      <c r="V649" s="575"/>
      <c r="W649" s="575"/>
      <c r="X649" s="575"/>
      <c r="Y649" s="575"/>
      <c r="Z649" s="809"/>
      <c r="AA649" s="575"/>
      <c r="AB649" s="575"/>
      <c r="AC649" s="575"/>
      <c r="AD649" s="575"/>
      <c r="AE649" s="827"/>
      <c r="AF649" s="575"/>
      <c r="AG649" s="960"/>
      <c r="AH649" s="953"/>
      <c r="AI649" s="843">
        <f t="shared" si="31"/>
        <v>0</v>
      </c>
      <c r="AJ649" s="949">
        <v>0</v>
      </c>
      <c r="AK649" s="581">
        <f t="shared" si="29"/>
        <v>0</v>
      </c>
      <c r="AL649" s="750"/>
      <c r="AM649" s="743">
        <f t="shared" si="30"/>
        <v>0</v>
      </c>
    </row>
    <row r="650" spans="1:39" s="560" customFormat="1">
      <c r="A650" s="607" t="s">
        <v>1088</v>
      </c>
      <c r="B650" s="607" t="s">
        <v>1409</v>
      </c>
      <c r="C650" s="690"/>
      <c r="D650" s="580"/>
      <c r="E650" s="778"/>
      <c r="F650" s="581"/>
      <c r="G650" s="581"/>
      <c r="H650" s="581"/>
      <c r="I650" s="949"/>
      <c r="J650" s="949"/>
      <c r="K650" s="949"/>
      <c r="L650" s="809"/>
      <c r="M650" s="575"/>
      <c r="N650" s="575"/>
      <c r="O650" s="575"/>
      <c r="P650" s="575"/>
      <c r="Q650" s="575"/>
      <c r="R650" s="575"/>
      <c r="S650" s="809"/>
      <c r="T650" s="575"/>
      <c r="U650" s="575"/>
      <c r="V650" s="575"/>
      <c r="W650" s="575"/>
      <c r="X650" s="575"/>
      <c r="Y650" s="575"/>
      <c r="Z650" s="809"/>
      <c r="AA650" s="575"/>
      <c r="AB650" s="575"/>
      <c r="AC650" s="575"/>
      <c r="AD650" s="575"/>
      <c r="AE650" s="827"/>
      <c r="AF650" s="575"/>
      <c r="AG650" s="960"/>
      <c r="AH650" s="953"/>
      <c r="AI650" s="843">
        <f t="shared" si="31"/>
        <v>0</v>
      </c>
      <c r="AJ650" s="949">
        <v>0</v>
      </c>
      <c r="AK650" s="581">
        <f t="shared" si="29"/>
        <v>0</v>
      </c>
      <c r="AL650" s="750" t="s">
        <v>1755</v>
      </c>
      <c r="AM650" s="743">
        <f t="shared" si="30"/>
        <v>56</v>
      </c>
    </row>
    <row r="651" spans="1:39" s="560" customFormat="1">
      <c r="A651" s="604" t="s">
        <v>1089</v>
      </c>
      <c r="B651" s="604" t="s">
        <v>1416</v>
      </c>
      <c r="C651" s="614" t="s">
        <v>37</v>
      </c>
      <c r="D651" s="580"/>
      <c r="E651" s="778"/>
      <c r="F651" s="581"/>
      <c r="G651" s="581"/>
      <c r="H651" s="581"/>
      <c r="I651" s="949"/>
      <c r="J651" s="949"/>
      <c r="K651" s="949"/>
      <c r="L651" s="809"/>
      <c r="M651" s="575"/>
      <c r="N651" s="575"/>
      <c r="O651" s="575"/>
      <c r="P651" s="575"/>
      <c r="Q651" s="575"/>
      <c r="R651" s="575"/>
      <c r="S651" s="809"/>
      <c r="T651" s="575"/>
      <c r="U651" s="575"/>
      <c r="V651" s="575"/>
      <c r="W651" s="575"/>
      <c r="X651" s="575"/>
      <c r="Y651" s="575"/>
      <c r="Z651" s="809"/>
      <c r="AA651" s="575"/>
      <c r="AB651" s="575"/>
      <c r="AC651" s="575"/>
      <c r="AD651" s="575"/>
      <c r="AE651" s="827"/>
      <c r="AF651" s="575"/>
      <c r="AG651" s="960"/>
      <c r="AH651" s="953"/>
      <c r="AI651" s="843">
        <f t="shared" si="31"/>
        <v>0</v>
      </c>
      <c r="AJ651" s="949">
        <v>0</v>
      </c>
      <c r="AK651" s="581">
        <f t="shared" si="29"/>
        <v>0</v>
      </c>
      <c r="AL651" s="750"/>
      <c r="AM651" s="743">
        <f t="shared" si="30"/>
        <v>0</v>
      </c>
    </row>
    <row r="652" spans="1:39" s="560" customFormat="1">
      <c r="A652" s="607" t="s">
        <v>1090</v>
      </c>
      <c r="B652" s="607" t="s">
        <v>1417</v>
      </c>
      <c r="C652" s="690"/>
      <c r="D652" s="580"/>
      <c r="E652" s="778"/>
      <c r="F652" s="581"/>
      <c r="G652" s="581"/>
      <c r="H652" s="581"/>
      <c r="I652" s="949"/>
      <c r="J652" s="949"/>
      <c r="K652" s="949"/>
      <c r="L652" s="809"/>
      <c r="M652" s="575"/>
      <c r="N652" s="575"/>
      <c r="O652" s="575"/>
      <c r="P652" s="575"/>
      <c r="Q652" s="575"/>
      <c r="R652" s="575"/>
      <c r="S652" s="809"/>
      <c r="T652" s="575"/>
      <c r="U652" s="575"/>
      <c r="V652" s="575"/>
      <c r="W652" s="575"/>
      <c r="X652" s="575"/>
      <c r="Y652" s="575"/>
      <c r="Z652" s="809"/>
      <c r="AA652" s="575"/>
      <c r="AB652" s="575"/>
      <c r="AC652" s="575"/>
      <c r="AD652" s="575"/>
      <c r="AE652" s="827"/>
      <c r="AF652" s="575"/>
      <c r="AG652" s="960"/>
      <c r="AH652" s="953"/>
      <c r="AI652" s="843">
        <f t="shared" si="31"/>
        <v>0</v>
      </c>
      <c r="AJ652" s="949">
        <v>0</v>
      </c>
      <c r="AK652" s="581">
        <f t="shared" si="29"/>
        <v>0</v>
      </c>
      <c r="AL652" s="750" t="s">
        <v>1603</v>
      </c>
      <c r="AM652" s="743">
        <f t="shared" si="30"/>
        <v>6</v>
      </c>
    </row>
    <row r="653" spans="1:39" s="560" customFormat="1">
      <c r="A653" s="604" t="s">
        <v>1091</v>
      </c>
      <c r="B653" s="604" t="s">
        <v>1418</v>
      </c>
      <c r="C653" s="614" t="s">
        <v>35</v>
      </c>
      <c r="D653" s="580"/>
      <c r="E653" s="778"/>
      <c r="F653" s="581"/>
      <c r="G653" s="581"/>
      <c r="H653" s="581"/>
      <c r="I653" s="949"/>
      <c r="J653" s="949"/>
      <c r="K653" s="949"/>
      <c r="L653" s="809"/>
      <c r="M653" s="575"/>
      <c r="N653" s="575"/>
      <c r="O653" s="575"/>
      <c r="P653" s="575"/>
      <c r="Q653" s="575"/>
      <c r="R653" s="575"/>
      <c r="S653" s="809"/>
      <c r="T653" s="575"/>
      <c r="U653" s="575"/>
      <c r="V653" s="575"/>
      <c r="W653" s="575"/>
      <c r="X653" s="575"/>
      <c r="Y653" s="575"/>
      <c r="Z653" s="809"/>
      <c r="AA653" s="575"/>
      <c r="AB653" s="575"/>
      <c r="AC653" s="575"/>
      <c r="AD653" s="575"/>
      <c r="AE653" s="827"/>
      <c r="AF653" s="575"/>
      <c r="AG653" s="960"/>
      <c r="AH653" s="953"/>
      <c r="AI653" s="843">
        <f t="shared" si="31"/>
        <v>0</v>
      </c>
      <c r="AJ653" s="949">
        <v>0</v>
      </c>
      <c r="AK653" s="581">
        <f t="shared" si="29"/>
        <v>0</v>
      </c>
      <c r="AL653" s="750"/>
      <c r="AM653" s="743">
        <f t="shared" si="30"/>
        <v>0</v>
      </c>
    </row>
    <row r="654" spans="1:39" s="560" customFormat="1">
      <c r="A654" s="607" t="s">
        <v>1092</v>
      </c>
      <c r="B654" s="607" t="s">
        <v>1419</v>
      </c>
      <c r="C654" s="690"/>
      <c r="D654" s="580"/>
      <c r="E654" s="778"/>
      <c r="F654" s="581"/>
      <c r="G654" s="581"/>
      <c r="H654" s="581"/>
      <c r="I654" s="949"/>
      <c r="J654" s="949"/>
      <c r="K654" s="949"/>
      <c r="L654" s="809"/>
      <c r="M654" s="575"/>
      <c r="N654" s="575"/>
      <c r="O654" s="575"/>
      <c r="P654" s="575"/>
      <c r="Q654" s="575"/>
      <c r="R654" s="575"/>
      <c r="S654" s="809"/>
      <c r="T654" s="575"/>
      <c r="U654" s="575"/>
      <c r="V654" s="575"/>
      <c r="W654" s="575"/>
      <c r="X654" s="575"/>
      <c r="Y654" s="575"/>
      <c r="Z654" s="809"/>
      <c r="AA654" s="575"/>
      <c r="AB654" s="575"/>
      <c r="AC654" s="575"/>
      <c r="AD654" s="575"/>
      <c r="AE654" s="827"/>
      <c r="AF654" s="575"/>
      <c r="AG654" s="960"/>
      <c r="AH654" s="953"/>
      <c r="AI654" s="843">
        <f t="shared" si="31"/>
        <v>0</v>
      </c>
      <c r="AJ654" s="949">
        <v>0</v>
      </c>
      <c r="AK654" s="581">
        <f t="shared" ref="AK654:AK679" si="32">AI654+AJ654</f>
        <v>0</v>
      </c>
      <c r="AL654" s="750" t="s">
        <v>1603</v>
      </c>
      <c r="AM654" s="743">
        <f t="shared" ref="AM654:AM680" si="33">AL654-AK654</f>
        <v>6</v>
      </c>
    </row>
    <row r="655" spans="1:39" s="560" customFormat="1">
      <c r="A655" s="604" t="s">
        <v>1093</v>
      </c>
      <c r="B655" s="604" t="s">
        <v>1420</v>
      </c>
      <c r="C655" s="614" t="s">
        <v>1438</v>
      </c>
      <c r="D655" s="580"/>
      <c r="E655" s="778"/>
      <c r="F655" s="581"/>
      <c r="G655" s="581"/>
      <c r="H655" s="581"/>
      <c r="I655" s="949"/>
      <c r="J655" s="949"/>
      <c r="K655" s="949"/>
      <c r="L655" s="809"/>
      <c r="M655" s="575"/>
      <c r="N655" s="575"/>
      <c r="O655" s="575"/>
      <c r="P655" s="575"/>
      <c r="Q655" s="575"/>
      <c r="R655" s="575"/>
      <c r="S655" s="809"/>
      <c r="T655" s="575"/>
      <c r="U655" s="575"/>
      <c r="V655" s="575"/>
      <c r="W655" s="575"/>
      <c r="X655" s="575"/>
      <c r="Y655" s="575"/>
      <c r="Z655" s="809"/>
      <c r="AA655" s="575"/>
      <c r="AB655" s="575"/>
      <c r="AC655" s="575"/>
      <c r="AD655" s="575"/>
      <c r="AE655" s="827"/>
      <c r="AF655" s="575"/>
      <c r="AG655" s="960"/>
      <c r="AH655" s="953"/>
      <c r="AI655" s="843">
        <f t="shared" si="31"/>
        <v>0</v>
      </c>
      <c r="AJ655" s="949">
        <v>0</v>
      </c>
      <c r="AK655" s="581">
        <f t="shared" si="32"/>
        <v>0</v>
      </c>
      <c r="AL655" s="750"/>
      <c r="AM655" s="743">
        <f t="shared" si="33"/>
        <v>0</v>
      </c>
    </row>
    <row r="656" spans="1:39" s="560" customFormat="1">
      <c r="A656" s="607" t="s">
        <v>1094</v>
      </c>
      <c r="B656" s="607" t="s">
        <v>1402</v>
      </c>
      <c r="C656" s="690"/>
      <c r="D656" s="580"/>
      <c r="E656" s="778"/>
      <c r="F656" s="581"/>
      <c r="G656" s="581"/>
      <c r="H656" s="581"/>
      <c r="I656" s="949"/>
      <c r="J656" s="949"/>
      <c r="K656" s="949"/>
      <c r="L656" s="809"/>
      <c r="M656" s="575"/>
      <c r="N656" s="575"/>
      <c r="O656" s="575"/>
      <c r="P656" s="575"/>
      <c r="Q656" s="575"/>
      <c r="R656" s="575"/>
      <c r="S656" s="809"/>
      <c r="T656" s="575"/>
      <c r="U656" s="575"/>
      <c r="V656" s="575"/>
      <c r="W656" s="575"/>
      <c r="X656" s="575"/>
      <c r="Y656" s="575"/>
      <c r="Z656" s="809"/>
      <c r="AA656" s="575"/>
      <c r="AB656" s="575"/>
      <c r="AC656" s="575"/>
      <c r="AD656" s="575"/>
      <c r="AE656" s="827"/>
      <c r="AF656" s="575"/>
      <c r="AG656" s="960"/>
      <c r="AH656" s="953"/>
      <c r="AI656" s="843">
        <f t="shared" si="31"/>
        <v>0</v>
      </c>
      <c r="AJ656" s="949">
        <v>0</v>
      </c>
      <c r="AK656" s="581">
        <f t="shared" si="32"/>
        <v>0</v>
      </c>
      <c r="AL656" s="750" t="s">
        <v>1603</v>
      </c>
      <c r="AM656" s="743">
        <f t="shared" si="33"/>
        <v>6</v>
      </c>
    </row>
    <row r="657" spans="1:39" s="560" customFormat="1">
      <c r="A657" s="604" t="s">
        <v>1095</v>
      </c>
      <c r="B657" s="604" t="s">
        <v>1421</v>
      </c>
      <c r="C657" s="614" t="s">
        <v>35</v>
      </c>
      <c r="D657" s="580"/>
      <c r="E657" s="778"/>
      <c r="F657" s="581"/>
      <c r="G657" s="581"/>
      <c r="H657" s="581"/>
      <c r="I657" s="949"/>
      <c r="J657" s="949"/>
      <c r="K657" s="949"/>
      <c r="L657" s="809"/>
      <c r="M657" s="575"/>
      <c r="N657" s="575"/>
      <c r="O657" s="575"/>
      <c r="P657" s="575"/>
      <c r="Q657" s="575"/>
      <c r="R657" s="575"/>
      <c r="S657" s="809"/>
      <c r="T657" s="575"/>
      <c r="U657" s="575"/>
      <c r="V657" s="575"/>
      <c r="W657" s="575"/>
      <c r="X657" s="575"/>
      <c r="Y657" s="575"/>
      <c r="Z657" s="809"/>
      <c r="AA657" s="575"/>
      <c r="AB657" s="575"/>
      <c r="AC657" s="575"/>
      <c r="AD657" s="575"/>
      <c r="AE657" s="827"/>
      <c r="AF657" s="575"/>
      <c r="AG657" s="960"/>
      <c r="AH657" s="953"/>
      <c r="AI657" s="843">
        <f t="shared" si="31"/>
        <v>0</v>
      </c>
      <c r="AJ657" s="949">
        <v>0</v>
      </c>
      <c r="AK657" s="581">
        <f t="shared" si="32"/>
        <v>0</v>
      </c>
      <c r="AL657" s="750"/>
      <c r="AM657" s="743">
        <f t="shared" si="33"/>
        <v>0</v>
      </c>
    </row>
    <row r="658" spans="1:39" s="560" customFormat="1">
      <c r="A658" s="607" t="s">
        <v>1096</v>
      </c>
      <c r="B658" s="607" t="s">
        <v>1411</v>
      </c>
      <c r="C658" s="690"/>
      <c r="D658" s="580"/>
      <c r="E658" s="778"/>
      <c r="F658" s="581"/>
      <c r="G658" s="581"/>
      <c r="H658" s="581"/>
      <c r="I658" s="949"/>
      <c r="J658" s="949"/>
      <c r="K658" s="949"/>
      <c r="L658" s="809"/>
      <c r="M658" s="575"/>
      <c r="N658" s="575"/>
      <c r="O658" s="575"/>
      <c r="P658" s="575"/>
      <c r="Q658" s="575"/>
      <c r="R658" s="575"/>
      <c r="S658" s="809"/>
      <c r="T658" s="575"/>
      <c r="U658" s="575"/>
      <c r="V658" s="575"/>
      <c r="W658" s="575"/>
      <c r="X658" s="575"/>
      <c r="Y658" s="575"/>
      <c r="Z658" s="809"/>
      <c r="AA658" s="575"/>
      <c r="AB658" s="575"/>
      <c r="AC658" s="575"/>
      <c r="AD658" s="575"/>
      <c r="AE658" s="827"/>
      <c r="AF658" s="575"/>
      <c r="AG658" s="960"/>
      <c r="AH658" s="953"/>
      <c r="AI658" s="843">
        <f t="shared" si="31"/>
        <v>0</v>
      </c>
      <c r="AJ658" s="949">
        <v>0</v>
      </c>
      <c r="AK658" s="581">
        <f t="shared" si="32"/>
        <v>0</v>
      </c>
      <c r="AL658" s="750" t="s">
        <v>1603</v>
      </c>
      <c r="AM658" s="743">
        <f t="shared" si="33"/>
        <v>6</v>
      </c>
    </row>
    <row r="659" spans="1:39" s="560" customFormat="1">
      <c r="A659" s="604" t="s">
        <v>1097</v>
      </c>
      <c r="B659" s="604" t="s">
        <v>1422</v>
      </c>
      <c r="C659" s="614" t="s">
        <v>1438</v>
      </c>
      <c r="D659" s="580"/>
      <c r="E659" s="778"/>
      <c r="F659" s="581"/>
      <c r="G659" s="581"/>
      <c r="H659" s="581"/>
      <c r="I659" s="949"/>
      <c r="J659" s="949"/>
      <c r="K659" s="949"/>
      <c r="L659" s="809"/>
      <c r="M659" s="575"/>
      <c r="N659" s="575"/>
      <c r="O659" s="575"/>
      <c r="P659" s="575"/>
      <c r="Q659" s="575"/>
      <c r="R659" s="575"/>
      <c r="S659" s="809"/>
      <c r="T659" s="575"/>
      <c r="U659" s="575"/>
      <c r="V659" s="575"/>
      <c r="W659" s="575"/>
      <c r="X659" s="575"/>
      <c r="Y659" s="575"/>
      <c r="Z659" s="809"/>
      <c r="AA659" s="575"/>
      <c r="AB659" s="575"/>
      <c r="AC659" s="575"/>
      <c r="AD659" s="575"/>
      <c r="AE659" s="827"/>
      <c r="AF659" s="575"/>
      <c r="AG659" s="960"/>
      <c r="AH659" s="953"/>
      <c r="AI659" s="843">
        <f t="shared" si="31"/>
        <v>0</v>
      </c>
      <c r="AJ659" s="949">
        <v>0</v>
      </c>
      <c r="AK659" s="581">
        <f t="shared" si="32"/>
        <v>0</v>
      </c>
      <c r="AL659" s="750"/>
      <c r="AM659" s="743">
        <f t="shared" si="33"/>
        <v>0</v>
      </c>
    </row>
    <row r="660" spans="1:39" s="560" customFormat="1">
      <c r="A660" s="607" t="s">
        <v>1098</v>
      </c>
      <c r="B660" s="607" t="s">
        <v>1378</v>
      </c>
      <c r="C660" s="690"/>
      <c r="D660" s="580"/>
      <c r="E660" s="778"/>
      <c r="F660" s="581"/>
      <c r="G660" s="581"/>
      <c r="H660" s="581"/>
      <c r="I660" s="949"/>
      <c r="J660" s="949"/>
      <c r="K660" s="949"/>
      <c r="L660" s="809"/>
      <c r="M660" s="575"/>
      <c r="N660" s="575"/>
      <c r="O660" s="575"/>
      <c r="P660" s="575"/>
      <c r="Q660" s="575"/>
      <c r="R660" s="575"/>
      <c r="S660" s="809"/>
      <c r="T660" s="575"/>
      <c r="U660" s="575"/>
      <c r="V660" s="575"/>
      <c r="W660" s="575"/>
      <c r="X660" s="575"/>
      <c r="Y660" s="575"/>
      <c r="Z660" s="809"/>
      <c r="AA660" s="575"/>
      <c r="AB660" s="575"/>
      <c r="AC660" s="575"/>
      <c r="AD660" s="575"/>
      <c r="AE660" s="827"/>
      <c r="AF660" s="575"/>
      <c r="AG660" s="960"/>
      <c r="AH660" s="953"/>
      <c r="AI660" s="843">
        <f t="shared" si="31"/>
        <v>0</v>
      </c>
      <c r="AJ660" s="949">
        <v>0</v>
      </c>
      <c r="AK660" s="581">
        <f t="shared" si="32"/>
        <v>0</v>
      </c>
      <c r="AL660" s="750" t="s">
        <v>1603</v>
      </c>
      <c r="AM660" s="743">
        <f t="shared" si="33"/>
        <v>6</v>
      </c>
    </row>
    <row r="661" spans="1:39" s="560" customFormat="1">
      <c r="A661" s="604" t="s">
        <v>1099</v>
      </c>
      <c r="B661" s="604" t="s">
        <v>1423</v>
      </c>
      <c r="C661" s="614" t="s">
        <v>35</v>
      </c>
      <c r="D661" s="580"/>
      <c r="E661" s="778"/>
      <c r="F661" s="581"/>
      <c r="G661" s="581"/>
      <c r="H661" s="581"/>
      <c r="I661" s="949"/>
      <c r="J661" s="949"/>
      <c r="K661" s="949"/>
      <c r="L661" s="809"/>
      <c r="M661" s="575"/>
      <c r="N661" s="575"/>
      <c r="O661" s="575"/>
      <c r="P661" s="575"/>
      <c r="Q661" s="575"/>
      <c r="R661" s="575"/>
      <c r="S661" s="809"/>
      <c r="T661" s="575"/>
      <c r="U661" s="575"/>
      <c r="V661" s="575"/>
      <c r="W661" s="575"/>
      <c r="X661" s="575"/>
      <c r="Y661" s="575"/>
      <c r="Z661" s="809"/>
      <c r="AA661" s="575"/>
      <c r="AB661" s="575"/>
      <c r="AC661" s="575"/>
      <c r="AD661" s="575"/>
      <c r="AE661" s="827"/>
      <c r="AF661" s="575"/>
      <c r="AG661" s="960"/>
      <c r="AH661" s="953"/>
      <c r="AI661" s="843">
        <f t="shared" si="31"/>
        <v>0</v>
      </c>
      <c r="AJ661" s="949">
        <v>0</v>
      </c>
      <c r="AK661" s="581">
        <f t="shared" si="32"/>
        <v>0</v>
      </c>
      <c r="AL661" s="750"/>
      <c r="AM661" s="743">
        <f t="shared" si="33"/>
        <v>0</v>
      </c>
    </row>
    <row r="662" spans="1:39" s="560" customFormat="1">
      <c r="A662" s="492" t="s">
        <v>1100</v>
      </c>
      <c r="B662" s="608" t="s">
        <v>1424</v>
      </c>
      <c r="C662" s="690"/>
      <c r="D662" s="580"/>
      <c r="E662" s="778"/>
      <c r="F662" s="581"/>
      <c r="G662" s="581"/>
      <c r="H662" s="581"/>
      <c r="I662" s="949"/>
      <c r="J662" s="949"/>
      <c r="K662" s="949"/>
      <c r="L662" s="809"/>
      <c r="M662" s="575"/>
      <c r="N662" s="575"/>
      <c r="O662" s="575"/>
      <c r="P662" s="575"/>
      <c r="Q662" s="575"/>
      <c r="R662" s="575"/>
      <c r="S662" s="809"/>
      <c r="T662" s="575"/>
      <c r="U662" s="575"/>
      <c r="V662" s="575"/>
      <c r="W662" s="575"/>
      <c r="X662" s="575"/>
      <c r="Y662" s="575"/>
      <c r="Z662" s="809"/>
      <c r="AA662" s="575"/>
      <c r="AB662" s="575"/>
      <c r="AC662" s="575"/>
      <c r="AD662" s="575"/>
      <c r="AE662" s="827"/>
      <c r="AF662" s="575"/>
      <c r="AG662" s="960"/>
      <c r="AH662" s="953"/>
      <c r="AI662" s="843">
        <f t="shared" si="31"/>
        <v>0</v>
      </c>
      <c r="AJ662" s="949">
        <v>0</v>
      </c>
      <c r="AK662" s="581">
        <f t="shared" si="32"/>
        <v>0</v>
      </c>
      <c r="AL662" s="750"/>
      <c r="AM662" s="743">
        <f t="shared" si="33"/>
        <v>0</v>
      </c>
    </row>
    <row r="663" spans="1:39" s="560" customFormat="1">
      <c r="A663" s="607" t="s">
        <v>1101</v>
      </c>
      <c r="B663" s="607" t="s">
        <v>1425</v>
      </c>
      <c r="C663" s="690"/>
      <c r="D663" s="580"/>
      <c r="E663" s="778"/>
      <c r="F663" s="581"/>
      <c r="G663" s="581"/>
      <c r="H663" s="581"/>
      <c r="I663" s="949"/>
      <c r="J663" s="949"/>
      <c r="K663" s="949"/>
      <c r="L663" s="809"/>
      <c r="M663" s="575"/>
      <c r="N663" s="575"/>
      <c r="O663" s="575"/>
      <c r="P663" s="575"/>
      <c r="Q663" s="575"/>
      <c r="R663" s="575"/>
      <c r="S663" s="809"/>
      <c r="T663" s="575"/>
      <c r="U663" s="575"/>
      <c r="V663" s="575"/>
      <c r="W663" s="575"/>
      <c r="X663" s="575"/>
      <c r="Y663" s="575"/>
      <c r="Z663" s="809"/>
      <c r="AA663" s="575"/>
      <c r="AB663" s="575"/>
      <c r="AC663" s="575"/>
      <c r="AD663" s="575"/>
      <c r="AE663" s="827"/>
      <c r="AF663" s="575"/>
      <c r="AG663" s="960"/>
      <c r="AH663" s="953"/>
      <c r="AI663" s="843">
        <f t="shared" si="31"/>
        <v>0</v>
      </c>
      <c r="AJ663" s="949">
        <v>0</v>
      </c>
      <c r="AK663" s="581">
        <f t="shared" si="32"/>
        <v>0</v>
      </c>
      <c r="AL663" s="750" t="s">
        <v>1441</v>
      </c>
      <c r="AM663" s="743">
        <f t="shared" si="33"/>
        <v>1</v>
      </c>
    </row>
    <row r="664" spans="1:39" s="560" customFormat="1">
      <c r="A664" s="604" t="s">
        <v>1102</v>
      </c>
      <c r="B664" s="604" t="s">
        <v>1426</v>
      </c>
      <c r="C664" s="614" t="s">
        <v>1439</v>
      </c>
      <c r="D664" s="580"/>
      <c r="E664" s="778"/>
      <c r="F664" s="581"/>
      <c r="G664" s="581"/>
      <c r="H664" s="581"/>
      <c r="I664" s="949"/>
      <c r="J664" s="949"/>
      <c r="K664" s="949"/>
      <c r="L664" s="809"/>
      <c r="M664" s="575"/>
      <c r="N664" s="575"/>
      <c r="O664" s="575"/>
      <c r="P664" s="575"/>
      <c r="Q664" s="575"/>
      <c r="R664" s="575"/>
      <c r="S664" s="809"/>
      <c r="T664" s="575"/>
      <c r="U664" s="575"/>
      <c r="V664" s="575"/>
      <c r="W664" s="575"/>
      <c r="X664" s="575"/>
      <c r="Y664" s="575"/>
      <c r="Z664" s="809"/>
      <c r="AA664" s="575"/>
      <c r="AB664" s="575"/>
      <c r="AC664" s="575"/>
      <c r="AD664" s="575"/>
      <c r="AE664" s="827"/>
      <c r="AF664" s="575"/>
      <c r="AG664" s="960"/>
      <c r="AH664" s="953"/>
      <c r="AI664" s="843">
        <f t="shared" si="31"/>
        <v>0</v>
      </c>
      <c r="AJ664" s="949">
        <v>0</v>
      </c>
      <c r="AK664" s="581">
        <f t="shared" si="32"/>
        <v>0</v>
      </c>
      <c r="AL664" s="750"/>
      <c r="AM664" s="743">
        <f t="shared" si="33"/>
        <v>0</v>
      </c>
    </row>
    <row r="665" spans="1:39" s="560" customFormat="1">
      <c r="A665" s="607" t="s">
        <v>1103</v>
      </c>
      <c r="B665" s="607" t="s">
        <v>1427</v>
      </c>
      <c r="C665" s="690"/>
      <c r="D665" s="580"/>
      <c r="E665" s="778"/>
      <c r="F665" s="581"/>
      <c r="G665" s="581"/>
      <c r="H665" s="581"/>
      <c r="I665" s="949"/>
      <c r="J665" s="949"/>
      <c r="K665" s="949"/>
      <c r="L665" s="809"/>
      <c r="M665" s="575"/>
      <c r="N665" s="575"/>
      <c r="O665" s="575"/>
      <c r="P665" s="575"/>
      <c r="Q665" s="575"/>
      <c r="R665" s="575"/>
      <c r="S665" s="809"/>
      <c r="T665" s="575"/>
      <c r="U665" s="575"/>
      <c r="V665" s="575"/>
      <c r="W665" s="575"/>
      <c r="X665" s="575"/>
      <c r="Y665" s="575"/>
      <c r="Z665" s="809"/>
      <c r="AA665" s="575"/>
      <c r="AB665" s="575"/>
      <c r="AC665" s="575"/>
      <c r="AD665" s="575"/>
      <c r="AE665" s="827"/>
      <c r="AF665" s="575"/>
      <c r="AG665" s="960"/>
      <c r="AH665" s="953"/>
      <c r="AI665" s="843">
        <f t="shared" si="31"/>
        <v>0</v>
      </c>
      <c r="AJ665" s="949">
        <v>0</v>
      </c>
      <c r="AK665" s="581">
        <f t="shared" si="32"/>
        <v>0</v>
      </c>
      <c r="AL665" s="750" t="s">
        <v>1684</v>
      </c>
      <c r="AM665" s="743">
        <f t="shared" si="33"/>
        <v>2</v>
      </c>
    </row>
    <row r="666" spans="1:39" s="560" customFormat="1">
      <c r="A666" s="604" t="s">
        <v>1104</v>
      </c>
      <c r="B666" s="604" t="s">
        <v>1428</v>
      </c>
      <c r="C666" s="614" t="s">
        <v>1440</v>
      </c>
      <c r="D666" s="580"/>
      <c r="E666" s="778"/>
      <c r="F666" s="581"/>
      <c r="G666" s="581"/>
      <c r="H666" s="581"/>
      <c r="I666" s="949"/>
      <c r="J666" s="949"/>
      <c r="K666" s="949"/>
      <c r="L666" s="809"/>
      <c r="M666" s="575"/>
      <c r="N666" s="575"/>
      <c r="O666" s="575"/>
      <c r="P666" s="575"/>
      <c r="Q666" s="575"/>
      <c r="R666" s="575"/>
      <c r="S666" s="809"/>
      <c r="T666" s="575"/>
      <c r="U666" s="575"/>
      <c r="V666" s="575"/>
      <c r="W666" s="575"/>
      <c r="X666" s="575"/>
      <c r="Y666" s="575"/>
      <c r="Z666" s="809"/>
      <c r="AA666" s="575"/>
      <c r="AB666" s="575"/>
      <c r="AC666" s="575"/>
      <c r="AD666" s="575"/>
      <c r="AE666" s="827"/>
      <c r="AF666" s="575"/>
      <c r="AG666" s="960"/>
      <c r="AH666" s="953"/>
      <c r="AI666" s="843">
        <f t="shared" si="31"/>
        <v>0</v>
      </c>
      <c r="AJ666" s="949">
        <v>0</v>
      </c>
      <c r="AK666" s="581">
        <f t="shared" si="32"/>
        <v>0</v>
      </c>
      <c r="AL666" s="750"/>
      <c r="AM666" s="743">
        <f t="shared" si="33"/>
        <v>0</v>
      </c>
    </row>
    <row r="667" spans="1:39" s="560" customFormat="1">
      <c r="A667" s="607" t="s">
        <v>1105</v>
      </c>
      <c r="B667" s="607" t="s">
        <v>1405</v>
      </c>
      <c r="C667" s="690"/>
      <c r="D667" s="580"/>
      <c r="E667" s="778"/>
      <c r="F667" s="581"/>
      <c r="G667" s="581"/>
      <c r="H667" s="581"/>
      <c r="I667" s="949"/>
      <c r="J667" s="949"/>
      <c r="K667" s="949"/>
      <c r="L667" s="809"/>
      <c r="M667" s="575"/>
      <c r="N667" s="575"/>
      <c r="O667" s="575"/>
      <c r="P667" s="575"/>
      <c r="Q667" s="575"/>
      <c r="R667" s="575"/>
      <c r="S667" s="809"/>
      <c r="T667" s="575"/>
      <c r="U667" s="575"/>
      <c r="V667" s="575"/>
      <c r="W667" s="575"/>
      <c r="X667" s="575"/>
      <c r="Y667" s="575"/>
      <c r="Z667" s="809"/>
      <c r="AA667" s="575"/>
      <c r="AB667" s="575"/>
      <c r="AC667" s="575"/>
      <c r="AD667" s="575"/>
      <c r="AE667" s="827"/>
      <c r="AF667" s="575"/>
      <c r="AG667" s="960"/>
      <c r="AH667" s="953"/>
      <c r="AI667" s="843">
        <f t="shared" si="31"/>
        <v>0</v>
      </c>
      <c r="AJ667" s="949">
        <v>0</v>
      </c>
      <c r="AK667" s="581">
        <f t="shared" si="32"/>
        <v>0</v>
      </c>
      <c r="AL667" s="750" t="s">
        <v>1757</v>
      </c>
      <c r="AM667" s="743">
        <f t="shared" si="33"/>
        <v>90</v>
      </c>
    </row>
    <row r="668" spans="1:39" s="560" customFormat="1">
      <c r="A668" s="604" t="s">
        <v>1106</v>
      </c>
      <c r="B668" s="604" t="s">
        <v>1406</v>
      </c>
      <c r="C668" s="614" t="s">
        <v>37</v>
      </c>
      <c r="D668" s="580"/>
      <c r="E668" s="778"/>
      <c r="F668" s="581"/>
      <c r="G668" s="581"/>
      <c r="H668" s="581"/>
      <c r="I668" s="949"/>
      <c r="J668" s="949"/>
      <c r="K668" s="949"/>
      <c r="L668" s="809"/>
      <c r="M668" s="575"/>
      <c r="N668" s="575"/>
      <c r="O668" s="575"/>
      <c r="P668" s="575"/>
      <c r="Q668" s="575"/>
      <c r="R668" s="575"/>
      <c r="S668" s="809"/>
      <c r="T668" s="575"/>
      <c r="U668" s="575"/>
      <c r="V668" s="575"/>
      <c r="W668" s="575"/>
      <c r="X668" s="575"/>
      <c r="Y668" s="575"/>
      <c r="Z668" s="809"/>
      <c r="AA668" s="575"/>
      <c r="AB668" s="575"/>
      <c r="AC668" s="575"/>
      <c r="AD668" s="575"/>
      <c r="AE668" s="827"/>
      <c r="AF668" s="575"/>
      <c r="AG668" s="960"/>
      <c r="AH668" s="953"/>
      <c r="AI668" s="843">
        <f t="shared" si="31"/>
        <v>0</v>
      </c>
      <c r="AJ668" s="949">
        <v>0</v>
      </c>
      <c r="AK668" s="581">
        <f t="shared" si="32"/>
        <v>0</v>
      </c>
      <c r="AL668" s="750"/>
      <c r="AM668" s="743">
        <f t="shared" si="33"/>
        <v>0</v>
      </c>
    </row>
    <row r="669" spans="1:39" s="560" customFormat="1">
      <c r="A669" s="607" t="s">
        <v>1107</v>
      </c>
      <c r="B669" s="607" t="s">
        <v>1407</v>
      </c>
      <c r="C669" s="690"/>
      <c r="D669" s="580"/>
      <c r="E669" s="778"/>
      <c r="F669" s="581"/>
      <c r="G669" s="581"/>
      <c r="H669" s="581"/>
      <c r="I669" s="949"/>
      <c r="J669" s="949"/>
      <c r="K669" s="949"/>
      <c r="L669" s="809"/>
      <c r="M669" s="575"/>
      <c r="N669" s="575"/>
      <c r="O669" s="575"/>
      <c r="P669" s="575"/>
      <c r="Q669" s="575"/>
      <c r="R669" s="575"/>
      <c r="S669" s="809"/>
      <c r="T669" s="575"/>
      <c r="U669" s="575"/>
      <c r="V669" s="575"/>
      <c r="W669" s="575"/>
      <c r="X669" s="575"/>
      <c r="Y669" s="575"/>
      <c r="Z669" s="809"/>
      <c r="AA669" s="575"/>
      <c r="AB669" s="575"/>
      <c r="AC669" s="575"/>
      <c r="AD669" s="575"/>
      <c r="AE669" s="827"/>
      <c r="AF669" s="575"/>
      <c r="AG669" s="960"/>
      <c r="AH669" s="953"/>
      <c r="AI669" s="843">
        <f t="shared" si="31"/>
        <v>0</v>
      </c>
      <c r="AJ669" s="949">
        <v>0</v>
      </c>
      <c r="AK669" s="581">
        <f t="shared" si="32"/>
        <v>0</v>
      </c>
      <c r="AL669" s="750">
        <v>12</v>
      </c>
      <c r="AM669" s="743">
        <f t="shared" si="33"/>
        <v>12</v>
      </c>
    </row>
    <row r="670" spans="1:39" s="560" customFormat="1">
      <c r="A670" s="604" t="s">
        <v>1108</v>
      </c>
      <c r="B670" s="604" t="s">
        <v>1429</v>
      </c>
      <c r="C670" s="614" t="s">
        <v>37</v>
      </c>
      <c r="D670" s="580"/>
      <c r="E670" s="778"/>
      <c r="F670" s="581"/>
      <c r="G670" s="581"/>
      <c r="H670" s="581"/>
      <c r="I670" s="949"/>
      <c r="J670" s="949"/>
      <c r="K670" s="949"/>
      <c r="L670" s="809"/>
      <c r="M670" s="575"/>
      <c r="N670" s="575"/>
      <c r="O670" s="575"/>
      <c r="P670" s="575"/>
      <c r="Q670" s="575"/>
      <c r="R670" s="575"/>
      <c r="S670" s="809"/>
      <c r="T670" s="575"/>
      <c r="U670" s="575"/>
      <c r="V670" s="575"/>
      <c r="W670" s="575"/>
      <c r="X670" s="575"/>
      <c r="Y670" s="575"/>
      <c r="Z670" s="809"/>
      <c r="AA670" s="575"/>
      <c r="AB670" s="575"/>
      <c r="AC670" s="575"/>
      <c r="AD670" s="575"/>
      <c r="AE670" s="827"/>
      <c r="AF670" s="575"/>
      <c r="AG670" s="960"/>
      <c r="AH670" s="953"/>
      <c r="AI670" s="843">
        <f t="shared" si="31"/>
        <v>0</v>
      </c>
      <c r="AJ670" s="949">
        <v>0</v>
      </c>
      <c r="AK670" s="581">
        <f t="shared" si="32"/>
        <v>0</v>
      </c>
      <c r="AL670" s="750">
        <v>106</v>
      </c>
      <c r="AM670" s="743">
        <f t="shared" si="33"/>
        <v>106</v>
      </c>
    </row>
    <row r="671" spans="1:39" s="560" customFormat="1">
      <c r="A671" s="604" t="s">
        <v>1109</v>
      </c>
      <c r="B671" s="604" t="s">
        <v>1430</v>
      </c>
      <c r="C671" s="614" t="s">
        <v>37</v>
      </c>
      <c r="D671" s="580"/>
      <c r="E671" s="778"/>
      <c r="F671" s="581"/>
      <c r="G671" s="581"/>
      <c r="H671" s="581"/>
      <c r="I671" s="949"/>
      <c r="J671" s="949"/>
      <c r="K671" s="949"/>
      <c r="L671" s="809"/>
      <c r="M671" s="575"/>
      <c r="N671" s="575"/>
      <c r="O671" s="575"/>
      <c r="P671" s="575"/>
      <c r="Q671" s="575"/>
      <c r="R671" s="575"/>
      <c r="S671" s="809"/>
      <c r="T671" s="575"/>
      <c r="U671" s="575"/>
      <c r="V671" s="575"/>
      <c r="W671" s="575"/>
      <c r="X671" s="575"/>
      <c r="Y671" s="575"/>
      <c r="Z671" s="809"/>
      <c r="AA671" s="575"/>
      <c r="AB671" s="575"/>
      <c r="AC671" s="575"/>
      <c r="AD671" s="575"/>
      <c r="AE671" s="827"/>
      <c r="AF671" s="575"/>
      <c r="AG671" s="960"/>
      <c r="AH671" s="953"/>
      <c r="AI671" s="843">
        <f t="shared" si="31"/>
        <v>0</v>
      </c>
      <c r="AJ671" s="949">
        <v>0</v>
      </c>
      <c r="AK671" s="581">
        <f t="shared" si="32"/>
        <v>0</v>
      </c>
      <c r="AL671" s="750"/>
      <c r="AM671" s="743">
        <f t="shared" si="33"/>
        <v>0</v>
      </c>
    </row>
    <row r="672" spans="1:39" s="560" customFormat="1">
      <c r="A672" s="607" t="s">
        <v>1110</v>
      </c>
      <c r="B672" s="607" t="s">
        <v>1409</v>
      </c>
      <c r="C672" s="690"/>
      <c r="D672" s="580"/>
      <c r="E672" s="778"/>
      <c r="F672" s="581"/>
      <c r="G672" s="581"/>
      <c r="H672" s="581"/>
      <c r="I672" s="949"/>
      <c r="J672" s="949"/>
      <c r="K672" s="949"/>
      <c r="L672" s="809"/>
      <c r="M672" s="575"/>
      <c r="N672" s="575"/>
      <c r="O672" s="575"/>
      <c r="P672" s="575"/>
      <c r="Q672" s="575"/>
      <c r="R672" s="575"/>
      <c r="S672" s="809"/>
      <c r="T672" s="575"/>
      <c r="U672" s="575"/>
      <c r="V672" s="575"/>
      <c r="W672" s="575"/>
      <c r="X672" s="575"/>
      <c r="Y672" s="575"/>
      <c r="Z672" s="809"/>
      <c r="AA672" s="575"/>
      <c r="AB672" s="575"/>
      <c r="AC672" s="575"/>
      <c r="AD672" s="575"/>
      <c r="AE672" s="827"/>
      <c r="AF672" s="575"/>
      <c r="AG672" s="960"/>
      <c r="AH672" s="953"/>
      <c r="AI672" s="843">
        <f t="shared" si="31"/>
        <v>0</v>
      </c>
      <c r="AJ672" s="949">
        <v>0</v>
      </c>
      <c r="AK672" s="581">
        <f t="shared" si="32"/>
        <v>0</v>
      </c>
      <c r="AL672" s="750">
        <v>106</v>
      </c>
      <c r="AM672" s="743">
        <f t="shared" si="33"/>
        <v>106</v>
      </c>
    </row>
    <row r="673" spans="1:39" s="560" customFormat="1">
      <c r="A673" s="604" t="s">
        <v>1111</v>
      </c>
      <c r="B673" s="604" t="s">
        <v>1431</v>
      </c>
      <c r="C673" s="614" t="s">
        <v>37</v>
      </c>
      <c r="D673" s="580"/>
      <c r="E673" s="778"/>
      <c r="F673" s="581"/>
      <c r="G673" s="581"/>
      <c r="H673" s="581"/>
      <c r="I673" s="949"/>
      <c r="J673" s="949"/>
      <c r="K673" s="949"/>
      <c r="L673" s="809"/>
      <c r="M673" s="575"/>
      <c r="N673" s="575"/>
      <c r="O673" s="575"/>
      <c r="P673" s="575"/>
      <c r="Q673" s="575"/>
      <c r="R673" s="575"/>
      <c r="S673" s="809"/>
      <c r="T673" s="575"/>
      <c r="U673" s="575"/>
      <c r="V673" s="575"/>
      <c r="W673" s="575"/>
      <c r="X673" s="575"/>
      <c r="Y673" s="575"/>
      <c r="Z673" s="809"/>
      <c r="AA673" s="575"/>
      <c r="AB673" s="575"/>
      <c r="AC673" s="575"/>
      <c r="AD673" s="575"/>
      <c r="AE673" s="827"/>
      <c r="AF673" s="575"/>
      <c r="AG673" s="960"/>
      <c r="AH673" s="953"/>
      <c r="AI673" s="843">
        <f t="shared" si="31"/>
        <v>0</v>
      </c>
      <c r="AJ673" s="949">
        <v>0</v>
      </c>
      <c r="AK673" s="581">
        <f t="shared" si="32"/>
        <v>0</v>
      </c>
      <c r="AL673" s="750"/>
      <c r="AM673" s="743">
        <f t="shared" si="33"/>
        <v>0</v>
      </c>
    </row>
    <row r="674" spans="1:39" s="560" customFormat="1">
      <c r="A674" s="607" t="s">
        <v>1112</v>
      </c>
      <c r="B674" s="607" t="s">
        <v>1402</v>
      </c>
      <c r="C674" s="690"/>
      <c r="D674" s="580"/>
      <c r="E674" s="778"/>
      <c r="F674" s="581"/>
      <c r="G674" s="581"/>
      <c r="H674" s="581"/>
      <c r="I674" s="949"/>
      <c r="J674" s="949"/>
      <c r="K674" s="949"/>
      <c r="L674" s="809"/>
      <c r="M674" s="575"/>
      <c r="N674" s="575"/>
      <c r="O674" s="575"/>
      <c r="P674" s="575"/>
      <c r="Q674" s="575"/>
      <c r="R674" s="575"/>
      <c r="S674" s="809"/>
      <c r="T674" s="575"/>
      <c r="U674" s="575"/>
      <c r="V674" s="575"/>
      <c r="W674" s="575"/>
      <c r="X674" s="575"/>
      <c r="Y674" s="575"/>
      <c r="Z674" s="809"/>
      <c r="AA674" s="575"/>
      <c r="AB674" s="575"/>
      <c r="AC674" s="575"/>
      <c r="AD674" s="575"/>
      <c r="AE674" s="827"/>
      <c r="AF674" s="575"/>
      <c r="AG674" s="960"/>
      <c r="AH674" s="953"/>
      <c r="AI674" s="843">
        <f t="shared" si="31"/>
        <v>0</v>
      </c>
      <c r="AJ674" s="949">
        <v>0</v>
      </c>
      <c r="AK674" s="581">
        <f t="shared" si="32"/>
        <v>0</v>
      </c>
      <c r="AL674" s="750">
        <v>5</v>
      </c>
      <c r="AM674" s="743">
        <f t="shared" si="33"/>
        <v>5</v>
      </c>
    </row>
    <row r="675" spans="1:39" s="560" customFormat="1">
      <c r="A675" s="604" t="s">
        <v>1113</v>
      </c>
      <c r="B675" s="604" t="s">
        <v>1403</v>
      </c>
      <c r="C675" s="614" t="s">
        <v>35</v>
      </c>
      <c r="D675" s="580"/>
      <c r="E675" s="778"/>
      <c r="F675" s="581"/>
      <c r="G675" s="581"/>
      <c r="H675" s="581"/>
      <c r="I675" s="949"/>
      <c r="J675" s="949"/>
      <c r="K675" s="949"/>
      <c r="L675" s="809"/>
      <c r="M675" s="575"/>
      <c r="N675" s="575"/>
      <c r="O675" s="575"/>
      <c r="P675" s="575"/>
      <c r="Q675" s="575"/>
      <c r="R675" s="575"/>
      <c r="S675" s="809"/>
      <c r="T675" s="575"/>
      <c r="U675" s="575"/>
      <c r="V675" s="575"/>
      <c r="W675" s="575"/>
      <c r="X675" s="575"/>
      <c r="Y675" s="575"/>
      <c r="Z675" s="809"/>
      <c r="AA675" s="575"/>
      <c r="AB675" s="575"/>
      <c r="AC675" s="575"/>
      <c r="AD675" s="575"/>
      <c r="AE675" s="827"/>
      <c r="AF675" s="575"/>
      <c r="AG675" s="960"/>
      <c r="AH675" s="953"/>
      <c r="AI675" s="843">
        <f t="shared" si="31"/>
        <v>0</v>
      </c>
      <c r="AJ675" s="949">
        <v>0</v>
      </c>
      <c r="AK675" s="581">
        <f t="shared" si="32"/>
        <v>0</v>
      </c>
      <c r="AL675" s="750"/>
      <c r="AM675" s="743">
        <f t="shared" si="33"/>
        <v>0</v>
      </c>
    </row>
    <row r="676" spans="1:39" s="560" customFormat="1">
      <c r="A676" s="607" t="s">
        <v>1114</v>
      </c>
      <c r="B676" s="607" t="s">
        <v>1432</v>
      </c>
      <c r="C676" s="690"/>
      <c r="D676" s="580"/>
      <c r="E676" s="778"/>
      <c r="F676" s="581"/>
      <c r="G676" s="581"/>
      <c r="H676" s="581"/>
      <c r="I676" s="949"/>
      <c r="J676" s="949"/>
      <c r="K676" s="949"/>
      <c r="L676" s="809"/>
      <c r="M676" s="575"/>
      <c r="N676" s="575"/>
      <c r="O676" s="575"/>
      <c r="P676" s="575"/>
      <c r="Q676" s="575"/>
      <c r="R676" s="575"/>
      <c r="S676" s="809"/>
      <c r="T676" s="575"/>
      <c r="U676" s="575"/>
      <c r="V676" s="575"/>
      <c r="W676" s="575"/>
      <c r="X676" s="575"/>
      <c r="Y676" s="575"/>
      <c r="Z676" s="809"/>
      <c r="AA676" s="575"/>
      <c r="AB676" s="575"/>
      <c r="AC676" s="575"/>
      <c r="AD676" s="575"/>
      <c r="AE676" s="827"/>
      <c r="AF676" s="575"/>
      <c r="AG676" s="960"/>
      <c r="AH676" s="953"/>
      <c r="AI676" s="843">
        <f t="shared" si="31"/>
        <v>0</v>
      </c>
      <c r="AJ676" s="949">
        <v>0</v>
      </c>
      <c r="AK676" s="581">
        <f t="shared" si="32"/>
        <v>0</v>
      </c>
      <c r="AL676" s="750">
        <v>1</v>
      </c>
      <c r="AM676" s="743">
        <f t="shared" si="33"/>
        <v>1</v>
      </c>
    </row>
    <row r="677" spans="1:39" s="560" customFormat="1">
      <c r="A677" s="604" t="s">
        <v>1115</v>
      </c>
      <c r="B677" s="604" t="s">
        <v>1433</v>
      </c>
      <c r="C677" s="614" t="s">
        <v>63</v>
      </c>
      <c r="D677" s="580"/>
      <c r="E677" s="778"/>
      <c r="F677" s="581"/>
      <c r="G677" s="581"/>
      <c r="H677" s="581"/>
      <c r="I677" s="949"/>
      <c r="J677" s="949"/>
      <c r="K677" s="949"/>
      <c r="L677" s="809"/>
      <c r="M677" s="575"/>
      <c r="N677" s="575"/>
      <c r="O677" s="575"/>
      <c r="P677" s="575"/>
      <c r="Q677" s="575"/>
      <c r="R677" s="575"/>
      <c r="S677" s="809"/>
      <c r="T677" s="575"/>
      <c r="U677" s="575"/>
      <c r="V677" s="575"/>
      <c r="W677" s="575"/>
      <c r="X677" s="575"/>
      <c r="Y677" s="575"/>
      <c r="Z677" s="809"/>
      <c r="AA677" s="575"/>
      <c r="AB677" s="575"/>
      <c r="AC677" s="575"/>
      <c r="AD677" s="575"/>
      <c r="AE677" s="827"/>
      <c r="AF677" s="575"/>
      <c r="AG677" s="960"/>
      <c r="AH677" s="953"/>
      <c r="AI677" s="843">
        <f t="shared" si="31"/>
        <v>0</v>
      </c>
      <c r="AJ677" s="949">
        <v>0</v>
      </c>
      <c r="AK677" s="581">
        <f t="shared" si="32"/>
        <v>0</v>
      </c>
      <c r="AL677" s="750"/>
      <c r="AM677" s="743">
        <f t="shared" si="33"/>
        <v>0</v>
      </c>
    </row>
    <row r="678" spans="1:39" s="560" customFormat="1">
      <c r="A678" s="607" t="s">
        <v>1116</v>
      </c>
      <c r="B678" s="607" t="s">
        <v>1434</v>
      </c>
      <c r="C678" s="845"/>
      <c r="D678" s="581"/>
      <c r="E678" s="778"/>
      <c r="F678" s="581"/>
      <c r="G678" s="581"/>
      <c r="H678" s="581"/>
      <c r="I678" s="949"/>
      <c r="J678" s="949"/>
      <c r="K678" s="949"/>
      <c r="L678" s="779"/>
      <c r="M678" s="588"/>
      <c r="N678" s="588"/>
      <c r="O678" s="588"/>
      <c r="P678" s="588"/>
      <c r="Q678" s="588"/>
      <c r="R678" s="588"/>
      <c r="S678" s="779"/>
      <c r="T678" s="588"/>
      <c r="U678" s="588"/>
      <c r="V678" s="588"/>
      <c r="W678" s="588"/>
      <c r="X678" s="588"/>
      <c r="Y678" s="588"/>
      <c r="Z678" s="779"/>
      <c r="AA678" s="588"/>
      <c r="AB678" s="588"/>
      <c r="AC678" s="588"/>
      <c r="AD678" s="588"/>
      <c r="AE678" s="856"/>
      <c r="AF678" s="588"/>
      <c r="AG678" s="960"/>
      <c r="AH678" s="953"/>
      <c r="AI678" s="843">
        <f t="shared" ref="AI678:AI679" si="34">ROUND((SUM(D678:L678)),2)</f>
        <v>0</v>
      </c>
      <c r="AJ678" s="949">
        <v>1</v>
      </c>
      <c r="AK678" s="581">
        <f t="shared" si="32"/>
        <v>1</v>
      </c>
      <c r="AL678" s="750"/>
      <c r="AM678" s="743">
        <f t="shared" si="33"/>
        <v>-1</v>
      </c>
    </row>
    <row r="679" spans="1:39" s="560" customFormat="1" ht="13.8" thickBot="1">
      <c r="A679" s="620" t="s">
        <v>1117</v>
      </c>
      <c r="B679" s="620" t="s">
        <v>1435</v>
      </c>
      <c r="C679" s="846" t="s">
        <v>63</v>
      </c>
      <c r="D679" s="581"/>
      <c r="E679" s="778"/>
      <c r="F679" s="581"/>
      <c r="G679" s="581"/>
      <c r="H679" s="581"/>
      <c r="I679" s="949"/>
      <c r="J679" s="949"/>
      <c r="K679" s="949"/>
      <c r="L679" s="779"/>
      <c r="M679" s="588"/>
      <c r="N679" s="588"/>
      <c r="O679" s="588"/>
      <c r="P679" s="588"/>
      <c r="Q679" s="588"/>
      <c r="R679" s="588"/>
      <c r="S679" s="779"/>
      <c r="T679" s="588"/>
      <c r="U679" s="588"/>
      <c r="V679" s="588"/>
      <c r="W679" s="588"/>
      <c r="X679" s="588"/>
      <c r="Y679" s="588"/>
      <c r="Z679" s="779"/>
      <c r="AA679" s="588"/>
      <c r="AB679" s="588"/>
      <c r="AC679" s="588"/>
      <c r="AD679" s="588"/>
      <c r="AE679" s="856"/>
      <c r="AF679" s="588"/>
      <c r="AG679" s="960"/>
      <c r="AH679" s="953"/>
      <c r="AI679" s="843">
        <f t="shared" si="34"/>
        <v>0</v>
      </c>
      <c r="AJ679" s="949">
        <v>2</v>
      </c>
      <c r="AK679" s="581">
        <f t="shared" si="32"/>
        <v>2</v>
      </c>
      <c r="AL679" s="750"/>
      <c r="AM679" s="743">
        <f t="shared" si="33"/>
        <v>-2</v>
      </c>
    </row>
    <row r="680" spans="1:39" ht="13.8" thickBot="1">
      <c r="A680" s="622"/>
      <c r="B680" s="623" t="s">
        <v>1</v>
      </c>
      <c r="C680" s="592"/>
      <c r="D680" s="847"/>
      <c r="E680" s="849"/>
      <c r="F680" s="847"/>
      <c r="G680" s="848"/>
      <c r="H680" s="848"/>
      <c r="I680" s="847"/>
      <c r="J680" s="848"/>
      <c r="K680" s="848"/>
      <c r="L680" s="851"/>
      <c r="M680" s="844"/>
      <c r="N680" s="844"/>
      <c r="O680" s="844"/>
      <c r="P680" s="844"/>
      <c r="Q680" s="844"/>
      <c r="R680" s="844"/>
      <c r="S680" s="851"/>
      <c r="T680" s="844"/>
      <c r="U680" s="844"/>
      <c r="V680" s="844"/>
      <c r="W680" s="844"/>
      <c r="X680" s="844"/>
      <c r="Y680" s="844"/>
      <c r="Z680" s="851"/>
      <c r="AA680" s="844"/>
      <c r="AB680" s="844"/>
      <c r="AC680" s="844"/>
      <c r="AD680" s="844"/>
      <c r="AE680" s="857"/>
      <c r="AF680" s="844"/>
      <c r="AG680" s="963"/>
      <c r="AH680" s="844"/>
      <c r="AI680" s="739"/>
      <c r="AJ680" s="745"/>
      <c r="AK680" s="745"/>
      <c r="AL680" s="751">
        <f>AK680/10</f>
        <v>0</v>
      </c>
      <c r="AM680" s="743">
        <f t="shared" si="33"/>
        <v>0</v>
      </c>
    </row>
    <row r="681" spans="1:39">
      <c r="A681" s="618" t="s">
        <v>287</v>
      </c>
    </row>
    <row r="683" spans="1:39">
      <c r="B683" s="624" t="s">
        <v>1787</v>
      </c>
      <c r="C683" s="596"/>
    </row>
    <row r="684" spans="1:39">
      <c r="B684" s="624" t="s">
        <v>288</v>
      </c>
      <c r="C684" s="596"/>
    </row>
    <row r="685" spans="1:39">
      <c r="B685" s="624"/>
      <c r="C685" s="596"/>
      <c r="L685" s="852"/>
      <c r="M685" s="754"/>
      <c r="N685" s="754"/>
      <c r="O685" s="754"/>
      <c r="P685" s="754"/>
      <c r="Q685" s="754"/>
      <c r="R685" s="754"/>
      <c r="S685" s="852"/>
      <c r="T685" s="754"/>
      <c r="U685" s="754"/>
      <c r="V685" s="754"/>
      <c r="W685" s="754"/>
      <c r="X685" s="754"/>
      <c r="Y685" s="754"/>
      <c r="Z685" s="852"/>
      <c r="AA685" s="754"/>
      <c r="AB685" s="754"/>
      <c r="AC685" s="754"/>
      <c r="AD685" s="754"/>
      <c r="AE685" s="858"/>
      <c r="AF685" s="754"/>
      <c r="AG685" s="964"/>
      <c r="AH685" s="754"/>
      <c r="AI685" s="745"/>
      <c r="AJ685" s="745">
        <v>416.4</v>
      </c>
    </row>
    <row r="686" spans="1:39">
      <c r="B686" s="624"/>
      <c r="C686" s="596"/>
      <c r="L686" s="779" t="e">
        <f>#REF!-L135</f>
        <v>#REF!</v>
      </c>
      <c r="M686" s="588"/>
      <c r="N686" s="588"/>
      <c r="O686" s="588"/>
      <c r="P686" s="588"/>
      <c r="Q686" s="588"/>
      <c r="R686" s="588"/>
      <c r="S686" s="779"/>
      <c r="T686" s="588"/>
      <c r="U686" s="588"/>
      <c r="V686" s="588"/>
      <c r="W686" s="588"/>
      <c r="X686" s="588"/>
      <c r="Y686" s="588"/>
      <c r="Z686" s="779"/>
      <c r="AA686" s="588"/>
      <c r="AB686" s="588"/>
      <c r="AC686" s="588"/>
      <c r="AD686" s="588"/>
      <c r="AE686" s="856"/>
      <c r="AF686" s="588"/>
      <c r="AG686" s="960"/>
      <c r="AH686" s="588"/>
      <c r="AI686" s="949" t="e">
        <f>SUM(L686:L686)</f>
        <v>#REF!</v>
      </c>
      <c r="AJ686" s="949" t="e">
        <f>AJ685-AI686</f>
        <v>#REF!</v>
      </c>
      <c r="AK686" s="557" t="s">
        <v>1810</v>
      </c>
    </row>
    <row r="687" spans="1:39">
      <c r="B687" s="624"/>
      <c r="C687" s="596"/>
    </row>
    <row r="701" spans="1:37" s="559" customFormat="1">
      <c r="A701" s="618"/>
      <c r="B701" s="618"/>
      <c r="D701" s="557"/>
      <c r="E701" s="787"/>
      <c r="F701" s="557"/>
      <c r="G701" s="557"/>
      <c r="H701" s="557"/>
      <c r="I701" s="557"/>
      <c r="J701" s="557"/>
      <c r="K701" s="557"/>
      <c r="L701" s="808"/>
      <c r="M701" s="558"/>
      <c r="N701" s="558"/>
      <c r="O701" s="558"/>
      <c r="P701" s="558"/>
      <c r="Q701" s="558"/>
      <c r="R701" s="558"/>
      <c r="S701" s="808"/>
      <c r="T701" s="558"/>
      <c r="U701" s="558"/>
      <c r="V701" s="558"/>
      <c r="W701" s="558"/>
      <c r="X701" s="558"/>
      <c r="Y701" s="558"/>
      <c r="Z701" s="808"/>
      <c r="AA701" s="558"/>
      <c r="AB701" s="558"/>
      <c r="AC701" s="558"/>
      <c r="AD701" s="558"/>
      <c r="AE701" s="853"/>
      <c r="AF701" s="558"/>
      <c r="AG701" s="956"/>
      <c r="AH701" s="558"/>
      <c r="AI701" s="557"/>
      <c r="AJ701" s="557"/>
      <c r="AK701" s="557"/>
    </row>
  </sheetData>
  <mergeCells count="6">
    <mergeCell ref="A1:K1"/>
    <mergeCell ref="A2:K2"/>
    <mergeCell ref="B4:K4"/>
    <mergeCell ref="B5:K5"/>
    <mergeCell ref="A9:A10"/>
    <mergeCell ref="B9:B10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"/>
  <sheetViews>
    <sheetView workbookViewId="0"/>
  </sheetViews>
  <sheetFormatPr baseColWidth="10" defaultRowHeight="13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O148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787" hidden="1" customWidth="1"/>
    <col min="5" max="5" width="9.109375" style="557" hidden="1" customWidth="1"/>
    <col min="6" max="10" width="7" style="557" hidden="1" customWidth="1"/>
    <col min="11" max="11" width="7" style="787" hidden="1" customWidth="1"/>
    <col min="12" max="16" width="7" style="558" hidden="1" customWidth="1"/>
    <col min="17" max="17" width="7" style="557" hidden="1" customWidth="1"/>
    <col min="18" max="18" width="7" style="787" hidden="1" customWidth="1"/>
    <col min="19" max="22" width="7" style="558" hidden="1" customWidth="1"/>
    <col min="23" max="23" width="10.88671875" style="558" hidden="1" customWidth="1"/>
    <col min="24" max="24" width="9.44140625" style="558" hidden="1" customWidth="1"/>
    <col min="25" max="25" width="7" style="808" hidden="1" customWidth="1"/>
    <col min="26" max="26" width="10.44140625" style="558" hidden="1" customWidth="1"/>
    <col min="27" max="27" width="8.6640625" style="558" hidden="1" customWidth="1"/>
    <col min="28" max="28" width="7" style="558" hidden="1" customWidth="1"/>
    <col min="29" max="29" width="9.44140625" style="558" hidden="1" customWidth="1"/>
    <col min="30" max="30" width="7" style="808" hidden="1" customWidth="1"/>
    <col min="31" max="31" width="9.88671875" style="1007" hidden="1" customWidth="1"/>
    <col min="32" max="32" width="7" style="808" hidden="1" customWidth="1"/>
    <col min="33" max="33" width="9.109375" style="814" hidden="1" customWidth="1"/>
    <col min="34" max="34" width="9.109375" style="558" hidden="1" customWidth="1"/>
    <col min="35" max="37" width="9.109375" style="557" customWidth="1"/>
    <col min="38" max="38" width="11.44140625" style="557"/>
    <col min="39" max="39" width="14.44140625" style="557" customWidth="1"/>
    <col min="40" max="257" width="11.44140625" style="557"/>
    <col min="258" max="258" width="6.44140625" style="557" customWidth="1"/>
    <col min="259" max="259" width="47.88671875" style="557" customWidth="1"/>
    <col min="260" max="261" width="5" style="557" customWidth="1"/>
    <col min="262" max="262" width="5.33203125" style="557" customWidth="1"/>
    <col min="263" max="263" width="4.88671875" style="557" customWidth="1"/>
    <col min="264" max="265" width="4.109375" style="557" customWidth="1"/>
    <col min="266" max="266" width="3.5546875" style="557" customWidth="1"/>
    <col min="267" max="267" width="5" style="557" customWidth="1"/>
    <col min="268" max="268" width="4" style="557" customWidth="1"/>
    <col min="269" max="270" width="4.5546875" style="557" customWidth="1"/>
    <col min="271" max="271" width="4.109375" style="557" customWidth="1"/>
    <col min="272" max="272" width="4" style="557" customWidth="1"/>
    <col min="273" max="273" width="3.88671875" style="557" customWidth="1"/>
    <col min="274" max="275" width="4.6640625" style="557" customWidth="1"/>
    <col min="276" max="276" width="4" style="557" customWidth="1"/>
    <col min="277" max="277" width="4.33203125" style="557" customWidth="1"/>
    <col min="278" max="278" width="4.109375" style="557" customWidth="1"/>
    <col min="279" max="279" width="3.88671875" style="557" customWidth="1"/>
    <col min="280" max="280" width="4.109375" style="557" customWidth="1"/>
    <col min="281" max="281" width="5.5546875" style="557" customWidth="1"/>
    <col min="282" max="282" width="3.5546875" style="557" customWidth="1"/>
    <col min="283" max="283" width="4" style="557" customWidth="1"/>
    <col min="284" max="284" width="4.5546875" style="557" customWidth="1"/>
    <col min="285" max="285" width="4.44140625" style="557" customWidth="1"/>
    <col min="286" max="287" width="4.33203125" style="557" customWidth="1"/>
    <col min="288" max="289" width="4.88671875" style="557" customWidth="1"/>
    <col min="290" max="290" width="4" style="557" customWidth="1"/>
    <col min="291" max="291" width="4.6640625" style="557" customWidth="1"/>
    <col min="292" max="292" width="6" style="557" customWidth="1"/>
    <col min="293" max="293" width="8.88671875" style="557" customWidth="1"/>
    <col min="294" max="513" width="11.44140625" style="557"/>
    <col min="514" max="514" width="6.44140625" style="557" customWidth="1"/>
    <col min="515" max="515" width="47.88671875" style="557" customWidth="1"/>
    <col min="516" max="517" width="5" style="557" customWidth="1"/>
    <col min="518" max="518" width="5.33203125" style="557" customWidth="1"/>
    <col min="519" max="519" width="4.88671875" style="557" customWidth="1"/>
    <col min="520" max="521" width="4.109375" style="557" customWidth="1"/>
    <col min="522" max="522" width="3.5546875" style="557" customWidth="1"/>
    <col min="523" max="523" width="5" style="557" customWidth="1"/>
    <col min="524" max="524" width="4" style="557" customWidth="1"/>
    <col min="525" max="526" width="4.5546875" style="557" customWidth="1"/>
    <col min="527" max="527" width="4.109375" style="557" customWidth="1"/>
    <col min="528" max="528" width="4" style="557" customWidth="1"/>
    <col min="529" max="529" width="3.88671875" style="557" customWidth="1"/>
    <col min="530" max="531" width="4.6640625" style="557" customWidth="1"/>
    <col min="532" max="532" width="4" style="557" customWidth="1"/>
    <col min="533" max="533" width="4.33203125" style="557" customWidth="1"/>
    <col min="534" max="534" width="4.109375" style="557" customWidth="1"/>
    <col min="535" max="535" width="3.88671875" style="557" customWidth="1"/>
    <col min="536" max="536" width="4.109375" style="557" customWidth="1"/>
    <col min="537" max="537" width="5.5546875" style="557" customWidth="1"/>
    <col min="538" max="538" width="3.5546875" style="557" customWidth="1"/>
    <col min="539" max="539" width="4" style="557" customWidth="1"/>
    <col min="540" max="540" width="4.5546875" style="557" customWidth="1"/>
    <col min="541" max="541" width="4.44140625" style="557" customWidth="1"/>
    <col min="542" max="543" width="4.33203125" style="557" customWidth="1"/>
    <col min="544" max="545" width="4.88671875" style="557" customWidth="1"/>
    <col min="546" max="546" width="4" style="557" customWidth="1"/>
    <col min="547" max="547" width="4.6640625" style="557" customWidth="1"/>
    <col min="548" max="548" width="6" style="557" customWidth="1"/>
    <col min="549" max="549" width="8.88671875" style="557" customWidth="1"/>
    <col min="550" max="769" width="11.44140625" style="557"/>
    <col min="770" max="770" width="6.44140625" style="557" customWidth="1"/>
    <col min="771" max="771" width="47.88671875" style="557" customWidth="1"/>
    <col min="772" max="773" width="5" style="557" customWidth="1"/>
    <col min="774" max="774" width="5.33203125" style="557" customWidth="1"/>
    <col min="775" max="775" width="4.88671875" style="557" customWidth="1"/>
    <col min="776" max="777" width="4.109375" style="557" customWidth="1"/>
    <col min="778" max="778" width="3.5546875" style="557" customWidth="1"/>
    <col min="779" max="779" width="5" style="557" customWidth="1"/>
    <col min="780" max="780" width="4" style="557" customWidth="1"/>
    <col min="781" max="782" width="4.5546875" style="557" customWidth="1"/>
    <col min="783" max="783" width="4.109375" style="557" customWidth="1"/>
    <col min="784" max="784" width="4" style="557" customWidth="1"/>
    <col min="785" max="785" width="3.88671875" style="557" customWidth="1"/>
    <col min="786" max="787" width="4.6640625" style="557" customWidth="1"/>
    <col min="788" max="788" width="4" style="557" customWidth="1"/>
    <col min="789" max="789" width="4.33203125" style="557" customWidth="1"/>
    <col min="790" max="790" width="4.109375" style="557" customWidth="1"/>
    <col min="791" max="791" width="3.88671875" style="557" customWidth="1"/>
    <col min="792" max="792" width="4.109375" style="557" customWidth="1"/>
    <col min="793" max="793" width="5.5546875" style="557" customWidth="1"/>
    <col min="794" max="794" width="3.5546875" style="557" customWidth="1"/>
    <col min="795" max="795" width="4" style="557" customWidth="1"/>
    <col min="796" max="796" width="4.5546875" style="557" customWidth="1"/>
    <col min="797" max="797" width="4.44140625" style="557" customWidth="1"/>
    <col min="798" max="799" width="4.33203125" style="557" customWidth="1"/>
    <col min="800" max="801" width="4.88671875" style="557" customWidth="1"/>
    <col min="802" max="802" width="4" style="557" customWidth="1"/>
    <col min="803" max="803" width="4.6640625" style="557" customWidth="1"/>
    <col min="804" max="804" width="6" style="557" customWidth="1"/>
    <col min="805" max="805" width="8.88671875" style="557" customWidth="1"/>
    <col min="806" max="1025" width="11.44140625" style="557"/>
    <col min="1026" max="1026" width="6.44140625" style="557" customWidth="1"/>
    <col min="1027" max="1027" width="47.88671875" style="557" customWidth="1"/>
    <col min="1028" max="1029" width="5" style="557" customWidth="1"/>
    <col min="1030" max="1030" width="5.33203125" style="557" customWidth="1"/>
    <col min="1031" max="1031" width="4.88671875" style="557" customWidth="1"/>
    <col min="1032" max="1033" width="4.109375" style="557" customWidth="1"/>
    <col min="1034" max="1034" width="3.5546875" style="557" customWidth="1"/>
    <col min="1035" max="1035" width="5" style="557" customWidth="1"/>
    <col min="1036" max="1036" width="4" style="557" customWidth="1"/>
    <col min="1037" max="1038" width="4.5546875" style="557" customWidth="1"/>
    <col min="1039" max="1039" width="4.109375" style="557" customWidth="1"/>
    <col min="1040" max="1040" width="4" style="557" customWidth="1"/>
    <col min="1041" max="1041" width="3.88671875" style="557" customWidth="1"/>
    <col min="1042" max="1043" width="4.6640625" style="557" customWidth="1"/>
    <col min="1044" max="1044" width="4" style="557" customWidth="1"/>
    <col min="1045" max="1045" width="4.33203125" style="557" customWidth="1"/>
    <col min="1046" max="1046" width="4.109375" style="557" customWidth="1"/>
    <col min="1047" max="1047" width="3.88671875" style="557" customWidth="1"/>
    <col min="1048" max="1048" width="4.109375" style="557" customWidth="1"/>
    <col min="1049" max="1049" width="5.5546875" style="557" customWidth="1"/>
    <col min="1050" max="1050" width="3.5546875" style="557" customWidth="1"/>
    <col min="1051" max="1051" width="4" style="557" customWidth="1"/>
    <col min="1052" max="1052" width="4.5546875" style="557" customWidth="1"/>
    <col min="1053" max="1053" width="4.44140625" style="557" customWidth="1"/>
    <col min="1054" max="1055" width="4.33203125" style="557" customWidth="1"/>
    <col min="1056" max="1057" width="4.88671875" style="557" customWidth="1"/>
    <col min="1058" max="1058" width="4" style="557" customWidth="1"/>
    <col min="1059" max="1059" width="4.6640625" style="557" customWidth="1"/>
    <col min="1060" max="1060" width="6" style="557" customWidth="1"/>
    <col min="1061" max="1061" width="8.88671875" style="557" customWidth="1"/>
    <col min="1062" max="1281" width="11.44140625" style="557"/>
    <col min="1282" max="1282" width="6.44140625" style="557" customWidth="1"/>
    <col min="1283" max="1283" width="47.88671875" style="557" customWidth="1"/>
    <col min="1284" max="1285" width="5" style="557" customWidth="1"/>
    <col min="1286" max="1286" width="5.33203125" style="557" customWidth="1"/>
    <col min="1287" max="1287" width="4.88671875" style="557" customWidth="1"/>
    <col min="1288" max="1289" width="4.109375" style="557" customWidth="1"/>
    <col min="1290" max="1290" width="3.5546875" style="557" customWidth="1"/>
    <col min="1291" max="1291" width="5" style="557" customWidth="1"/>
    <col min="1292" max="1292" width="4" style="557" customWidth="1"/>
    <col min="1293" max="1294" width="4.5546875" style="557" customWidth="1"/>
    <col min="1295" max="1295" width="4.109375" style="557" customWidth="1"/>
    <col min="1296" max="1296" width="4" style="557" customWidth="1"/>
    <col min="1297" max="1297" width="3.88671875" style="557" customWidth="1"/>
    <col min="1298" max="1299" width="4.6640625" style="557" customWidth="1"/>
    <col min="1300" max="1300" width="4" style="557" customWidth="1"/>
    <col min="1301" max="1301" width="4.33203125" style="557" customWidth="1"/>
    <col min="1302" max="1302" width="4.109375" style="557" customWidth="1"/>
    <col min="1303" max="1303" width="3.88671875" style="557" customWidth="1"/>
    <col min="1304" max="1304" width="4.109375" style="557" customWidth="1"/>
    <col min="1305" max="1305" width="5.5546875" style="557" customWidth="1"/>
    <col min="1306" max="1306" width="3.5546875" style="557" customWidth="1"/>
    <col min="1307" max="1307" width="4" style="557" customWidth="1"/>
    <col min="1308" max="1308" width="4.5546875" style="557" customWidth="1"/>
    <col min="1309" max="1309" width="4.44140625" style="557" customWidth="1"/>
    <col min="1310" max="1311" width="4.33203125" style="557" customWidth="1"/>
    <col min="1312" max="1313" width="4.88671875" style="557" customWidth="1"/>
    <col min="1314" max="1314" width="4" style="557" customWidth="1"/>
    <col min="1315" max="1315" width="4.6640625" style="557" customWidth="1"/>
    <col min="1316" max="1316" width="6" style="557" customWidth="1"/>
    <col min="1317" max="1317" width="8.88671875" style="557" customWidth="1"/>
    <col min="1318" max="1537" width="11.44140625" style="557"/>
    <col min="1538" max="1538" width="6.44140625" style="557" customWidth="1"/>
    <col min="1539" max="1539" width="47.88671875" style="557" customWidth="1"/>
    <col min="1540" max="1541" width="5" style="557" customWidth="1"/>
    <col min="1542" max="1542" width="5.33203125" style="557" customWidth="1"/>
    <col min="1543" max="1543" width="4.88671875" style="557" customWidth="1"/>
    <col min="1544" max="1545" width="4.109375" style="557" customWidth="1"/>
    <col min="1546" max="1546" width="3.5546875" style="557" customWidth="1"/>
    <col min="1547" max="1547" width="5" style="557" customWidth="1"/>
    <col min="1548" max="1548" width="4" style="557" customWidth="1"/>
    <col min="1549" max="1550" width="4.5546875" style="557" customWidth="1"/>
    <col min="1551" max="1551" width="4.109375" style="557" customWidth="1"/>
    <col min="1552" max="1552" width="4" style="557" customWidth="1"/>
    <col min="1553" max="1553" width="3.88671875" style="557" customWidth="1"/>
    <col min="1554" max="1555" width="4.6640625" style="557" customWidth="1"/>
    <col min="1556" max="1556" width="4" style="557" customWidth="1"/>
    <col min="1557" max="1557" width="4.33203125" style="557" customWidth="1"/>
    <col min="1558" max="1558" width="4.109375" style="557" customWidth="1"/>
    <col min="1559" max="1559" width="3.88671875" style="557" customWidth="1"/>
    <col min="1560" max="1560" width="4.109375" style="557" customWidth="1"/>
    <col min="1561" max="1561" width="5.5546875" style="557" customWidth="1"/>
    <col min="1562" max="1562" width="3.5546875" style="557" customWidth="1"/>
    <col min="1563" max="1563" width="4" style="557" customWidth="1"/>
    <col min="1564" max="1564" width="4.5546875" style="557" customWidth="1"/>
    <col min="1565" max="1565" width="4.44140625" style="557" customWidth="1"/>
    <col min="1566" max="1567" width="4.33203125" style="557" customWidth="1"/>
    <col min="1568" max="1569" width="4.88671875" style="557" customWidth="1"/>
    <col min="1570" max="1570" width="4" style="557" customWidth="1"/>
    <col min="1571" max="1571" width="4.6640625" style="557" customWidth="1"/>
    <col min="1572" max="1572" width="6" style="557" customWidth="1"/>
    <col min="1573" max="1573" width="8.88671875" style="557" customWidth="1"/>
    <col min="1574" max="1793" width="11.44140625" style="557"/>
    <col min="1794" max="1794" width="6.44140625" style="557" customWidth="1"/>
    <col min="1795" max="1795" width="47.88671875" style="557" customWidth="1"/>
    <col min="1796" max="1797" width="5" style="557" customWidth="1"/>
    <col min="1798" max="1798" width="5.33203125" style="557" customWidth="1"/>
    <col min="1799" max="1799" width="4.88671875" style="557" customWidth="1"/>
    <col min="1800" max="1801" width="4.109375" style="557" customWidth="1"/>
    <col min="1802" max="1802" width="3.5546875" style="557" customWidth="1"/>
    <col min="1803" max="1803" width="5" style="557" customWidth="1"/>
    <col min="1804" max="1804" width="4" style="557" customWidth="1"/>
    <col min="1805" max="1806" width="4.5546875" style="557" customWidth="1"/>
    <col min="1807" max="1807" width="4.109375" style="557" customWidth="1"/>
    <col min="1808" max="1808" width="4" style="557" customWidth="1"/>
    <col min="1809" max="1809" width="3.88671875" style="557" customWidth="1"/>
    <col min="1810" max="1811" width="4.6640625" style="557" customWidth="1"/>
    <col min="1812" max="1812" width="4" style="557" customWidth="1"/>
    <col min="1813" max="1813" width="4.33203125" style="557" customWidth="1"/>
    <col min="1814" max="1814" width="4.109375" style="557" customWidth="1"/>
    <col min="1815" max="1815" width="3.88671875" style="557" customWidth="1"/>
    <col min="1816" max="1816" width="4.109375" style="557" customWidth="1"/>
    <col min="1817" max="1817" width="5.5546875" style="557" customWidth="1"/>
    <col min="1818" max="1818" width="3.5546875" style="557" customWidth="1"/>
    <col min="1819" max="1819" width="4" style="557" customWidth="1"/>
    <col min="1820" max="1820" width="4.5546875" style="557" customWidth="1"/>
    <col min="1821" max="1821" width="4.44140625" style="557" customWidth="1"/>
    <col min="1822" max="1823" width="4.33203125" style="557" customWidth="1"/>
    <col min="1824" max="1825" width="4.88671875" style="557" customWidth="1"/>
    <col min="1826" max="1826" width="4" style="557" customWidth="1"/>
    <col min="1827" max="1827" width="4.6640625" style="557" customWidth="1"/>
    <col min="1828" max="1828" width="6" style="557" customWidth="1"/>
    <col min="1829" max="1829" width="8.88671875" style="557" customWidth="1"/>
    <col min="1830" max="2049" width="11.44140625" style="557"/>
    <col min="2050" max="2050" width="6.44140625" style="557" customWidth="1"/>
    <col min="2051" max="2051" width="47.88671875" style="557" customWidth="1"/>
    <col min="2052" max="2053" width="5" style="557" customWidth="1"/>
    <col min="2054" max="2054" width="5.33203125" style="557" customWidth="1"/>
    <col min="2055" max="2055" width="4.88671875" style="557" customWidth="1"/>
    <col min="2056" max="2057" width="4.109375" style="557" customWidth="1"/>
    <col min="2058" max="2058" width="3.5546875" style="557" customWidth="1"/>
    <col min="2059" max="2059" width="5" style="557" customWidth="1"/>
    <col min="2060" max="2060" width="4" style="557" customWidth="1"/>
    <col min="2061" max="2062" width="4.5546875" style="557" customWidth="1"/>
    <col min="2063" max="2063" width="4.109375" style="557" customWidth="1"/>
    <col min="2064" max="2064" width="4" style="557" customWidth="1"/>
    <col min="2065" max="2065" width="3.88671875" style="557" customWidth="1"/>
    <col min="2066" max="2067" width="4.6640625" style="557" customWidth="1"/>
    <col min="2068" max="2068" width="4" style="557" customWidth="1"/>
    <col min="2069" max="2069" width="4.33203125" style="557" customWidth="1"/>
    <col min="2070" max="2070" width="4.109375" style="557" customWidth="1"/>
    <col min="2071" max="2071" width="3.88671875" style="557" customWidth="1"/>
    <col min="2072" max="2072" width="4.109375" style="557" customWidth="1"/>
    <col min="2073" max="2073" width="5.5546875" style="557" customWidth="1"/>
    <col min="2074" max="2074" width="3.5546875" style="557" customWidth="1"/>
    <col min="2075" max="2075" width="4" style="557" customWidth="1"/>
    <col min="2076" max="2076" width="4.5546875" style="557" customWidth="1"/>
    <col min="2077" max="2077" width="4.44140625" style="557" customWidth="1"/>
    <col min="2078" max="2079" width="4.33203125" style="557" customWidth="1"/>
    <col min="2080" max="2081" width="4.88671875" style="557" customWidth="1"/>
    <col min="2082" max="2082" width="4" style="557" customWidth="1"/>
    <col min="2083" max="2083" width="4.6640625" style="557" customWidth="1"/>
    <col min="2084" max="2084" width="6" style="557" customWidth="1"/>
    <col min="2085" max="2085" width="8.88671875" style="557" customWidth="1"/>
    <col min="2086" max="2305" width="11.44140625" style="557"/>
    <col min="2306" max="2306" width="6.44140625" style="557" customWidth="1"/>
    <col min="2307" max="2307" width="47.88671875" style="557" customWidth="1"/>
    <col min="2308" max="2309" width="5" style="557" customWidth="1"/>
    <col min="2310" max="2310" width="5.33203125" style="557" customWidth="1"/>
    <col min="2311" max="2311" width="4.88671875" style="557" customWidth="1"/>
    <col min="2312" max="2313" width="4.109375" style="557" customWidth="1"/>
    <col min="2314" max="2314" width="3.5546875" style="557" customWidth="1"/>
    <col min="2315" max="2315" width="5" style="557" customWidth="1"/>
    <col min="2316" max="2316" width="4" style="557" customWidth="1"/>
    <col min="2317" max="2318" width="4.5546875" style="557" customWidth="1"/>
    <col min="2319" max="2319" width="4.109375" style="557" customWidth="1"/>
    <col min="2320" max="2320" width="4" style="557" customWidth="1"/>
    <col min="2321" max="2321" width="3.88671875" style="557" customWidth="1"/>
    <col min="2322" max="2323" width="4.6640625" style="557" customWidth="1"/>
    <col min="2324" max="2324" width="4" style="557" customWidth="1"/>
    <col min="2325" max="2325" width="4.33203125" style="557" customWidth="1"/>
    <col min="2326" max="2326" width="4.109375" style="557" customWidth="1"/>
    <col min="2327" max="2327" width="3.88671875" style="557" customWidth="1"/>
    <col min="2328" max="2328" width="4.109375" style="557" customWidth="1"/>
    <col min="2329" max="2329" width="5.5546875" style="557" customWidth="1"/>
    <col min="2330" max="2330" width="3.5546875" style="557" customWidth="1"/>
    <col min="2331" max="2331" width="4" style="557" customWidth="1"/>
    <col min="2332" max="2332" width="4.5546875" style="557" customWidth="1"/>
    <col min="2333" max="2333" width="4.44140625" style="557" customWidth="1"/>
    <col min="2334" max="2335" width="4.33203125" style="557" customWidth="1"/>
    <col min="2336" max="2337" width="4.88671875" style="557" customWidth="1"/>
    <col min="2338" max="2338" width="4" style="557" customWidth="1"/>
    <col min="2339" max="2339" width="4.6640625" style="557" customWidth="1"/>
    <col min="2340" max="2340" width="6" style="557" customWidth="1"/>
    <col min="2341" max="2341" width="8.88671875" style="557" customWidth="1"/>
    <col min="2342" max="2561" width="11.44140625" style="557"/>
    <col min="2562" max="2562" width="6.44140625" style="557" customWidth="1"/>
    <col min="2563" max="2563" width="47.88671875" style="557" customWidth="1"/>
    <col min="2564" max="2565" width="5" style="557" customWidth="1"/>
    <col min="2566" max="2566" width="5.33203125" style="557" customWidth="1"/>
    <col min="2567" max="2567" width="4.88671875" style="557" customWidth="1"/>
    <col min="2568" max="2569" width="4.109375" style="557" customWidth="1"/>
    <col min="2570" max="2570" width="3.5546875" style="557" customWidth="1"/>
    <col min="2571" max="2571" width="5" style="557" customWidth="1"/>
    <col min="2572" max="2572" width="4" style="557" customWidth="1"/>
    <col min="2573" max="2574" width="4.5546875" style="557" customWidth="1"/>
    <col min="2575" max="2575" width="4.109375" style="557" customWidth="1"/>
    <col min="2576" max="2576" width="4" style="557" customWidth="1"/>
    <col min="2577" max="2577" width="3.88671875" style="557" customWidth="1"/>
    <col min="2578" max="2579" width="4.6640625" style="557" customWidth="1"/>
    <col min="2580" max="2580" width="4" style="557" customWidth="1"/>
    <col min="2581" max="2581" width="4.33203125" style="557" customWidth="1"/>
    <col min="2582" max="2582" width="4.109375" style="557" customWidth="1"/>
    <col min="2583" max="2583" width="3.88671875" style="557" customWidth="1"/>
    <col min="2584" max="2584" width="4.109375" style="557" customWidth="1"/>
    <col min="2585" max="2585" width="5.5546875" style="557" customWidth="1"/>
    <col min="2586" max="2586" width="3.5546875" style="557" customWidth="1"/>
    <col min="2587" max="2587" width="4" style="557" customWidth="1"/>
    <col min="2588" max="2588" width="4.5546875" style="557" customWidth="1"/>
    <col min="2589" max="2589" width="4.44140625" style="557" customWidth="1"/>
    <col min="2590" max="2591" width="4.33203125" style="557" customWidth="1"/>
    <col min="2592" max="2593" width="4.88671875" style="557" customWidth="1"/>
    <col min="2594" max="2594" width="4" style="557" customWidth="1"/>
    <col min="2595" max="2595" width="4.6640625" style="557" customWidth="1"/>
    <col min="2596" max="2596" width="6" style="557" customWidth="1"/>
    <col min="2597" max="2597" width="8.88671875" style="557" customWidth="1"/>
    <col min="2598" max="2817" width="11.44140625" style="557"/>
    <col min="2818" max="2818" width="6.44140625" style="557" customWidth="1"/>
    <col min="2819" max="2819" width="47.88671875" style="557" customWidth="1"/>
    <col min="2820" max="2821" width="5" style="557" customWidth="1"/>
    <col min="2822" max="2822" width="5.33203125" style="557" customWidth="1"/>
    <col min="2823" max="2823" width="4.88671875" style="557" customWidth="1"/>
    <col min="2824" max="2825" width="4.109375" style="557" customWidth="1"/>
    <col min="2826" max="2826" width="3.5546875" style="557" customWidth="1"/>
    <col min="2827" max="2827" width="5" style="557" customWidth="1"/>
    <col min="2828" max="2828" width="4" style="557" customWidth="1"/>
    <col min="2829" max="2830" width="4.5546875" style="557" customWidth="1"/>
    <col min="2831" max="2831" width="4.109375" style="557" customWidth="1"/>
    <col min="2832" max="2832" width="4" style="557" customWidth="1"/>
    <col min="2833" max="2833" width="3.88671875" style="557" customWidth="1"/>
    <col min="2834" max="2835" width="4.6640625" style="557" customWidth="1"/>
    <col min="2836" max="2836" width="4" style="557" customWidth="1"/>
    <col min="2837" max="2837" width="4.33203125" style="557" customWidth="1"/>
    <col min="2838" max="2838" width="4.109375" style="557" customWidth="1"/>
    <col min="2839" max="2839" width="3.88671875" style="557" customWidth="1"/>
    <col min="2840" max="2840" width="4.109375" style="557" customWidth="1"/>
    <col min="2841" max="2841" width="5.5546875" style="557" customWidth="1"/>
    <col min="2842" max="2842" width="3.5546875" style="557" customWidth="1"/>
    <col min="2843" max="2843" width="4" style="557" customWidth="1"/>
    <col min="2844" max="2844" width="4.5546875" style="557" customWidth="1"/>
    <col min="2845" max="2845" width="4.44140625" style="557" customWidth="1"/>
    <col min="2846" max="2847" width="4.33203125" style="557" customWidth="1"/>
    <col min="2848" max="2849" width="4.88671875" style="557" customWidth="1"/>
    <col min="2850" max="2850" width="4" style="557" customWidth="1"/>
    <col min="2851" max="2851" width="4.6640625" style="557" customWidth="1"/>
    <col min="2852" max="2852" width="6" style="557" customWidth="1"/>
    <col min="2853" max="2853" width="8.88671875" style="557" customWidth="1"/>
    <col min="2854" max="3073" width="11.44140625" style="557"/>
    <col min="3074" max="3074" width="6.44140625" style="557" customWidth="1"/>
    <col min="3075" max="3075" width="47.88671875" style="557" customWidth="1"/>
    <col min="3076" max="3077" width="5" style="557" customWidth="1"/>
    <col min="3078" max="3078" width="5.33203125" style="557" customWidth="1"/>
    <col min="3079" max="3079" width="4.88671875" style="557" customWidth="1"/>
    <col min="3080" max="3081" width="4.109375" style="557" customWidth="1"/>
    <col min="3082" max="3082" width="3.5546875" style="557" customWidth="1"/>
    <col min="3083" max="3083" width="5" style="557" customWidth="1"/>
    <col min="3084" max="3084" width="4" style="557" customWidth="1"/>
    <col min="3085" max="3086" width="4.5546875" style="557" customWidth="1"/>
    <col min="3087" max="3087" width="4.109375" style="557" customWidth="1"/>
    <col min="3088" max="3088" width="4" style="557" customWidth="1"/>
    <col min="3089" max="3089" width="3.88671875" style="557" customWidth="1"/>
    <col min="3090" max="3091" width="4.6640625" style="557" customWidth="1"/>
    <col min="3092" max="3092" width="4" style="557" customWidth="1"/>
    <col min="3093" max="3093" width="4.33203125" style="557" customWidth="1"/>
    <col min="3094" max="3094" width="4.109375" style="557" customWidth="1"/>
    <col min="3095" max="3095" width="3.88671875" style="557" customWidth="1"/>
    <col min="3096" max="3096" width="4.109375" style="557" customWidth="1"/>
    <col min="3097" max="3097" width="5.5546875" style="557" customWidth="1"/>
    <col min="3098" max="3098" width="3.5546875" style="557" customWidth="1"/>
    <col min="3099" max="3099" width="4" style="557" customWidth="1"/>
    <col min="3100" max="3100" width="4.5546875" style="557" customWidth="1"/>
    <col min="3101" max="3101" width="4.44140625" style="557" customWidth="1"/>
    <col min="3102" max="3103" width="4.33203125" style="557" customWidth="1"/>
    <col min="3104" max="3105" width="4.88671875" style="557" customWidth="1"/>
    <col min="3106" max="3106" width="4" style="557" customWidth="1"/>
    <col min="3107" max="3107" width="4.6640625" style="557" customWidth="1"/>
    <col min="3108" max="3108" width="6" style="557" customWidth="1"/>
    <col min="3109" max="3109" width="8.88671875" style="557" customWidth="1"/>
    <col min="3110" max="3329" width="11.44140625" style="557"/>
    <col min="3330" max="3330" width="6.44140625" style="557" customWidth="1"/>
    <col min="3331" max="3331" width="47.88671875" style="557" customWidth="1"/>
    <col min="3332" max="3333" width="5" style="557" customWidth="1"/>
    <col min="3334" max="3334" width="5.33203125" style="557" customWidth="1"/>
    <col min="3335" max="3335" width="4.88671875" style="557" customWidth="1"/>
    <col min="3336" max="3337" width="4.109375" style="557" customWidth="1"/>
    <col min="3338" max="3338" width="3.5546875" style="557" customWidth="1"/>
    <col min="3339" max="3339" width="5" style="557" customWidth="1"/>
    <col min="3340" max="3340" width="4" style="557" customWidth="1"/>
    <col min="3341" max="3342" width="4.5546875" style="557" customWidth="1"/>
    <col min="3343" max="3343" width="4.109375" style="557" customWidth="1"/>
    <col min="3344" max="3344" width="4" style="557" customWidth="1"/>
    <col min="3345" max="3345" width="3.88671875" style="557" customWidth="1"/>
    <col min="3346" max="3347" width="4.6640625" style="557" customWidth="1"/>
    <col min="3348" max="3348" width="4" style="557" customWidth="1"/>
    <col min="3349" max="3349" width="4.33203125" style="557" customWidth="1"/>
    <col min="3350" max="3350" width="4.109375" style="557" customWidth="1"/>
    <col min="3351" max="3351" width="3.88671875" style="557" customWidth="1"/>
    <col min="3352" max="3352" width="4.109375" style="557" customWidth="1"/>
    <col min="3353" max="3353" width="5.5546875" style="557" customWidth="1"/>
    <col min="3354" max="3354" width="3.5546875" style="557" customWidth="1"/>
    <col min="3355" max="3355" width="4" style="557" customWidth="1"/>
    <col min="3356" max="3356" width="4.5546875" style="557" customWidth="1"/>
    <col min="3357" max="3357" width="4.44140625" style="557" customWidth="1"/>
    <col min="3358" max="3359" width="4.33203125" style="557" customWidth="1"/>
    <col min="3360" max="3361" width="4.88671875" style="557" customWidth="1"/>
    <col min="3362" max="3362" width="4" style="557" customWidth="1"/>
    <col min="3363" max="3363" width="4.6640625" style="557" customWidth="1"/>
    <col min="3364" max="3364" width="6" style="557" customWidth="1"/>
    <col min="3365" max="3365" width="8.88671875" style="557" customWidth="1"/>
    <col min="3366" max="3585" width="11.44140625" style="557"/>
    <col min="3586" max="3586" width="6.44140625" style="557" customWidth="1"/>
    <col min="3587" max="3587" width="47.88671875" style="557" customWidth="1"/>
    <col min="3588" max="3589" width="5" style="557" customWidth="1"/>
    <col min="3590" max="3590" width="5.33203125" style="557" customWidth="1"/>
    <col min="3591" max="3591" width="4.88671875" style="557" customWidth="1"/>
    <col min="3592" max="3593" width="4.109375" style="557" customWidth="1"/>
    <col min="3594" max="3594" width="3.5546875" style="557" customWidth="1"/>
    <col min="3595" max="3595" width="5" style="557" customWidth="1"/>
    <col min="3596" max="3596" width="4" style="557" customWidth="1"/>
    <col min="3597" max="3598" width="4.5546875" style="557" customWidth="1"/>
    <col min="3599" max="3599" width="4.109375" style="557" customWidth="1"/>
    <col min="3600" max="3600" width="4" style="557" customWidth="1"/>
    <col min="3601" max="3601" width="3.88671875" style="557" customWidth="1"/>
    <col min="3602" max="3603" width="4.6640625" style="557" customWidth="1"/>
    <col min="3604" max="3604" width="4" style="557" customWidth="1"/>
    <col min="3605" max="3605" width="4.33203125" style="557" customWidth="1"/>
    <col min="3606" max="3606" width="4.109375" style="557" customWidth="1"/>
    <col min="3607" max="3607" width="3.88671875" style="557" customWidth="1"/>
    <col min="3608" max="3608" width="4.109375" style="557" customWidth="1"/>
    <col min="3609" max="3609" width="5.5546875" style="557" customWidth="1"/>
    <col min="3610" max="3610" width="3.5546875" style="557" customWidth="1"/>
    <col min="3611" max="3611" width="4" style="557" customWidth="1"/>
    <col min="3612" max="3612" width="4.5546875" style="557" customWidth="1"/>
    <col min="3613" max="3613" width="4.44140625" style="557" customWidth="1"/>
    <col min="3614" max="3615" width="4.33203125" style="557" customWidth="1"/>
    <col min="3616" max="3617" width="4.88671875" style="557" customWidth="1"/>
    <col min="3618" max="3618" width="4" style="557" customWidth="1"/>
    <col min="3619" max="3619" width="4.6640625" style="557" customWidth="1"/>
    <col min="3620" max="3620" width="6" style="557" customWidth="1"/>
    <col min="3621" max="3621" width="8.88671875" style="557" customWidth="1"/>
    <col min="3622" max="3841" width="11.44140625" style="557"/>
    <col min="3842" max="3842" width="6.44140625" style="557" customWidth="1"/>
    <col min="3843" max="3843" width="47.88671875" style="557" customWidth="1"/>
    <col min="3844" max="3845" width="5" style="557" customWidth="1"/>
    <col min="3846" max="3846" width="5.33203125" style="557" customWidth="1"/>
    <col min="3847" max="3847" width="4.88671875" style="557" customWidth="1"/>
    <col min="3848" max="3849" width="4.109375" style="557" customWidth="1"/>
    <col min="3850" max="3850" width="3.5546875" style="557" customWidth="1"/>
    <col min="3851" max="3851" width="5" style="557" customWidth="1"/>
    <col min="3852" max="3852" width="4" style="557" customWidth="1"/>
    <col min="3853" max="3854" width="4.5546875" style="557" customWidth="1"/>
    <col min="3855" max="3855" width="4.109375" style="557" customWidth="1"/>
    <col min="3856" max="3856" width="4" style="557" customWidth="1"/>
    <col min="3857" max="3857" width="3.88671875" style="557" customWidth="1"/>
    <col min="3858" max="3859" width="4.6640625" style="557" customWidth="1"/>
    <col min="3860" max="3860" width="4" style="557" customWidth="1"/>
    <col min="3861" max="3861" width="4.33203125" style="557" customWidth="1"/>
    <col min="3862" max="3862" width="4.109375" style="557" customWidth="1"/>
    <col min="3863" max="3863" width="3.88671875" style="557" customWidth="1"/>
    <col min="3864" max="3864" width="4.109375" style="557" customWidth="1"/>
    <col min="3865" max="3865" width="5.5546875" style="557" customWidth="1"/>
    <col min="3866" max="3866" width="3.5546875" style="557" customWidth="1"/>
    <col min="3867" max="3867" width="4" style="557" customWidth="1"/>
    <col min="3868" max="3868" width="4.5546875" style="557" customWidth="1"/>
    <col min="3869" max="3869" width="4.44140625" style="557" customWidth="1"/>
    <col min="3870" max="3871" width="4.33203125" style="557" customWidth="1"/>
    <col min="3872" max="3873" width="4.88671875" style="557" customWidth="1"/>
    <col min="3874" max="3874" width="4" style="557" customWidth="1"/>
    <col min="3875" max="3875" width="4.6640625" style="557" customWidth="1"/>
    <col min="3876" max="3876" width="6" style="557" customWidth="1"/>
    <col min="3877" max="3877" width="8.88671875" style="557" customWidth="1"/>
    <col min="3878" max="4097" width="11.44140625" style="557"/>
    <col min="4098" max="4098" width="6.44140625" style="557" customWidth="1"/>
    <col min="4099" max="4099" width="47.88671875" style="557" customWidth="1"/>
    <col min="4100" max="4101" width="5" style="557" customWidth="1"/>
    <col min="4102" max="4102" width="5.33203125" style="557" customWidth="1"/>
    <col min="4103" max="4103" width="4.88671875" style="557" customWidth="1"/>
    <col min="4104" max="4105" width="4.109375" style="557" customWidth="1"/>
    <col min="4106" max="4106" width="3.5546875" style="557" customWidth="1"/>
    <col min="4107" max="4107" width="5" style="557" customWidth="1"/>
    <col min="4108" max="4108" width="4" style="557" customWidth="1"/>
    <col min="4109" max="4110" width="4.5546875" style="557" customWidth="1"/>
    <col min="4111" max="4111" width="4.109375" style="557" customWidth="1"/>
    <col min="4112" max="4112" width="4" style="557" customWidth="1"/>
    <col min="4113" max="4113" width="3.88671875" style="557" customWidth="1"/>
    <col min="4114" max="4115" width="4.6640625" style="557" customWidth="1"/>
    <col min="4116" max="4116" width="4" style="557" customWidth="1"/>
    <col min="4117" max="4117" width="4.33203125" style="557" customWidth="1"/>
    <col min="4118" max="4118" width="4.109375" style="557" customWidth="1"/>
    <col min="4119" max="4119" width="3.88671875" style="557" customWidth="1"/>
    <col min="4120" max="4120" width="4.109375" style="557" customWidth="1"/>
    <col min="4121" max="4121" width="5.5546875" style="557" customWidth="1"/>
    <col min="4122" max="4122" width="3.5546875" style="557" customWidth="1"/>
    <col min="4123" max="4123" width="4" style="557" customWidth="1"/>
    <col min="4124" max="4124" width="4.5546875" style="557" customWidth="1"/>
    <col min="4125" max="4125" width="4.44140625" style="557" customWidth="1"/>
    <col min="4126" max="4127" width="4.33203125" style="557" customWidth="1"/>
    <col min="4128" max="4129" width="4.88671875" style="557" customWidth="1"/>
    <col min="4130" max="4130" width="4" style="557" customWidth="1"/>
    <col min="4131" max="4131" width="4.6640625" style="557" customWidth="1"/>
    <col min="4132" max="4132" width="6" style="557" customWidth="1"/>
    <col min="4133" max="4133" width="8.88671875" style="557" customWidth="1"/>
    <col min="4134" max="4353" width="11.44140625" style="557"/>
    <col min="4354" max="4354" width="6.44140625" style="557" customWidth="1"/>
    <col min="4355" max="4355" width="47.88671875" style="557" customWidth="1"/>
    <col min="4356" max="4357" width="5" style="557" customWidth="1"/>
    <col min="4358" max="4358" width="5.33203125" style="557" customWidth="1"/>
    <col min="4359" max="4359" width="4.88671875" style="557" customWidth="1"/>
    <col min="4360" max="4361" width="4.109375" style="557" customWidth="1"/>
    <col min="4362" max="4362" width="3.5546875" style="557" customWidth="1"/>
    <col min="4363" max="4363" width="5" style="557" customWidth="1"/>
    <col min="4364" max="4364" width="4" style="557" customWidth="1"/>
    <col min="4365" max="4366" width="4.5546875" style="557" customWidth="1"/>
    <col min="4367" max="4367" width="4.109375" style="557" customWidth="1"/>
    <col min="4368" max="4368" width="4" style="557" customWidth="1"/>
    <col min="4369" max="4369" width="3.88671875" style="557" customWidth="1"/>
    <col min="4370" max="4371" width="4.6640625" style="557" customWidth="1"/>
    <col min="4372" max="4372" width="4" style="557" customWidth="1"/>
    <col min="4373" max="4373" width="4.33203125" style="557" customWidth="1"/>
    <col min="4374" max="4374" width="4.109375" style="557" customWidth="1"/>
    <col min="4375" max="4375" width="3.88671875" style="557" customWidth="1"/>
    <col min="4376" max="4376" width="4.109375" style="557" customWidth="1"/>
    <col min="4377" max="4377" width="5.5546875" style="557" customWidth="1"/>
    <col min="4378" max="4378" width="3.5546875" style="557" customWidth="1"/>
    <col min="4379" max="4379" width="4" style="557" customWidth="1"/>
    <col min="4380" max="4380" width="4.5546875" style="557" customWidth="1"/>
    <col min="4381" max="4381" width="4.44140625" style="557" customWidth="1"/>
    <col min="4382" max="4383" width="4.33203125" style="557" customWidth="1"/>
    <col min="4384" max="4385" width="4.88671875" style="557" customWidth="1"/>
    <col min="4386" max="4386" width="4" style="557" customWidth="1"/>
    <col min="4387" max="4387" width="4.6640625" style="557" customWidth="1"/>
    <col min="4388" max="4388" width="6" style="557" customWidth="1"/>
    <col min="4389" max="4389" width="8.88671875" style="557" customWidth="1"/>
    <col min="4390" max="4609" width="11.44140625" style="557"/>
    <col min="4610" max="4610" width="6.44140625" style="557" customWidth="1"/>
    <col min="4611" max="4611" width="47.88671875" style="557" customWidth="1"/>
    <col min="4612" max="4613" width="5" style="557" customWidth="1"/>
    <col min="4614" max="4614" width="5.33203125" style="557" customWidth="1"/>
    <col min="4615" max="4615" width="4.88671875" style="557" customWidth="1"/>
    <col min="4616" max="4617" width="4.109375" style="557" customWidth="1"/>
    <col min="4618" max="4618" width="3.5546875" style="557" customWidth="1"/>
    <col min="4619" max="4619" width="5" style="557" customWidth="1"/>
    <col min="4620" max="4620" width="4" style="557" customWidth="1"/>
    <col min="4621" max="4622" width="4.5546875" style="557" customWidth="1"/>
    <col min="4623" max="4623" width="4.109375" style="557" customWidth="1"/>
    <col min="4624" max="4624" width="4" style="557" customWidth="1"/>
    <col min="4625" max="4625" width="3.88671875" style="557" customWidth="1"/>
    <col min="4626" max="4627" width="4.6640625" style="557" customWidth="1"/>
    <col min="4628" max="4628" width="4" style="557" customWidth="1"/>
    <col min="4629" max="4629" width="4.33203125" style="557" customWidth="1"/>
    <col min="4630" max="4630" width="4.109375" style="557" customWidth="1"/>
    <col min="4631" max="4631" width="3.88671875" style="557" customWidth="1"/>
    <col min="4632" max="4632" width="4.109375" style="557" customWidth="1"/>
    <col min="4633" max="4633" width="5.5546875" style="557" customWidth="1"/>
    <col min="4634" max="4634" width="3.5546875" style="557" customWidth="1"/>
    <col min="4635" max="4635" width="4" style="557" customWidth="1"/>
    <col min="4636" max="4636" width="4.5546875" style="557" customWidth="1"/>
    <col min="4637" max="4637" width="4.44140625" style="557" customWidth="1"/>
    <col min="4638" max="4639" width="4.33203125" style="557" customWidth="1"/>
    <col min="4640" max="4641" width="4.88671875" style="557" customWidth="1"/>
    <col min="4642" max="4642" width="4" style="557" customWidth="1"/>
    <col min="4643" max="4643" width="4.6640625" style="557" customWidth="1"/>
    <col min="4644" max="4644" width="6" style="557" customWidth="1"/>
    <col min="4645" max="4645" width="8.88671875" style="557" customWidth="1"/>
    <col min="4646" max="4865" width="11.44140625" style="557"/>
    <col min="4866" max="4866" width="6.44140625" style="557" customWidth="1"/>
    <col min="4867" max="4867" width="47.88671875" style="557" customWidth="1"/>
    <col min="4868" max="4869" width="5" style="557" customWidth="1"/>
    <col min="4870" max="4870" width="5.33203125" style="557" customWidth="1"/>
    <col min="4871" max="4871" width="4.88671875" style="557" customWidth="1"/>
    <col min="4872" max="4873" width="4.109375" style="557" customWidth="1"/>
    <col min="4874" max="4874" width="3.5546875" style="557" customWidth="1"/>
    <col min="4875" max="4875" width="5" style="557" customWidth="1"/>
    <col min="4876" max="4876" width="4" style="557" customWidth="1"/>
    <col min="4877" max="4878" width="4.5546875" style="557" customWidth="1"/>
    <col min="4879" max="4879" width="4.109375" style="557" customWidth="1"/>
    <col min="4880" max="4880" width="4" style="557" customWidth="1"/>
    <col min="4881" max="4881" width="3.88671875" style="557" customWidth="1"/>
    <col min="4882" max="4883" width="4.6640625" style="557" customWidth="1"/>
    <col min="4884" max="4884" width="4" style="557" customWidth="1"/>
    <col min="4885" max="4885" width="4.33203125" style="557" customWidth="1"/>
    <col min="4886" max="4886" width="4.109375" style="557" customWidth="1"/>
    <col min="4887" max="4887" width="3.88671875" style="557" customWidth="1"/>
    <col min="4888" max="4888" width="4.109375" style="557" customWidth="1"/>
    <col min="4889" max="4889" width="5.5546875" style="557" customWidth="1"/>
    <col min="4890" max="4890" width="3.5546875" style="557" customWidth="1"/>
    <col min="4891" max="4891" width="4" style="557" customWidth="1"/>
    <col min="4892" max="4892" width="4.5546875" style="557" customWidth="1"/>
    <col min="4893" max="4893" width="4.44140625" style="557" customWidth="1"/>
    <col min="4894" max="4895" width="4.33203125" style="557" customWidth="1"/>
    <col min="4896" max="4897" width="4.88671875" style="557" customWidth="1"/>
    <col min="4898" max="4898" width="4" style="557" customWidth="1"/>
    <col min="4899" max="4899" width="4.6640625" style="557" customWidth="1"/>
    <col min="4900" max="4900" width="6" style="557" customWidth="1"/>
    <col min="4901" max="4901" width="8.88671875" style="557" customWidth="1"/>
    <col min="4902" max="5121" width="11.44140625" style="557"/>
    <col min="5122" max="5122" width="6.44140625" style="557" customWidth="1"/>
    <col min="5123" max="5123" width="47.88671875" style="557" customWidth="1"/>
    <col min="5124" max="5125" width="5" style="557" customWidth="1"/>
    <col min="5126" max="5126" width="5.33203125" style="557" customWidth="1"/>
    <col min="5127" max="5127" width="4.88671875" style="557" customWidth="1"/>
    <col min="5128" max="5129" width="4.109375" style="557" customWidth="1"/>
    <col min="5130" max="5130" width="3.5546875" style="557" customWidth="1"/>
    <col min="5131" max="5131" width="5" style="557" customWidth="1"/>
    <col min="5132" max="5132" width="4" style="557" customWidth="1"/>
    <col min="5133" max="5134" width="4.5546875" style="557" customWidth="1"/>
    <col min="5135" max="5135" width="4.109375" style="557" customWidth="1"/>
    <col min="5136" max="5136" width="4" style="557" customWidth="1"/>
    <col min="5137" max="5137" width="3.88671875" style="557" customWidth="1"/>
    <col min="5138" max="5139" width="4.6640625" style="557" customWidth="1"/>
    <col min="5140" max="5140" width="4" style="557" customWidth="1"/>
    <col min="5141" max="5141" width="4.33203125" style="557" customWidth="1"/>
    <col min="5142" max="5142" width="4.109375" style="557" customWidth="1"/>
    <col min="5143" max="5143" width="3.88671875" style="557" customWidth="1"/>
    <col min="5144" max="5144" width="4.109375" style="557" customWidth="1"/>
    <col min="5145" max="5145" width="5.5546875" style="557" customWidth="1"/>
    <col min="5146" max="5146" width="3.5546875" style="557" customWidth="1"/>
    <col min="5147" max="5147" width="4" style="557" customWidth="1"/>
    <col min="5148" max="5148" width="4.5546875" style="557" customWidth="1"/>
    <col min="5149" max="5149" width="4.44140625" style="557" customWidth="1"/>
    <col min="5150" max="5151" width="4.33203125" style="557" customWidth="1"/>
    <col min="5152" max="5153" width="4.88671875" style="557" customWidth="1"/>
    <col min="5154" max="5154" width="4" style="557" customWidth="1"/>
    <col min="5155" max="5155" width="4.6640625" style="557" customWidth="1"/>
    <col min="5156" max="5156" width="6" style="557" customWidth="1"/>
    <col min="5157" max="5157" width="8.88671875" style="557" customWidth="1"/>
    <col min="5158" max="5377" width="11.44140625" style="557"/>
    <col min="5378" max="5378" width="6.44140625" style="557" customWidth="1"/>
    <col min="5379" max="5379" width="47.88671875" style="557" customWidth="1"/>
    <col min="5380" max="5381" width="5" style="557" customWidth="1"/>
    <col min="5382" max="5382" width="5.33203125" style="557" customWidth="1"/>
    <col min="5383" max="5383" width="4.88671875" style="557" customWidth="1"/>
    <col min="5384" max="5385" width="4.109375" style="557" customWidth="1"/>
    <col min="5386" max="5386" width="3.5546875" style="557" customWidth="1"/>
    <col min="5387" max="5387" width="5" style="557" customWidth="1"/>
    <col min="5388" max="5388" width="4" style="557" customWidth="1"/>
    <col min="5389" max="5390" width="4.5546875" style="557" customWidth="1"/>
    <col min="5391" max="5391" width="4.109375" style="557" customWidth="1"/>
    <col min="5392" max="5392" width="4" style="557" customWidth="1"/>
    <col min="5393" max="5393" width="3.88671875" style="557" customWidth="1"/>
    <col min="5394" max="5395" width="4.6640625" style="557" customWidth="1"/>
    <col min="5396" max="5396" width="4" style="557" customWidth="1"/>
    <col min="5397" max="5397" width="4.33203125" style="557" customWidth="1"/>
    <col min="5398" max="5398" width="4.109375" style="557" customWidth="1"/>
    <col min="5399" max="5399" width="3.88671875" style="557" customWidth="1"/>
    <col min="5400" max="5400" width="4.109375" style="557" customWidth="1"/>
    <col min="5401" max="5401" width="5.5546875" style="557" customWidth="1"/>
    <col min="5402" max="5402" width="3.5546875" style="557" customWidth="1"/>
    <col min="5403" max="5403" width="4" style="557" customWidth="1"/>
    <col min="5404" max="5404" width="4.5546875" style="557" customWidth="1"/>
    <col min="5405" max="5405" width="4.44140625" style="557" customWidth="1"/>
    <col min="5406" max="5407" width="4.33203125" style="557" customWidth="1"/>
    <col min="5408" max="5409" width="4.88671875" style="557" customWidth="1"/>
    <col min="5410" max="5410" width="4" style="557" customWidth="1"/>
    <col min="5411" max="5411" width="4.6640625" style="557" customWidth="1"/>
    <col min="5412" max="5412" width="6" style="557" customWidth="1"/>
    <col min="5413" max="5413" width="8.88671875" style="557" customWidth="1"/>
    <col min="5414" max="5633" width="11.44140625" style="557"/>
    <col min="5634" max="5634" width="6.44140625" style="557" customWidth="1"/>
    <col min="5635" max="5635" width="47.88671875" style="557" customWidth="1"/>
    <col min="5636" max="5637" width="5" style="557" customWidth="1"/>
    <col min="5638" max="5638" width="5.33203125" style="557" customWidth="1"/>
    <col min="5639" max="5639" width="4.88671875" style="557" customWidth="1"/>
    <col min="5640" max="5641" width="4.109375" style="557" customWidth="1"/>
    <col min="5642" max="5642" width="3.5546875" style="557" customWidth="1"/>
    <col min="5643" max="5643" width="5" style="557" customWidth="1"/>
    <col min="5644" max="5644" width="4" style="557" customWidth="1"/>
    <col min="5645" max="5646" width="4.5546875" style="557" customWidth="1"/>
    <col min="5647" max="5647" width="4.109375" style="557" customWidth="1"/>
    <col min="5648" max="5648" width="4" style="557" customWidth="1"/>
    <col min="5649" max="5649" width="3.88671875" style="557" customWidth="1"/>
    <col min="5650" max="5651" width="4.6640625" style="557" customWidth="1"/>
    <col min="5652" max="5652" width="4" style="557" customWidth="1"/>
    <col min="5653" max="5653" width="4.33203125" style="557" customWidth="1"/>
    <col min="5654" max="5654" width="4.109375" style="557" customWidth="1"/>
    <col min="5655" max="5655" width="3.88671875" style="557" customWidth="1"/>
    <col min="5656" max="5656" width="4.109375" style="557" customWidth="1"/>
    <col min="5657" max="5657" width="5.5546875" style="557" customWidth="1"/>
    <col min="5658" max="5658" width="3.5546875" style="557" customWidth="1"/>
    <col min="5659" max="5659" width="4" style="557" customWidth="1"/>
    <col min="5660" max="5660" width="4.5546875" style="557" customWidth="1"/>
    <col min="5661" max="5661" width="4.44140625" style="557" customWidth="1"/>
    <col min="5662" max="5663" width="4.33203125" style="557" customWidth="1"/>
    <col min="5664" max="5665" width="4.88671875" style="557" customWidth="1"/>
    <col min="5666" max="5666" width="4" style="557" customWidth="1"/>
    <col min="5667" max="5667" width="4.6640625" style="557" customWidth="1"/>
    <col min="5668" max="5668" width="6" style="557" customWidth="1"/>
    <col min="5669" max="5669" width="8.88671875" style="557" customWidth="1"/>
    <col min="5670" max="5889" width="11.44140625" style="557"/>
    <col min="5890" max="5890" width="6.44140625" style="557" customWidth="1"/>
    <col min="5891" max="5891" width="47.88671875" style="557" customWidth="1"/>
    <col min="5892" max="5893" width="5" style="557" customWidth="1"/>
    <col min="5894" max="5894" width="5.33203125" style="557" customWidth="1"/>
    <col min="5895" max="5895" width="4.88671875" style="557" customWidth="1"/>
    <col min="5896" max="5897" width="4.109375" style="557" customWidth="1"/>
    <col min="5898" max="5898" width="3.5546875" style="557" customWidth="1"/>
    <col min="5899" max="5899" width="5" style="557" customWidth="1"/>
    <col min="5900" max="5900" width="4" style="557" customWidth="1"/>
    <col min="5901" max="5902" width="4.5546875" style="557" customWidth="1"/>
    <col min="5903" max="5903" width="4.109375" style="557" customWidth="1"/>
    <col min="5904" max="5904" width="4" style="557" customWidth="1"/>
    <col min="5905" max="5905" width="3.88671875" style="557" customWidth="1"/>
    <col min="5906" max="5907" width="4.6640625" style="557" customWidth="1"/>
    <col min="5908" max="5908" width="4" style="557" customWidth="1"/>
    <col min="5909" max="5909" width="4.33203125" style="557" customWidth="1"/>
    <col min="5910" max="5910" width="4.109375" style="557" customWidth="1"/>
    <col min="5911" max="5911" width="3.88671875" style="557" customWidth="1"/>
    <col min="5912" max="5912" width="4.109375" style="557" customWidth="1"/>
    <col min="5913" max="5913" width="5.5546875" style="557" customWidth="1"/>
    <col min="5914" max="5914" width="3.5546875" style="557" customWidth="1"/>
    <col min="5915" max="5915" width="4" style="557" customWidth="1"/>
    <col min="5916" max="5916" width="4.5546875" style="557" customWidth="1"/>
    <col min="5917" max="5917" width="4.44140625" style="557" customWidth="1"/>
    <col min="5918" max="5919" width="4.33203125" style="557" customWidth="1"/>
    <col min="5920" max="5921" width="4.88671875" style="557" customWidth="1"/>
    <col min="5922" max="5922" width="4" style="557" customWidth="1"/>
    <col min="5923" max="5923" width="4.6640625" style="557" customWidth="1"/>
    <col min="5924" max="5924" width="6" style="557" customWidth="1"/>
    <col min="5925" max="5925" width="8.88671875" style="557" customWidth="1"/>
    <col min="5926" max="6145" width="11.44140625" style="557"/>
    <col min="6146" max="6146" width="6.44140625" style="557" customWidth="1"/>
    <col min="6147" max="6147" width="47.88671875" style="557" customWidth="1"/>
    <col min="6148" max="6149" width="5" style="557" customWidth="1"/>
    <col min="6150" max="6150" width="5.33203125" style="557" customWidth="1"/>
    <col min="6151" max="6151" width="4.88671875" style="557" customWidth="1"/>
    <col min="6152" max="6153" width="4.109375" style="557" customWidth="1"/>
    <col min="6154" max="6154" width="3.5546875" style="557" customWidth="1"/>
    <col min="6155" max="6155" width="5" style="557" customWidth="1"/>
    <col min="6156" max="6156" width="4" style="557" customWidth="1"/>
    <col min="6157" max="6158" width="4.5546875" style="557" customWidth="1"/>
    <col min="6159" max="6159" width="4.109375" style="557" customWidth="1"/>
    <col min="6160" max="6160" width="4" style="557" customWidth="1"/>
    <col min="6161" max="6161" width="3.88671875" style="557" customWidth="1"/>
    <col min="6162" max="6163" width="4.6640625" style="557" customWidth="1"/>
    <col min="6164" max="6164" width="4" style="557" customWidth="1"/>
    <col min="6165" max="6165" width="4.33203125" style="557" customWidth="1"/>
    <col min="6166" max="6166" width="4.109375" style="557" customWidth="1"/>
    <col min="6167" max="6167" width="3.88671875" style="557" customWidth="1"/>
    <col min="6168" max="6168" width="4.109375" style="557" customWidth="1"/>
    <col min="6169" max="6169" width="5.5546875" style="557" customWidth="1"/>
    <col min="6170" max="6170" width="3.5546875" style="557" customWidth="1"/>
    <col min="6171" max="6171" width="4" style="557" customWidth="1"/>
    <col min="6172" max="6172" width="4.5546875" style="557" customWidth="1"/>
    <col min="6173" max="6173" width="4.44140625" style="557" customWidth="1"/>
    <col min="6174" max="6175" width="4.33203125" style="557" customWidth="1"/>
    <col min="6176" max="6177" width="4.88671875" style="557" customWidth="1"/>
    <col min="6178" max="6178" width="4" style="557" customWidth="1"/>
    <col min="6179" max="6179" width="4.6640625" style="557" customWidth="1"/>
    <col min="6180" max="6180" width="6" style="557" customWidth="1"/>
    <col min="6181" max="6181" width="8.88671875" style="557" customWidth="1"/>
    <col min="6182" max="6401" width="11.44140625" style="557"/>
    <col min="6402" max="6402" width="6.44140625" style="557" customWidth="1"/>
    <col min="6403" max="6403" width="47.88671875" style="557" customWidth="1"/>
    <col min="6404" max="6405" width="5" style="557" customWidth="1"/>
    <col min="6406" max="6406" width="5.33203125" style="557" customWidth="1"/>
    <col min="6407" max="6407" width="4.88671875" style="557" customWidth="1"/>
    <col min="6408" max="6409" width="4.109375" style="557" customWidth="1"/>
    <col min="6410" max="6410" width="3.5546875" style="557" customWidth="1"/>
    <col min="6411" max="6411" width="5" style="557" customWidth="1"/>
    <col min="6412" max="6412" width="4" style="557" customWidth="1"/>
    <col min="6413" max="6414" width="4.5546875" style="557" customWidth="1"/>
    <col min="6415" max="6415" width="4.109375" style="557" customWidth="1"/>
    <col min="6416" max="6416" width="4" style="557" customWidth="1"/>
    <col min="6417" max="6417" width="3.88671875" style="557" customWidth="1"/>
    <col min="6418" max="6419" width="4.6640625" style="557" customWidth="1"/>
    <col min="6420" max="6420" width="4" style="557" customWidth="1"/>
    <col min="6421" max="6421" width="4.33203125" style="557" customWidth="1"/>
    <col min="6422" max="6422" width="4.109375" style="557" customWidth="1"/>
    <col min="6423" max="6423" width="3.88671875" style="557" customWidth="1"/>
    <col min="6424" max="6424" width="4.109375" style="557" customWidth="1"/>
    <col min="6425" max="6425" width="5.5546875" style="557" customWidth="1"/>
    <col min="6426" max="6426" width="3.5546875" style="557" customWidth="1"/>
    <col min="6427" max="6427" width="4" style="557" customWidth="1"/>
    <col min="6428" max="6428" width="4.5546875" style="557" customWidth="1"/>
    <col min="6429" max="6429" width="4.44140625" style="557" customWidth="1"/>
    <col min="6430" max="6431" width="4.33203125" style="557" customWidth="1"/>
    <col min="6432" max="6433" width="4.88671875" style="557" customWidth="1"/>
    <col min="6434" max="6434" width="4" style="557" customWidth="1"/>
    <col min="6435" max="6435" width="4.6640625" style="557" customWidth="1"/>
    <col min="6436" max="6436" width="6" style="557" customWidth="1"/>
    <col min="6437" max="6437" width="8.88671875" style="557" customWidth="1"/>
    <col min="6438" max="6657" width="11.44140625" style="557"/>
    <col min="6658" max="6658" width="6.44140625" style="557" customWidth="1"/>
    <col min="6659" max="6659" width="47.88671875" style="557" customWidth="1"/>
    <col min="6660" max="6661" width="5" style="557" customWidth="1"/>
    <col min="6662" max="6662" width="5.33203125" style="557" customWidth="1"/>
    <col min="6663" max="6663" width="4.88671875" style="557" customWidth="1"/>
    <col min="6664" max="6665" width="4.109375" style="557" customWidth="1"/>
    <col min="6666" max="6666" width="3.5546875" style="557" customWidth="1"/>
    <col min="6667" max="6667" width="5" style="557" customWidth="1"/>
    <col min="6668" max="6668" width="4" style="557" customWidth="1"/>
    <col min="6669" max="6670" width="4.5546875" style="557" customWidth="1"/>
    <col min="6671" max="6671" width="4.109375" style="557" customWidth="1"/>
    <col min="6672" max="6672" width="4" style="557" customWidth="1"/>
    <col min="6673" max="6673" width="3.88671875" style="557" customWidth="1"/>
    <col min="6674" max="6675" width="4.6640625" style="557" customWidth="1"/>
    <col min="6676" max="6676" width="4" style="557" customWidth="1"/>
    <col min="6677" max="6677" width="4.33203125" style="557" customWidth="1"/>
    <col min="6678" max="6678" width="4.109375" style="557" customWidth="1"/>
    <col min="6679" max="6679" width="3.88671875" style="557" customWidth="1"/>
    <col min="6680" max="6680" width="4.109375" style="557" customWidth="1"/>
    <col min="6681" max="6681" width="5.5546875" style="557" customWidth="1"/>
    <col min="6682" max="6682" width="3.5546875" style="557" customWidth="1"/>
    <col min="6683" max="6683" width="4" style="557" customWidth="1"/>
    <col min="6684" max="6684" width="4.5546875" style="557" customWidth="1"/>
    <col min="6685" max="6685" width="4.44140625" style="557" customWidth="1"/>
    <col min="6686" max="6687" width="4.33203125" style="557" customWidth="1"/>
    <col min="6688" max="6689" width="4.88671875" style="557" customWidth="1"/>
    <col min="6690" max="6690" width="4" style="557" customWidth="1"/>
    <col min="6691" max="6691" width="4.6640625" style="557" customWidth="1"/>
    <col min="6692" max="6692" width="6" style="557" customWidth="1"/>
    <col min="6693" max="6693" width="8.88671875" style="557" customWidth="1"/>
    <col min="6694" max="6913" width="11.44140625" style="557"/>
    <col min="6914" max="6914" width="6.44140625" style="557" customWidth="1"/>
    <col min="6915" max="6915" width="47.88671875" style="557" customWidth="1"/>
    <col min="6916" max="6917" width="5" style="557" customWidth="1"/>
    <col min="6918" max="6918" width="5.33203125" style="557" customWidth="1"/>
    <col min="6919" max="6919" width="4.88671875" style="557" customWidth="1"/>
    <col min="6920" max="6921" width="4.109375" style="557" customWidth="1"/>
    <col min="6922" max="6922" width="3.5546875" style="557" customWidth="1"/>
    <col min="6923" max="6923" width="5" style="557" customWidth="1"/>
    <col min="6924" max="6924" width="4" style="557" customWidth="1"/>
    <col min="6925" max="6926" width="4.5546875" style="557" customWidth="1"/>
    <col min="6927" max="6927" width="4.109375" style="557" customWidth="1"/>
    <col min="6928" max="6928" width="4" style="557" customWidth="1"/>
    <col min="6929" max="6929" width="3.88671875" style="557" customWidth="1"/>
    <col min="6930" max="6931" width="4.6640625" style="557" customWidth="1"/>
    <col min="6932" max="6932" width="4" style="557" customWidth="1"/>
    <col min="6933" max="6933" width="4.33203125" style="557" customWidth="1"/>
    <col min="6934" max="6934" width="4.109375" style="557" customWidth="1"/>
    <col min="6935" max="6935" width="3.88671875" style="557" customWidth="1"/>
    <col min="6936" max="6936" width="4.109375" style="557" customWidth="1"/>
    <col min="6937" max="6937" width="5.5546875" style="557" customWidth="1"/>
    <col min="6938" max="6938" width="3.5546875" style="557" customWidth="1"/>
    <col min="6939" max="6939" width="4" style="557" customWidth="1"/>
    <col min="6940" max="6940" width="4.5546875" style="557" customWidth="1"/>
    <col min="6941" max="6941" width="4.44140625" style="557" customWidth="1"/>
    <col min="6942" max="6943" width="4.33203125" style="557" customWidth="1"/>
    <col min="6944" max="6945" width="4.88671875" style="557" customWidth="1"/>
    <col min="6946" max="6946" width="4" style="557" customWidth="1"/>
    <col min="6947" max="6947" width="4.6640625" style="557" customWidth="1"/>
    <col min="6948" max="6948" width="6" style="557" customWidth="1"/>
    <col min="6949" max="6949" width="8.88671875" style="557" customWidth="1"/>
    <col min="6950" max="7169" width="11.44140625" style="557"/>
    <col min="7170" max="7170" width="6.44140625" style="557" customWidth="1"/>
    <col min="7171" max="7171" width="47.88671875" style="557" customWidth="1"/>
    <col min="7172" max="7173" width="5" style="557" customWidth="1"/>
    <col min="7174" max="7174" width="5.33203125" style="557" customWidth="1"/>
    <col min="7175" max="7175" width="4.88671875" style="557" customWidth="1"/>
    <col min="7176" max="7177" width="4.109375" style="557" customWidth="1"/>
    <col min="7178" max="7178" width="3.5546875" style="557" customWidth="1"/>
    <col min="7179" max="7179" width="5" style="557" customWidth="1"/>
    <col min="7180" max="7180" width="4" style="557" customWidth="1"/>
    <col min="7181" max="7182" width="4.5546875" style="557" customWidth="1"/>
    <col min="7183" max="7183" width="4.109375" style="557" customWidth="1"/>
    <col min="7184" max="7184" width="4" style="557" customWidth="1"/>
    <col min="7185" max="7185" width="3.88671875" style="557" customWidth="1"/>
    <col min="7186" max="7187" width="4.6640625" style="557" customWidth="1"/>
    <col min="7188" max="7188" width="4" style="557" customWidth="1"/>
    <col min="7189" max="7189" width="4.33203125" style="557" customWidth="1"/>
    <col min="7190" max="7190" width="4.109375" style="557" customWidth="1"/>
    <col min="7191" max="7191" width="3.88671875" style="557" customWidth="1"/>
    <col min="7192" max="7192" width="4.109375" style="557" customWidth="1"/>
    <col min="7193" max="7193" width="5.5546875" style="557" customWidth="1"/>
    <col min="7194" max="7194" width="3.5546875" style="557" customWidth="1"/>
    <col min="7195" max="7195" width="4" style="557" customWidth="1"/>
    <col min="7196" max="7196" width="4.5546875" style="557" customWidth="1"/>
    <col min="7197" max="7197" width="4.44140625" style="557" customWidth="1"/>
    <col min="7198" max="7199" width="4.33203125" style="557" customWidth="1"/>
    <col min="7200" max="7201" width="4.88671875" style="557" customWidth="1"/>
    <col min="7202" max="7202" width="4" style="557" customWidth="1"/>
    <col min="7203" max="7203" width="4.6640625" style="557" customWidth="1"/>
    <col min="7204" max="7204" width="6" style="557" customWidth="1"/>
    <col min="7205" max="7205" width="8.88671875" style="557" customWidth="1"/>
    <col min="7206" max="7425" width="11.44140625" style="557"/>
    <col min="7426" max="7426" width="6.44140625" style="557" customWidth="1"/>
    <col min="7427" max="7427" width="47.88671875" style="557" customWidth="1"/>
    <col min="7428" max="7429" width="5" style="557" customWidth="1"/>
    <col min="7430" max="7430" width="5.33203125" style="557" customWidth="1"/>
    <col min="7431" max="7431" width="4.88671875" style="557" customWidth="1"/>
    <col min="7432" max="7433" width="4.109375" style="557" customWidth="1"/>
    <col min="7434" max="7434" width="3.5546875" style="557" customWidth="1"/>
    <col min="7435" max="7435" width="5" style="557" customWidth="1"/>
    <col min="7436" max="7436" width="4" style="557" customWidth="1"/>
    <col min="7437" max="7438" width="4.5546875" style="557" customWidth="1"/>
    <col min="7439" max="7439" width="4.109375" style="557" customWidth="1"/>
    <col min="7440" max="7440" width="4" style="557" customWidth="1"/>
    <col min="7441" max="7441" width="3.88671875" style="557" customWidth="1"/>
    <col min="7442" max="7443" width="4.6640625" style="557" customWidth="1"/>
    <col min="7444" max="7444" width="4" style="557" customWidth="1"/>
    <col min="7445" max="7445" width="4.33203125" style="557" customWidth="1"/>
    <col min="7446" max="7446" width="4.109375" style="557" customWidth="1"/>
    <col min="7447" max="7447" width="3.88671875" style="557" customWidth="1"/>
    <col min="7448" max="7448" width="4.109375" style="557" customWidth="1"/>
    <col min="7449" max="7449" width="5.5546875" style="557" customWidth="1"/>
    <col min="7450" max="7450" width="3.5546875" style="557" customWidth="1"/>
    <col min="7451" max="7451" width="4" style="557" customWidth="1"/>
    <col min="7452" max="7452" width="4.5546875" style="557" customWidth="1"/>
    <col min="7453" max="7453" width="4.44140625" style="557" customWidth="1"/>
    <col min="7454" max="7455" width="4.33203125" style="557" customWidth="1"/>
    <col min="7456" max="7457" width="4.88671875" style="557" customWidth="1"/>
    <col min="7458" max="7458" width="4" style="557" customWidth="1"/>
    <col min="7459" max="7459" width="4.6640625" style="557" customWidth="1"/>
    <col min="7460" max="7460" width="6" style="557" customWidth="1"/>
    <col min="7461" max="7461" width="8.88671875" style="557" customWidth="1"/>
    <col min="7462" max="7681" width="11.44140625" style="557"/>
    <col min="7682" max="7682" width="6.44140625" style="557" customWidth="1"/>
    <col min="7683" max="7683" width="47.88671875" style="557" customWidth="1"/>
    <col min="7684" max="7685" width="5" style="557" customWidth="1"/>
    <col min="7686" max="7686" width="5.33203125" style="557" customWidth="1"/>
    <col min="7687" max="7687" width="4.88671875" style="557" customWidth="1"/>
    <col min="7688" max="7689" width="4.109375" style="557" customWidth="1"/>
    <col min="7690" max="7690" width="3.5546875" style="557" customWidth="1"/>
    <col min="7691" max="7691" width="5" style="557" customWidth="1"/>
    <col min="7692" max="7692" width="4" style="557" customWidth="1"/>
    <col min="7693" max="7694" width="4.5546875" style="557" customWidth="1"/>
    <col min="7695" max="7695" width="4.109375" style="557" customWidth="1"/>
    <col min="7696" max="7696" width="4" style="557" customWidth="1"/>
    <col min="7697" max="7697" width="3.88671875" style="557" customWidth="1"/>
    <col min="7698" max="7699" width="4.6640625" style="557" customWidth="1"/>
    <col min="7700" max="7700" width="4" style="557" customWidth="1"/>
    <col min="7701" max="7701" width="4.33203125" style="557" customWidth="1"/>
    <col min="7702" max="7702" width="4.109375" style="557" customWidth="1"/>
    <col min="7703" max="7703" width="3.88671875" style="557" customWidth="1"/>
    <col min="7704" max="7704" width="4.109375" style="557" customWidth="1"/>
    <col min="7705" max="7705" width="5.5546875" style="557" customWidth="1"/>
    <col min="7706" max="7706" width="3.5546875" style="557" customWidth="1"/>
    <col min="7707" max="7707" width="4" style="557" customWidth="1"/>
    <col min="7708" max="7708" width="4.5546875" style="557" customWidth="1"/>
    <col min="7709" max="7709" width="4.44140625" style="557" customWidth="1"/>
    <col min="7710" max="7711" width="4.33203125" style="557" customWidth="1"/>
    <col min="7712" max="7713" width="4.88671875" style="557" customWidth="1"/>
    <col min="7714" max="7714" width="4" style="557" customWidth="1"/>
    <col min="7715" max="7715" width="4.6640625" style="557" customWidth="1"/>
    <col min="7716" max="7716" width="6" style="557" customWidth="1"/>
    <col min="7717" max="7717" width="8.88671875" style="557" customWidth="1"/>
    <col min="7718" max="7937" width="11.44140625" style="557"/>
    <col min="7938" max="7938" width="6.44140625" style="557" customWidth="1"/>
    <col min="7939" max="7939" width="47.88671875" style="557" customWidth="1"/>
    <col min="7940" max="7941" width="5" style="557" customWidth="1"/>
    <col min="7942" max="7942" width="5.33203125" style="557" customWidth="1"/>
    <col min="7943" max="7943" width="4.88671875" style="557" customWidth="1"/>
    <col min="7944" max="7945" width="4.109375" style="557" customWidth="1"/>
    <col min="7946" max="7946" width="3.5546875" style="557" customWidth="1"/>
    <col min="7947" max="7947" width="5" style="557" customWidth="1"/>
    <col min="7948" max="7948" width="4" style="557" customWidth="1"/>
    <col min="7949" max="7950" width="4.5546875" style="557" customWidth="1"/>
    <col min="7951" max="7951" width="4.109375" style="557" customWidth="1"/>
    <col min="7952" max="7952" width="4" style="557" customWidth="1"/>
    <col min="7953" max="7953" width="3.88671875" style="557" customWidth="1"/>
    <col min="7954" max="7955" width="4.6640625" style="557" customWidth="1"/>
    <col min="7956" max="7956" width="4" style="557" customWidth="1"/>
    <col min="7957" max="7957" width="4.33203125" style="557" customWidth="1"/>
    <col min="7958" max="7958" width="4.109375" style="557" customWidth="1"/>
    <col min="7959" max="7959" width="3.88671875" style="557" customWidth="1"/>
    <col min="7960" max="7960" width="4.109375" style="557" customWidth="1"/>
    <col min="7961" max="7961" width="5.5546875" style="557" customWidth="1"/>
    <col min="7962" max="7962" width="3.5546875" style="557" customWidth="1"/>
    <col min="7963" max="7963" width="4" style="557" customWidth="1"/>
    <col min="7964" max="7964" width="4.5546875" style="557" customWidth="1"/>
    <col min="7965" max="7965" width="4.44140625" style="557" customWidth="1"/>
    <col min="7966" max="7967" width="4.33203125" style="557" customWidth="1"/>
    <col min="7968" max="7969" width="4.88671875" style="557" customWidth="1"/>
    <col min="7970" max="7970" width="4" style="557" customWidth="1"/>
    <col min="7971" max="7971" width="4.6640625" style="557" customWidth="1"/>
    <col min="7972" max="7972" width="6" style="557" customWidth="1"/>
    <col min="7973" max="7973" width="8.88671875" style="557" customWidth="1"/>
    <col min="7974" max="8193" width="11.44140625" style="557"/>
    <col min="8194" max="8194" width="6.44140625" style="557" customWidth="1"/>
    <col min="8195" max="8195" width="47.88671875" style="557" customWidth="1"/>
    <col min="8196" max="8197" width="5" style="557" customWidth="1"/>
    <col min="8198" max="8198" width="5.33203125" style="557" customWidth="1"/>
    <col min="8199" max="8199" width="4.88671875" style="557" customWidth="1"/>
    <col min="8200" max="8201" width="4.109375" style="557" customWidth="1"/>
    <col min="8202" max="8202" width="3.5546875" style="557" customWidth="1"/>
    <col min="8203" max="8203" width="5" style="557" customWidth="1"/>
    <col min="8204" max="8204" width="4" style="557" customWidth="1"/>
    <col min="8205" max="8206" width="4.5546875" style="557" customWidth="1"/>
    <col min="8207" max="8207" width="4.109375" style="557" customWidth="1"/>
    <col min="8208" max="8208" width="4" style="557" customWidth="1"/>
    <col min="8209" max="8209" width="3.88671875" style="557" customWidth="1"/>
    <col min="8210" max="8211" width="4.6640625" style="557" customWidth="1"/>
    <col min="8212" max="8212" width="4" style="557" customWidth="1"/>
    <col min="8213" max="8213" width="4.33203125" style="557" customWidth="1"/>
    <col min="8214" max="8214" width="4.109375" style="557" customWidth="1"/>
    <col min="8215" max="8215" width="3.88671875" style="557" customWidth="1"/>
    <col min="8216" max="8216" width="4.109375" style="557" customWidth="1"/>
    <col min="8217" max="8217" width="5.5546875" style="557" customWidth="1"/>
    <col min="8218" max="8218" width="3.5546875" style="557" customWidth="1"/>
    <col min="8219" max="8219" width="4" style="557" customWidth="1"/>
    <col min="8220" max="8220" width="4.5546875" style="557" customWidth="1"/>
    <col min="8221" max="8221" width="4.44140625" style="557" customWidth="1"/>
    <col min="8222" max="8223" width="4.33203125" style="557" customWidth="1"/>
    <col min="8224" max="8225" width="4.88671875" style="557" customWidth="1"/>
    <col min="8226" max="8226" width="4" style="557" customWidth="1"/>
    <col min="8227" max="8227" width="4.6640625" style="557" customWidth="1"/>
    <col min="8228" max="8228" width="6" style="557" customWidth="1"/>
    <col min="8229" max="8229" width="8.88671875" style="557" customWidth="1"/>
    <col min="8230" max="8449" width="11.44140625" style="557"/>
    <col min="8450" max="8450" width="6.44140625" style="557" customWidth="1"/>
    <col min="8451" max="8451" width="47.88671875" style="557" customWidth="1"/>
    <col min="8452" max="8453" width="5" style="557" customWidth="1"/>
    <col min="8454" max="8454" width="5.33203125" style="557" customWidth="1"/>
    <col min="8455" max="8455" width="4.88671875" style="557" customWidth="1"/>
    <col min="8456" max="8457" width="4.109375" style="557" customWidth="1"/>
    <col min="8458" max="8458" width="3.5546875" style="557" customWidth="1"/>
    <col min="8459" max="8459" width="5" style="557" customWidth="1"/>
    <col min="8460" max="8460" width="4" style="557" customWidth="1"/>
    <col min="8461" max="8462" width="4.5546875" style="557" customWidth="1"/>
    <col min="8463" max="8463" width="4.109375" style="557" customWidth="1"/>
    <col min="8464" max="8464" width="4" style="557" customWidth="1"/>
    <col min="8465" max="8465" width="3.88671875" style="557" customWidth="1"/>
    <col min="8466" max="8467" width="4.6640625" style="557" customWidth="1"/>
    <col min="8468" max="8468" width="4" style="557" customWidth="1"/>
    <col min="8469" max="8469" width="4.33203125" style="557" customWidth="1"/>
    <col min="8470" max="8470" width="4.109375" style="557" customWidth="1"/>
    <col min="8471" max="8471" width="3.88671875" style="557" customWidth="1"/>
    <col min="8472" max="8472" width="4.109375" style="557" customWidth="1"/>
    <col min="8473" max="8473" width="5.5546875" style="557" customWidth="1"/>
    <col min="8474" max="8474" width="3.5546875" style="557" customWidth="1"/>
    <col min="8475" max="8475" width="4" style="557" customWidth="1"/>
    <col min="8476" max="8476" width="4.5546875" style="557" customWidth="1"/>
    <col min="8477" max="8477" width="4.44140625" style="557" customWidth="1"/>
    <col min="8478" max="8479" width="4.33203125" style="557" customWidth="1"/>
    <col min="8480" max="8481" width="4.88671875" style="557" customWidth="1"/>
    <col min="8482" max="8482" width="4" style="557" customWidth="1"/>
    <col min="8483" max="8483" width="4.6640625" style="557" customWidth="1"/>
    <col min="8484" max="8484" width="6" style="557" customWidth="1"/>
    <col min="8485" max="8485" width="8.88671875" style="557" customWidth="1"/>
    <col min="8486" max="8705" width="11.44140625" style="557"/>
    <col min="8706" max="8706" width="6.44140625" style="557" customWidth="1"/>
    <col min="8707" max="8707" width="47.88671875" style="557" customWidth="1"/>
    <col min="8708" max="8709" width="5" style="557" customWidth="1"/>
    <col min="8710" max="8710" width="5.33203125" style="557" customWidth="1"/>
    <col min="8711" max="8711" width="4.88671875" style="557" customWidth="1"/>
    <col min="8712" max="8713" width="4.109375" style="557" customWidth="1"/>
    <col min="8714" max="8714" width="3.5546875" style="557" customWidth="1"/>
    <col min="8715" max="8715" width="5" style="557" customWidth="1"/>
    <col min="8716" max="8716" width="4" style="557" customWidth="1"/>
    <col min="8717" max="8718" width="4.5546875" style="557" customWidth="1"/>
    <col min="8719" max="8719" width="4.109375" style="557" customWidth="1"/>
    <col min="8720" max="8720" width="4" style="557" customWidth="1"/>
    <col min="8721" max="8721" width="3.88671875" style="557" customWidth="1"/>
    <col min="8722" max="8723" width="4.6640625" style="557" customWidth="1"/>
    <col min="8724" max="8724" width="4" style="557" customWidth="1"/>
    <col min="8725" max="8725" width="4.33203125" style="557" customWidth="1"/>
    <col min="8726" max="8726" width="4.109375" style="557" customWidth="1"/>
    <col min="8727" max="8727" width="3.88671875" style="557" customWidth="1"/>
    <col min="8728" max="8728" width="4.109375" style="557" customWidth="1"/>
    <col min="8729" max="8729" width="5.5546875" style="557" customWidth="1"/>
    <col min="8730" max="8730" width="3.5546875" style="557" customWidth="1"/>
    <col min="8731" max="8731" width="4" style="557" customWidth="1"/>
    <col min="8732" max="8732" width="4.5546875" style="557" customWidth="1"/>
    <col min="8733" max="8733" width="4.44140625" style="557" customWidth="1"/>
    <col min="8734" max="8735" width="4.33203125" style="557" customWidth="1"/>
    <col min="8736" max="8737" width="4.88671875" style="557" customWidth="1"/>
    <col min="8738" max="8738" width="4" style="557" customWidth="1"/>
    <col min="8739" max="8739" width="4.6640625" style="557" customWidth="1"/>
    <col min="8740" max="8740" width="6" style="557" customWidth="1"/>
    <col min="8741" max="8741" width="8.88671875" style="557" customWidth="1"/>
    <col min="8742" max="8961" width="11.44140625" style="557"/>
    <col min="8962" max="8962" width="6.44140625" style="557" customWidth="1"/>
    <col min="8963" max="8963" width="47.88671875" style="557" customWidth="1"/>
    <col min="8964" max="8965" width="5" style="557" customWidth="1"/>
    <col min="8966" max="8966" width="5.33203125" style="557" customWidth="1"/>
    <col min="8967" max="8967" width="4.88671875" style="557" customWidth="1"/>
    <col min="8968" max="8969" width="4.109375" style="557" customWidth="1"/>
    <col min="8970" max="8970" width="3.5546875" style="557" customWidth="1"/>
    <col min="8971" max="8971" width="5" style="557" customWidth="1"/>
    <col min="8972" max="8972" width="4" style="557" customWidth="1"/>
    <col min="8973" max="8974" width="4.5546875" style="557" customWidth="1"/>
    <col min="8975" max="8975" width="4.109375" style="557" customWidth="1"/>
    <col min="8976" max="8976" width="4" style="557" customWidth="1"/>
    <col min="8977" max="8977" width="3.88671875" style="557" customWidth="1"/>
    <col min="8978" max="8979" width="4.6640625" style="557" customWidth="1"/>
    <col min="8980" max="8980" width="4" style="557" customWidth="1"/>
    <col min="8981" max="8981" width="4.33203125" style="557" customWidth="1"/>
    <col min="8982" max="8982" width="4.109375" style="557" customWidth="1"/>
    <col min="8983" max="8983" width="3.88671875" style="557" customWidth="1"/>
    <col min="8984" max="8984" width="4.109375" style="557" customWidth="1"/>
    <col min="8985" max="8985" width="5.5546875" style="557" customWidth="1"/>
    <col min="8986" max="8986" width="3.5546875" style="557" customWidth="1"/>
    <col min="8987" max="8987" width="4" style="557" customWidth="1"/>
    <col min="8988" max="8988" width="4.5546875" style="557" customWidth="1"/>
    <col min="8989" max="8989" width="4.44140625" style="557" customWidth="1"/>
    <col min="8990" max="8991" width="4.33203125" style="557" customWidth="1"/>
    <col min="8992" max="8993" width="4.88671875" style="557" customWidth="1"/>
    <col min="8994" max="8994" width="4" style="557" customWidth="1"/>
    <col min="8995" max="8995" width="4.6640625" style="557" customWidth="1"/>
    <col min="8996" max="8996" width="6" style="557" customWidth="1"/>
    <col min="8997" max="8997" width="8.88671875" style="557" customWidth="1"/>
    <col min="8998" max="9217" width="11.44140625" style="557"/>
    <col min="9218" max="9218" width="6.44140625" style="557" customWidth="1"/>
    <col min="9219" max="9219" width="47.88671875" style="557" customWidth="1"/>
    <col min="9220" max="9221" width="5" style="557" customWidth="1"/>
    <col min="9222" max="9222" width="5.33203125" style="557" customWidth="1"/>
    <col min="9223" max="9223" width="4.88671875" style="557" customWidth="1"/>
    <col min="9224" max="9225" width="4.109375" style="557" customWidth="1"/>
    <col min="9226" max="9226" width="3.5546875" style="557" customWidth="1"/>
    <col min="9227" max="9227" width="5" style="557" customWidth="1"/>
    <col min="9228" max="9228" width="4" style="557" customWidth="1"/>
    <col min="9229" max="9230" width="4.5546875" style="557" customWidth="1"/>
    <col min="9231" max="9231" width="4.109375" style="557" customWidth="1"/>
    <col min="9232" max="9232" width="4" style="557" customWidth="1"/>
    <col min="9233" max="9233" width="3.88671875" style="557" customWidth="1"/>
    <col min="9234" max="9235" width="4.6640625" style="557" customWidth="1"/>
    <col min="9236" max="9236" width="4" style="557" customWidth="1"/>
    <col min="9237" max="9237" width="4.33203125" style="557" customWidth="1"/>
    <col min="9238" max="9238" width="4.109375" style="557" customWidth="1"/>
    <col min="9239" max="9239" width="3.88671875" style="557" customWidth="1"/>
    <col min="9240" max="9240" width="4.109375" style="557" customWidth="1"/>
    <col min="9241" max="9241" width="5.5546875" style="557" customWidth="1"/>
    <col min="9242" max="9242" width="3.5546875" style="557" customWidth="1"/>
    <col min="9243" max="9243" width="4" style="557" customWidth="1"/>
    <col min="9244" max="9244" width="4.5546875" style="557" customWidth="1"/>
    <col min="9245" max="9245" width="4.44140625" style="557" customWidth="1"/>
    <col min="9246" max="9247" width="4.33203125" style="557" customWidth="1"/>
    <col min="9248" max="9249" width="4.88671875" style="557" customWidth="1"/>
    <col min="9250" max="9250" width="4" style="557" customWidth="1"/>
    <col min="9251" max="9251" width="4.6640625" style="557" customWidth="1"/>
    <col min="9252" max="9252" width="6" style="557" customWidth="1"/>
    <col min="9253" max="9253" width="8.88671875" style="557" customWidth="1"/>
    <col min="9254" max="9473" width="11.44140625" style="557"/>
    <col min="9474" max="9474" width="6.44140625" style="557" customWidth="1"/>
    <col min="9475" max="9475" width="47.88671875" style="557" customWidth="1"/>
    <col min="9476" max="9477" width="5" style="557" customWidth="1"/>
    <col min="9478" max="9478" width="5.33203125" style="557" customWidth="1"/>
    <col min="9479" max="9479" width="4.88671875" style="557" customWidth="1"/>
    <col min="9480" max="9481" width="4.109375" style="557" customWidth="1"/>
    <col min="9482" max="9482" width="3.5546875" style="557" customWidth="1"/>
    <col min="9483" max="9483" width="5" style="557" customWidth="1"/>
    <col min="9484" max="9484" width="4" style="557" customWidth="1"/>
    <col min="9485" max="9486" width="4.5546875" style="557" customWidth="1"/>
    <col min="9487" max="9487" width="4.109375" style="557" customWidth="1"/>
    <col min="9488" max="9488" width="4" style="557" customWidth="1"/>
    <col min="9489" max="9489" width="3.88671875" style="557" customWidth="1"/>
    <col min="9490" max="9491" width="4.6640625" style="557" customWidth="1"/>
    <col min="9492" max="9492" width="4" style="557" customWidth="1"/>
    <col min="9493" max="9493" width="4.33203125" style="557" customWidth="1"/>
    <col min="9494" max="9494" width="4.109375" style="557" customWidth="1"/>
    <col min="9495" max="9495" width="3.88671875" style="557" customWidth="1"/>
    <col min="9496" max="9496" width="4.109375" style="557" customWidth="1"/>
    <col min="9497" max="9497" width="5.5546875" style="557" customWidth="1"/>
    <col min="9498" max="9498" width="3.5546875" style="557" customWidth="1"/>
    <col min="9499" max="9499" width="4" style="557" customWidth="1"/>
    <col min="9500" max="9500" width="4.5546875" style="557" customWidth="1"/>
    <col min="9501" max="9501" width="4.44140625" style="557" customWidth="1"/>
    <col min="9502" max="9503" width="4.33203125" style="557" customWidth="1"/>
    <col min="9504" max="9505" width="4.88671875" style="557" customWidth="1"/>
    <col min="9506" max="9506" width="4" style="557" customWidth="1"/>
    <col min="9507" max="9507" width="4.6640625" style="557" customWidth="1"/>
    <col min="9508" max="9508" width="6" style="557" customWidth="1"/>
    <col min="9509" max="9509" width="8.88671875" style="557" customWidth="1"/>
    <col min="9510" max="9729" width="11.44140625" style="557"/>
    <col min="9730" max="9730" width="6.44140625" style="557" customWidth="1"/>
    <col min="9731" max="9731" width="47.88671875" style="557" customWidth="1"/>
    <col min="9732" max="9733" width="5" style="557" customWidth="1"/>
    <col min="9734" max="9734" width="5.33203125" style="557" customWidth="1"/>
    <col min="9735" max="9735" width="4.88671875" style="557" customWidth="1"/>
    <col min="9736" max="9737" width="4.109375" style="557" customWidth="1"/>
    <col min="9738" max="9738" width="3.5546875" style="557" customWidth="1"/>
    <col min="9739" max="9739" width="5" style="557" customWidth="1"/>
    <col min="9740" max="9740" width="4" style="557" customWidth="1"/>
    <col min="9741" max="9742" width="4.5546875" style="557" customWidth="1"/>
    <col min="9743" max="9743" width="4.109375" style="557" customWidth="1"/>
    <col min="9744" max="9744" width="4" style="557" customWidth="1"/>
    <col min="9745" max="9745" width="3.88671875" style="557" customWidth="1"/>
    <col min="9746" max="9747" width="4.6640625" style="557" customWidth="1"/>
    <col min="9748" max="9748" width="4" style="557" customWidth="1"/>
    <col min="9749" max="9749" width="4.33203125" style="557" customWidth="1"/>
    <col min="9750" max="9750" width="4.109375" style="557" customWidth="1"/>
    <col min="9751" max="9751" width="3.88671875" style="557" customWidth="1"/>
    <col min="9752" max="9752" width="4.109375" style="557" customWidth="1"/>
    <col min="9753" max="9753" width="5.5546875" style="557" customWidth="1"/>
    <col min="9754" max="9754" width="3.5546875" style="557" customWidth="1"/>
    <col min="9755" max="9755" width="4" style="557" customWidth="1"/>
    <col min="9756" max="9756" width="4.5546875" style="557" customWidth="1"/>
    <col min="9757" max="9757" width="4.44140625" style="557" customWidth="1"/>
    <col min="9758" max="9759" width="4.33203125" style="557" customWidth="1"/>
    <col min="9760" max="9761" width="4.88671875" style="557" customWidth="1"/>
    <col min="9762" max="9762" width="4" style="557" customWidth="1"/>
    <col min="9763" max="9763" width="4.6640625" style="557" customWidth="1"/>
    <col min="9764" max="9764" width="6" style="557" customWidth="1"/>
    <col min="9765" max="9765" width="8.88671875" style="557" customWidth="1"/>
    <col min="9766" max="9985" width="11.44140625" style="557"/>
    <col min="9986" max="9986" width="6.44140625" style="557" customWidth="1"/>
    <col min="9987" max="9987" width="47.88671875" style="557" customWidth="1"/>
    <col min="9988" max="9989" width="5" style="557" customWidth="1"/>
    <col min="9990" max="9990" width="5.33203125" style="557" customWidth="1"/>
    <col min="9991" max="9991" width="4.88671875" style="557" customWidth="1"/>
    <col min="9992" max="9993" width="4.109375" style="557" customWidth="1"/>
    <col min="9994" max="9994" width="3.5546875" style="557" customWidth="1"/>
    <col min="9995" max="9995" width="5" style="557" customWidth="1"/>
    <col min="9996" max="9996" width="4" style="557" customWidth="1"/>
    <col min="9997" max="9998" width="4.5546875" style="557" customWidth="1"/>
    <col min="9999" max="9999" width="4.109375" style="557" customWidth="1"/>
    <col min="10000" max="10000" width="4" style="557" customWidth="1"/>
    <col min="10001" max="10001" width="3.88671875" style="557" customWidth="1"/>
    <col min="10002" max="10003" width="4.6640625" style="557" customWidth="1"/>
    <col min="10004" max="10004" width="4" style="557" customWidth="1"/>
    <col min="10005" max="10005" width="4.33203125" style="557" customWidth="1"/>
    <col min="10006" max="10006" width="4.109375" style="557" customWidth="1"/>
    <col min="10007" max="10007" width="3.88671875" style="557" customWidth="1"/>
    <col min="10008" max="10008" width="4.109375" style="557" customWidth="1"/>
    <col min="10009" max="10009" width="5.5546875" style="557" customWidth="1"/>
    <col min="10010" max="10010" width="3.5546875" style="557" customWidth="1"/>
    <col min="10011" max="10011" width="4" style="557" customWidth="1"/>
    <col min="10012" max="10012" width="4.5546875" style="557" customWidth="1"/>
    <col min="10013" max="10013" width="4.44140625" style="557" customWidth="1"/>
    <col min="10014" max="10015" width="4.33203125" style="557" customWidth="1"/>
    <col min="10016" max="10017" width="4.88671875" style="557" customWidth="1"/>
    <col min="10018" max="10018" width="4" style="557" customWidth="1"/>
    <col min="10019" max="10019" width="4.6640625" style="557" customWidth="1"/>
    <col min="10020" max="10020" width="6" style="557" customWidth="1"/>
    <col min="10021" max="10021" width="8.88671875" style="557" customWidth="1"/>
    <col min="10022" max="10241" width="11.44140625" style="557"/>
    <col min="10242" max="10242" width="6.44140625" style="557" customWidth="1"/>
    <col min="10243" max="10243" width="47.88671875" style="557" customWidth="1"/>
    <col min="10244" max="10245" width="5" style="557" customWidth="1"/>
    <col min="10246" max="10246" width="5.33203125" style="557" customWidth="1"/>
    <col min="10247" max="10247" width="4.88671875" style="557" customWidth="1"/>
    <col min="10248" max="10249" width="4.109375" style="557" customWidth="1"/>
    <col min="10250" max="10250" width="3.5546875" style="557" customWidth="1"/>
    <col min="10251" max="10251" width="5" style="557" customWidth="1"/>
    <col min="10252" max="10252" width="4" style="557" customWidth="1"/>
    <col min="10253" max="10254" width="4.5546875" style="557" customWidth="1"/>
    <col min="10255" max="10255" width="4.109375" style="557" customWidth="1"/>
    <col min="10256" max="10256" width="4" style="557" customWidth="1"/>
    <col min="10257" max="10257" width="3.88671875" style="557" customWidth="1"/>
    <col min="10258" max="10259" width="4.6640625" style="557" customWidth="1"/>
    <col min="10260" max="10260" width="4" style="557" customWidth="1"/>
    <col min="10261" max="10261" width="4.33203125" style="557" customWidth="1"/>
    <col min="10262" max="10262" width="4.109375" style="557" customWidth="1"/>
    <col min="10263" max="10263" width="3.88671875" style="557" customWidth="1"/>
    <col min="10264" max="10264" width="4.109375" style="557" customWidth="1"/>
    <col min="10265" max="10265" width="5.5546875" style="557" customWidth="1"/>
    <col min="10266" max="10266" width="3.5546875" style="557" customWidth="1"/>
    <col min="10267" max="10267" width="4" style="557" customWidth="1"/>
    <col min="10268" max="10268" width="4.5546875" style="557" customWidth="1"/>
    <col min="10269" max="10269" width="4.44140625" style="557" customWidth="1"/>
    <col min="10270" max="10271" width="4.33203125" style="557" customWidth="1"/>
    <col min="10272" max="10273" width="4.88671875" style="557" customWidth="1"/>
    <col min="10274" max="10274" width="4" style="557" customWidth="1"/>
    <col min="10275" max="10275" width="4.6640625" style="557" customWidth="1"/>
    <col min="10276" max="10276" width="6" style="557" customWidth="1"/>
    <col min="10277" max="10277" width="8.88671875" style="557" customWidth="1"/>
    <col min="10278" max="10497" width="11.44140625" style="557"/>
    <col min="10498" max="10498" width="6.44140625" style="557" customWidth="1"/>
    <col min="10499" max="10499" width="47.88671875" style="557" customWidth="1"/>
    <col min="10500" max="10501" width="5" style="557" customWidth="1"/>
    <col min="10502" max="10502" width="5.33203125" style="557" customWidth="1"/>
    <col min="10503" max="10503" width="4.88671875" style="557" customWidth="1"/>
    <col min="10504" max="10505" width="4.109375" style="557" customWidth="1"/>
    <col min="10506" max="10506" width="3.5546875" style="557" customWidth="1"/>
    <col min="10507" max="10507" width="5" style="557" customWidth="1"/>
    <col min="10508" max="10508" width="4" style="557" customWidth="1"/>
    <col min="10509" max="10510" width="4.5546875" style="557" customWidth="1"/>
    <col min="10511" max="10511" width="4.109375" style="557" customWidth="1"/>
    <col min="10512" max="10512" width="4" style="557" customWidth="1"/>
    <col min="10513" max="10513" width="3.88671875" style="557" customWidth="1"/>
    <col min="10514" max="10515" width="4.6640625" style="557" customWidth="1"/>
    <col min="10516" max="10516" width="4" style="557" customWidth="1"/>
    <col min="10517" max="10517" width="4.33203125" style="557" customWidth="1"/>
    <col min="10518" max="10518" width="4.109375" style="557" customWidth="1"/>
    <col min="10519" max="10519" width="3.88671875" style="557" customWidth="1"/>
    <col min="10520" max="10520" width="4.109375" style="557" customWidth="1"/>
    <col min="10521" max="10521" width="5.5546875" style="557" customWidth="1"/>
    <col min="10522" max="10522" width="3.5546875" style="557" customWidth="1"/>
    <col min="10523" max="10523" width="4" style="557" customWidth="1"/>
    <col min="10524" max="10524" width="4.5546875" style="557" customWidth="1"/>
    <col min="10525" max="10525" width="4.44140625" style="557" customWidth="1"/>
    <col min="10526" max="10527" width="4.33203125" style="557" customWidth="1"/>
    <col min="10528" max="10529" width="4.88671875" style="557" customWidth="1"/>
    <col min="10530" max="10530" width="4" style="557" customWidth="1"/>
    <col min="10531" max="10531" width="4.6640625" style="557" customWidth="1"/>
    <col min="10532" max="10532" width="6" style="557" customWidth="1"/>
    <col min="10533" max="10533" width="8.88671875" style="557" customWidth="1"/>
    <col min="10534" max="10753" width="11.44140625" style="557"/>
    <col min="10754" max="10754" width="6.44140625" style="557" customWidth="1"/>
    <col min="10755" max="10755" width="47.88671875" style="557" customWidth="1"/>
    <col min="10756" max="10757" width="5" style="557" customWidth="1"/>
    <col min="10758" max="10758" width="5.33203125" style="557" customWidth="1"/>
    <col min="10759" max="10759" width="4.88671875" style="557" customWidth="1"/>
    <col min="10760" max="10761" width="4.109375" style="557" customWidth="1"/>
    <col min="10762" max="10762" width="3.5546875" style="557" customWidth="1"/>
    <col min="10763" max="10763" width="5" style="557" customWidth="1"/>
    <col min="10764" max="10764" width="4" style="557" customWidth="1"/>
    <col min="10765" max="10766" width="4.5546875" style="557" customWidth="1"/>
    <col min="10767" max="10767" width="4.109375" style="557" customWidth="1"/>
    <col min="10768" max="10768" width="4" style="557" customWidth="1"/>
    <col min="10769" max="10769" width="3.88671875" style="557" customWidth="1"/>
    <col min="10770" max="10771" width="4.6640625" style="557" customWidth="1"/>
    <col min="10772" max="10772" width="4" style="557" customWidth="1"/>
    <col min="10773" max="10773" width="4.33203125" style="557" customWidth="1"/>
    <col min="10774" max="10774" width="4.109375" style="557" customWidth="1"/>
    <col min="10775" max="10775" width="3.88671875" style="557" customWidth="1"/>
    <col min="10776" max="10776" width="4.109375" style="557" customWidth="1"/>
    <col min="10777" max="10777" width="5.5546875" style="557" customWidth="1"/>
    <col min="10778" max="10778" width="3.5546875" style="557" customWidth="1"/>
    <col min="10779" max="10779" width="4" style="557" customWidth="1"/>
    <col min="10780" max="10780" width="4.5546875" style="557" customWidth="1"/>
    <col min="10781" max="10781" width="4.44140625" style="557" customWidth="1"/>
    <col min="10782" max="10783" width="4.33203125" style="557" customWidth="1"/>
    <col min="10784" max="10785" width="4.88671875" style="557" customWidth="1"/>
    <col min="10786" max="10786" width="4" style="557" customWidth="1"/>
    <col min="10787" max="10787" width="4.6640625" style="557" customWidth="1"/>
    <col min="10788" max="10788" width="6" style="557" customWidth="1"/>
    <col min="10789" max="10789" width="8.88671875" style="557" customWidth="1"/>
    <col min="10790" max="11009" width="11.44140625" style="557"/>
    <col min="11010" max="11010" width="6.44140625" style="557" customWidth="1"/>
    <col min="11011" max="11011" width="47.88671875" style="557" customWidth="1"/>
    <col min="11012" max="11013" width="5" style="557" customWidth="1"/>
    <col min="11014" max="11014" width="5.33203125" style="557" customWidth="1"/>
    <col min="11015" max="11015" width="4.88671875" style="557" customWidth="1"/>
    <col min="11016" max="11017" width="4.109375" style="557" customWidth="1"/>
    <col min="11018" max="11018" width="3.5546875" style="557" customWidth="1"/>
    <col min="11019" max="11019" width="5" style="557" customWidth="1"/>
    <col min="11020" max="11020" width="4" style="557" customWidth="1"/>
    <col min="11021" max="11022" width="4.5546875" style="557" customWidth="1"/>
    <col min="11023" max="11023" width="4.109375" style="557" customWidth="1"/>
    <col min="11024" max="11024" width="4" style="557" customWidth="1"/>
    <col min="11025" max="11025" width="3.88671875" style="557" customWidth="1"/>
    <col min="11026" max="11027" width="4.6640625" style="557" customWidth="1"/>
    <col min="11028" max="11028" width="4" style="557" customWidth="1"/>
    <col min="11029" max="11029" width="4.33203125" style="557" customWidth="1"/>
    <col min="11030" max="11030" width="4.109375" style="557" customWidth="1"/>
    <col min="11031" max="11031" width="3.88671875" style="557" customWidth="1"/>
    <col min="11032" max="11032" width="4.109375" style="557" customWidth="1"/>
    <col min="11033" max="11033" width="5.5546875" style="557" customWidth="1"/>
    <col min="11034" max="11034" width="3.5546875" style="557" customWidth="1"/>
    <col min="11035" max="11035" width="4" style="557" customWidth="1"/>
    <col min="11036" max="11036" width="4.5546875" style="557" customWidth="1"/>
    <col min="11037" max="11037" width="4.44140625" style="557" customWidth="1"/>
    <col min="11038" max="11039" width="4.33203125" style="557" customWidth="1"/>
    <col min="11040" max="11041" width="4.88671875" style="557" customWidth="1"/>
    <col min="11042" max="11042" width="4" style="557" customWidth="1"/>
    <col min="11043" max="11043" width="4.6640625" style="557" customWidth="1"/>
    <col min="11044" max="11044" width="6" style="557" customWidth="1"/>
    <col min="11045" max="11045" width="8.88671875" style="557" customWidth="1"/>
    <col min="11046" max="11265" width="11.44140625" style="557"/>
    <col min="11266" max="11266" width="6.44140625" style="557" customWidth="1"/>
    <col min="11267" max="11267" width="47.88671875" style="557" customWidth="1"/>
    <col min="11268" max="11269" width="5" style="557" customWidth="1"/>
    <col min="11270" max="11270" width="5.33203125" style="557" customWidth="1"/>
    <col min="11271" max="11271" width="4.88671875" style="557" customWidth="1"/>
    <col min="11272" max="11273" width="4.109375" style="557" customWidth="1"/>
    <col min="11274" max="11274" width="3.5546875" style="557" customWidth="1"/>
    <col min="11275" max="11275" width="5" style="557" customWidth="1"/>
    <col min="11276" max="11276" width="4" style="557" customWidth="1"/>
    <col min="11277" max="11278" width="4.5546875" style="557" customWidth="1"/>
    <col min="11279" max="11279" width="4.109375" style="557" customWidth="1"/>
    <col min="11280" max="11280" width="4" style="557" customWidth="1"/>
    <col min="11281" max="11281" width="3.88671875" style="557" customWidth="1"/>
    <col min="11282" max="11283" width="4.6640625" style="557" customWidth="1"/>
    <col min="11284" max="11284" width="4" style="557" customWidth="1"/>
    <col min="11285" max="11285" width="4.33203125" style="557" customWidth="1"/>
    <col min="11286" max="11286" width="4.109375" style="557" customWidth="1"/>
    <col min="11287" max="11287" width="3.88671875" style="557" customWidth="1"/>
    <col min="11288" max="11288" width="4.109375" style="557" customWidth="1"/>
    <col min="11289" max="11289" width="5.5546875" style="557" customWidth="1"/>
    <col min="11290" max="11290" width="3.5546875" style="557" customWidth="1"/>
    <col min="11291" max="11291" width="4" style="557" customWidth="1"/>
    <col min="11292" max="11292" width="4.5546875" style="557" customWidth="1"/>
    <col min="11293" max="11293" width="4.44140625" style="557" customWidth="1"/>
    <col min="11294" max="11295" width="4.33203125" style="557" customWidth="1"/>
    <col min="11296" max="11297" width="4.88671875" style="557" customWidth="1"/>
    <col min="11298" max="11298" width="4" style="557" customWidth="1"/>
    <col min="11299" max="11299" width="4.6640625" style="557" customWidth="1"/>
    <col min="11300" max="11300" width="6" style="557" customWidth="1"/>
    <col min="11301" max="11301" width="8.88671875" style="557" customWidth="1"/>
    <col min="11302" max="11521" width="11.44140625" style="557"/>
    <col min="11522" max="11522" width="6.44140625" style="557" customWidth="1"/>
    <col min="11523" max="11523" width="47.88671875" style="557" customWidth="1"/>
    <col min="11524" max="11525" width="5" style="557" customWidth="1"/>
    <col min="11526" max="11526" width="5.33203125" style="557" customWidth="1"/>
    <col min="11527" max="11527" width="4.88671875" style="557" customWidth="1"/>
    <col min="11528" max="11529" width="4.109375" style="557" customWidth="1"/>
    <col min="11530" max="11530" width="3.5546875" style="557" customWidth="1"/>
    <col min="11531" max="11531" width="5" style="557" customWidth="1"/>
    <col min="11532" max="11532" width="4" style="557" customWidth="1"/>
    <col min="11533" max="11534" width="4.5546875" style="557" customWidth="1"/>
    <col min="11535" max="11535" width="4.109375" style="557" customWidth="1"/>
    <col min="11536" max="11536" width="4" style="557" customWidth="1"/>
    <col min="11537" max="11537" width="3.88671875" style="557" customWidth="1"/>
    <col min="11538" max="11539" width="4.6640625" style="557" customWidth="1"/>
    <col min="11540" max="11540" width="4" style="557" customWidth="1"/>
    <col min="11541" max="11541" width="4.33203125" style="557" customWidth="1"/>
    <col min="11542" max="11542" width="4.109375" style="557" customWidth="1"/>
    <col min="11543" max="11543" width="3.88671875" style="557" customWidth="1"/>
    <col min="11544" max="11544" width="4.109375" style="557" customWidth="1"/>
    <col min="11545" max="11545" width="5.5546875" style="557" customWidth="1"/>
    <col min="11546" max="11546" width="3.5546875" style="557" customWidth="1"/>
    <col min="11547" max="11547" width="4" style="557" customWidth="1"/>
    <col min="11548" max="11548" width="4.5546875" style="557" customWidth="1"/>
    <col min="11549" max="11549" width="4.44140625" style="557" customWidth="1"/>
    <col min="11550" max="11551" width="4.33203125" style="557" customWidth="1"/>
    <col min="11552" max="11553" width="4.88671875" style="557" customWidth="1"/>
    <col min="11554" max="11554" width="4" style="557" customWidth="1"/>
    <col min="11555" max="11555" width="4.6640625" style="557" customWidth="1"/>
    <col min="11556" max="11556" width="6" style="557" customWidth="1"/>
    <col min="11557" max="11557" width="8.88671875" style="557" customWidth="1"/>
    <col min="11558" max="11777" width="11.44140625" style="557"/>
    <col min="11778" max="11778" width="6.44140625" style="557" customWidth="1"/>
    <col min="11779" max="11779" width="47.88671875" style="557" customWidth="1"/>
    <col min="11780" max="11781" width="5" style="557" customWidth="1"/>
    <col min="11782" max="11782" width="5.33203125" style="557" customWidth="1"/>
    <col min="11783" max="11783" width="4.88671875" style="557" customWidth="1"/>
    <col min="11784" max="11785" width="4.109375" style="557" customWidth="1"/>
    <col min="11786" max="11786" width="3.5546875" style="557" customWidth="1"/>
    <col min="11787" max="11787" width="5" style="557" customWidth="1"/>
    <col min="11788" max="11788" width="4" style="557" customWidth="1"/>
    <col min="11789" max="11790" width="4.5546875" style="557" customWidth="1"/>
    <col min="11791" max="11791" width="4.109375" style="557" customWidth="1"/>
    <col min="11792" max="11792" width="4" style="557" customWidth="1"/>
    <col min="11793" max="11793" width="3.88671875" style="557" customWidth="1"/>
    <col min="11794" max="11795" width="4.6640625" style="557" customWidth="1"/>
    <col min="11796" max="11796" width="4" style="557" customWidth="1"/>
    <col min="11797" max="11797" width="4.33203125" style="557" customWidth="1"/>
    <col min="11798" max="11798" width="4.109375" style="557" customWidth="1"/>
    <col min="11799" max="11799" width="3.88671875" style="557" customWidth="1"/>
    <col min="11800" max="11800" width="4.109375" style="557" customWidth="1"/>
    <col min="11801" max="11801" width="5.5546875" style="557" customWidth="1"/>
    <col min="11802" max="11802" width="3.5546875" style="557" customWidth="1"/>
    <col min="11803" max="11803" width="4" style="557" customWidth="1"/>
    <col min="11804" max="11804" width="4.5546875" style="557" customWidth="1"/>
    <col min="11805" max="11805" width="4.44140625" style="557" customWidth="1"/>
    <col min="11806" max="11807" width="4.33203125" style="557" customWidth="1"/>
    <col min="11808" max="11809" width="4.88671875" style="557" customWidth="1"/>
    <col min="11810" max="11810" width="4" style="557" customWidth="1"/>
    <col min="11811" max="11811" width="4.6640625" style="557" customWidth="1"/>
    <col min="11812" max="11812" width="6" style="557" customWidth="1"/>
    <col min="11813" max="11813" width="8.88671875" style="557" customWidth="1"/>
    <col min="11814" max="12033" width="11.44140625" style="557"/>
    <col min="12034" max="12034" width="6.44140625" style="557" customWidth="1"/>
    <col min="12035" max="12035" width="47.88671875" style="557" customWidth="1"/>
    <col min="12036" max="12037" width="5" style="557" customWidth="1"/>
    <col min="12038" max="12038" width="5.33203125" style="557" customWidth="1"/>
    <col min="12039" max="12039" width="4.88671875" style="557" customWidth="1"/>
    <col min="12040" max="12041" width="4.109375" style="557" customWidth="1"/>
    <col min="12042" max="12042" width="3.5546875" style="557" customWidth="1"/>
    <col min="12043" max="12043" width="5" style="557" customWidth="1"/>
    <col min="12044" max="12044" width="4" style="557" customWidth="1"/>
    <col min="12045" max="12046" width="4.5546875" style="557" customWidth="1"/>
    <col min="12047" max="12047" width="4.109375" style="557" customWidth="1"/>
    <col min="12048" max="12048" width="4" style="557" customWidth="1"/>
    <col min="12049" max="12049" width="3.88671875" style="557" customWidth="1"/>
    <col min="12050" max="12051" width="4.6640625" style="557" customWidth="1"/>
    <col min="12052" max="12052" width="4" style="557" customWidth="1"/>
    <col min="12053" max="12053" width="4.33203125" style="557" customWidth="1"/>
    <col min="12054" max="12054" width="4.109375" style="557" customWidth="1"/>
    <col min="12055" max="12055" width="3.88671875" style="557" customWidth="1"/>
    <col min="12056" max="12056" width="4.109375" style="557" customWidth="1"/>
    <col min="12057" max="12057" width="5.5546875" style="557" customWidth="1"/>
    <col min="12058" max="12058" width="3.5546875" style="557" customWidth="1"/>
    <col min="12059" max="12059" width="4" style="557" customWidth="1"/>
    <col min="12060" max="12060" width="4.5546875" style="557" customWidth="1"/>
    <col min="12061" max="12061" width="4.44140625" style="557" customWidth="1"/>
    <col min="12062" max="12063" width="4.33203125" style="557" customWidth="1"/>
    <col min="12064" max="12065" width="4.88671875" style="557" customWidth="1"/>
    <col min="12066" max="12066" width="4" style="557" customWidth="1"/>
    <col min="12067" max="12067" width="4.6640625" style="557" customWidth="1"/>
    <col min="12068" max="12068" width="6" style="557" customWidth="1"/>
    <col min="12069" max="12069" width="8.88671875" style="557" customWidth="1"/>
    <col min="12070" max="12289" width="11.44140625" style="557"/>
    <col min="12290" max="12290" width="6.44140625" style="557" customWidth="1"/>
    <col min="12291" max="12291" width="47.88671875" style="557" customWidth="1"/>
    <col min="12292" max="12293" width="5" style="557" customWidth="1"/>
    <col min="12294" max="12294" width="5.33203125" style="557" customWidth="1"/>
    <col min="12295" max="12295" width="4.88671875" style="557" customWidth="1"/>
    <col min="12296" max="12297" width="4.109375" style="557" customWidth="1"/>
    <col min="12298" max="12298" width="3.5546875" style="557" customWidth="1"/>
    <col min="12299" max="12299" width="5" style="557" customWidth="1"/>
    <col min="12300" max="12300" width="4" style="557" customWidth="1"/>
    <col min="12301" max="12302" width="4.5546875" style="557" customWidth="1"/>
    <col min="12303" max="12303" width="4.109375" style="557" customWidth="1"/>
    <col min="12304" max="12304" width="4" style="557" customWidth="1"/>
    <col min="12305" max="12305" width="3.88671875" style="557" customWidth="1"/>
    <col min="12306" max="12307" width="4.6640625" style="557" customWidth="1"/>
    <col min="12308" max="12308" width="4" style="557" customWidth="1"/>
    <col min="12309" max="12309" width="4.33203125" style="557" customWidth="1"/>
    <col min="12310" max="12310" width="4.109375" style="557" customWidth="1"/>
    <col min="12311" max="12311" width="3.88671875" style="557" customWidth="1"/>
    <col min="12312" max="12312" width="4.109375" style="557" customWidth="1"/>
    <col min="12313" max="12313" width="5.5546875" style="557" customWidth="1"/>
    <col min="12314" max="12314" width="3.5546875" style="557" customWidth="1"/>
    <col min="12315" max="12315" width="4" style="557" customWidth="1"/>
    <col min="12316" max="12316" width="4.5546875" style="557" customWidth="1"/>
    <col min="12317" max="12317" width="4.44140625" style="557" customWidth="1"/>
    <col min="12318" max="12319" width="4.33203125" style="557" customWidth="1"/>
    <col min="12320" max="12321" width="4.88671875" style="557" customWidth="1"/>
    <col min="12322" max="12322" width="4" style="557" customWidth="1"/>
    <col min="12323" max="12323" width="4.6640625" style="557" customWidth="1"/>
    <col min="12324" max="12324" width="6" style="557" customWidth="1"/>
    <col min="12325" max="12325" width="8.88671875" style="557" customWidth="1"/>
    <col min="12326" max="12545" width="11.44140625" style="557"/>
    <col min="12546" max="12546" width="6.44140625" style="557" customWidth="1"/>
    <col min="12547" max="12547" width="47.88671875" style="557" customWidth="1"/>
    <col min="12548" max="12549" width="5" style="557" customWidth="1"/>
    <col min="12550" max="12550" width="5.33203125" style="557" customWidth="1"/>
    <col min="12551" max="12551" width="4.88671875" style="557" customWidth="1"/>
    <col min="12552" max="12553" width="4.109375" style="557" customWidth="1"/>
    <col min="12554" max="12554" width="3.5546875" style="557" customWidth="1"/>
    <col min="12555" max="12555" width="5" style="557" customWidth="1"/>
    <col min="12556" max="12556" width="4" style="557" customWidth="1"/>
    <col min="12557" max="12558" width="4.5546875" style="557" customWidth="1"/>
    <col min="12559" max="12559" width="4.109375" style="557" customWidth="1"/>
    <col min="12560" max="12560" width="4" style="557" customWidth="1"/>
    <col min="12561" max="12561" width="3.88671875" style="557" customWidth="1"/>
    <col min="12562" max="12563" width="4.6640625" style="557" customWidth="1"/>
    <col min="12564" max="12564" width="4" style="557" customWidth="1"/>
    <col min="12565" max="12565" width="4.33203125" style="557" customWidth="1"/>
    <col min="12566" max="12566" width="4.109375" style="557" customWidth="1"/>
    <col min="12567" max="12567" width="3.88671875" style="557" customWidth="1"/>
    <col min="12568" max="12568" width="4.109375" style="557" customWidth="1"/>
    <col min="12569" max="12569" width="5.5546875" style="557" customWidth="1"/>
    <col min="12570" max="12570" width="3.5546875" style="557" customWidth="1"/>
    <col min="12571" max="12571" width="4" style="557" customWidth="1"/>
    <col min="12572" max="12572" width="4.5546875" style="557" customWidth="1"/>
    <col min="12573" max="12573" width="4.44140625" style="557" customWidth="1"/>
    <col min="12574" max="12575" width="4.33203125" style="557" customWidth="1"/>
    <col min="12576" max="12577" width="4.88671875" style="557" customWidth="1"/>
    <col min="12578" max="12578" width="4" style="557" customWidth="1"/>
    <col min="12579" max="12579" width="4.6640625" style="557" customWidth="1"/>
    <col min="12580" max="12580" width="6" style="557" customWidth="1"/>
    <col min="12581" max="12581" width="8.88671875" style="557" customWidth="1"/>
    <col min="12582" max="12801" width="11.44140625" style="557"/>
    <col min="12802" max="12802" width="6.44140625" style="557" customWidth="1"/>
    <col min="12803" max="12803" width="47.88671875" style="557" customWidth="1"/>
    <col min="12804" max="12805" width="5" style="557" customWidth="1"/>
    <col min="12806" max="12806" width="5.33203125" style="557" customWidth="1"/>
    <col min="12807" max="12807" width="4.88671875" style="557" customWidth="1"/>
    <col min="12808" max="12809" width="4.109375" style="557" customWidth="1"/>
    <col min="12810" max="12810" width="3.5546875" style="557" customWidth="1"/>
    <col min="12811" max="12811" width="5" style="557" customWidth="1"/>
    <col min="12812" max="12812" width="4" style="557" customWidth="1"/>
    <col min="12813" max="12814" width="4.5546875" style="557" customWidth="1"/>
    <col min="12815" max="12815" width="4.109375" style="557" customWidth="1"/>
    <col min="12816" max="12816" width="4" style="557" customWidth="1"/>
    <col min="12817" max="12817" width="3.88671875" style="557" customWidth="1"/>
    <col min="12818" max="12819" width="4.6640625" style="557" customWidth="1"/>
    <col min="12820" max="12820" width="4" style="557" customWidth="1"/>
    <col min="12821" max="12821" width="4.33203125" style="557" customWidth="1"/>
    <col min="12822" max="12822" width="4.109375" style="557" customWidth="1"/>
    <col min="12823" max="12823" width="3.88671875" style="557" customWidth="1"/>
    <col min="12824" max="12824" width="4.109375" style="557" customWidth="1"/>
    <col min="12825" max="12825" width="5.5546875" style="557" customWidth="1"/>
    <col min="12826" max="12826" width="3.5546875" style="557" customWidth="1"/>
    <col min="12827" max="12827" width="4" style="557" customWidth="1"/>
    <col min="12828" max="12828" width="4.5546875" style="557" customWidth="1"/>
    <col min="12829" max="12829" width="4.44140625" style="557" customWidth="1"/>
    <col min="12830" max="12831" width="4.33203125" style="557" customWidth="1"/>
    <col min="12832" max="12833" width="4.88671875" style="557" customWidth="1"/>
    <col min="12834" max="12834" width="4" style="557" customWidth="1"/>
    <col min="12835" max="12835" width="4.6640625" style="557" customWidth="1"/>
    <col min="12836" max="12836" width="6" style="557" customWidth="1"/>
    <col min="12837" max="12837" width="8.88671875" style="557" customWidth="1"/>
    <col min="12838" max="13057" width="11.44140625" style="557"/>
    <col min="13058" max="13058" width="6.44140625" style="557" customWidth="1"/>
    <col min="13059" max="13059" width="47.88671875" style="557" customWidth="1"/>
    <col min="13060" max="13061" width="5" style="557" customWidth="1"/>
    <col min="13062" max="13062" width="5.33203125" style="557" customWidth="1"/>
    <col min="13063" max="13063" width="4.88671875" style="557" customWidth="1"/>
    <col min="13064" max="13065" width="4.109375" style="557" customWidth="1"/>
    <col min="13066" max="13066" width="3.5546875" style="557" customWidth="1"/>
    <col min="13067" max="13067" width="5" style="557" customWidth="1"/>
    <col min="13068" max="13068" width="4" style="557" customWidth="1"/>
    <col min="13069" max="13070" width="4.5546875" style="557" customWidth="1"/>
    <col min="13071" max="13071" width="4.109375" style="557" customWidth="1"/>
    <col min="13072" max="13072" width="4" style="557" customWidth="1"/>
    <col min="13073" max="13073" width="3.88671875" style="557" customWidth="1"/>
    <col min="13074" max="13075" width="4.6640625" style="557" customWidth="1"/>
    <col min="13076" max="13076" width="4" style="557" customWidth="1"/>
    <col min="13077" max="13077" width="4.33203125" style="557" customWidth="1"/>
    <col min="13078" max="13078" width="4.109375" style="557" customWidth="1"/>
    <col min="13079" max="13079" width="3.88671875" style="557" customWidth="1"/>
    <col min="13080" max="13080" width="4.109375" style="557" customWidth="1"/>
    <col min="13081" max="13081" width="5.5546875" style="557" customWidth="1"/>
    <col min="13082" max="13082" width="3.5546875" style="557" customWidth="1"/>
    <col min="13083" max="13083" width="4" style="557" customWidth="1"/>
    <col min="13084" max="13084" width="4.5546875" style="557" customWidth="1"/>
    <col min="13085" max="13085" width="4.44140625" style="557" customWidth="1"/>
    <col min="13086" max="13087" width="4.33203125" style="557" customWidth="1"/>
    <col min="13088" max="13089" width="4.88671875" style="557" customWidth="1"/>
    <col min="13090" max="13090" width="4" style="557" customWidth="1"/>
    <col min="13091" max="13091" width="4.6640625" style="557" customWidth="1"/>
    <col min="13092" max="13092" width="6" style="557" customWidth="1"/>
    <col min="13093" max="13093" width="8.88671875" style="557" customWidth="1"/>
    <col min="13094" max="13313" width="11.44140625" style="557"/>
    <col min="13314" max="13314" width="6.44140625" style="557" customWidth="1"/>
    <col min="13315" max="13315" width="47.88671875" style="557" customWidth="1"/>
    <col min="13316" max="13317" width="5" style="557" customWidth="1"/>
    <col min="13318" max="13318" width="5.33203125" style="557" customWidth="1"/>
    <col min="13319" max="13319" width="4.88671875" style="557" customWidth="1"/>
    <col min="13320" max="13321" width="4.109375" style="557" customWidth="1"/>
    <col min="13322" max="13322" width="3.5546875" style="557" customWidth="1"/>
    <col min="13323" max="13323" width="5" style="557" customWidth="1"/>
    <col min="13324" max="13324" width="4" style="557" customWidth="1"/>
    <col min="13325" max="13326" width="4.5546875" style="557" customWidth="1"/>
    <col min="13327" max="13327" width="4.109375" style="557" customWidth="1"/>
    <col min="13328" max="13328" width="4" style="557" customWidth="1"/>
    <col min="13329" max="13329" width="3.88671875" style="557" customWidth="1"/>
    <col min="13330" max="13331" width="4.6640625" style="557" customWidth="1"/>
    <col min="13332" max="13332" width="4" style="557" customWidth="1"/>
    <col min="13333" max="13333" width="4.33203125" style="557" customWidth="1"/>
    <col min="13334" max="13334" width="4.109375" style="557" customWidth="1"/>
    <col min="13335" max="13335" width="3.88671875" style="557" customWidth="1"/>
    <col min="13336" max="13336" width="4.109375" style="557" customWidth="1"/>
    <col min="13337" max="13337" width="5.5546875" style="557" customWidth="1"/>
    <col min="13338" max="13338" width="3.5546875" style="557" customWidth="1"/>
    <col min="13339" max="13339" width="4" style="557" customWidth="1"/>
    <col min="13340" max="13340" width="4.5546875" style="557" customWidth="1"/>
    <col min="13341" max="13341" width="4.44140625" style="557" customWidth="1"/>
    <col min="13342" max="13343" width="4.33203125" style="557" customWidth="1"/>
    <col min="13344" max="13345" width="4.88671875" style="557" customWidth="1"/>
    <col min="13346" max="13346" width="4" style="557" customWidth="1"/>
    <col min="13347" max="13347" width="4.6640625" style="557" customWidth="1"/>
    <col min="13348" max="13348" width="6" style="557" customWidth="1"/>
    <col min="13349" max="13349" width="8.88671875" style="557" customWidth="1"/>
    <col min="13350" max="13569" width="11.44140625" style="557"/>
    <col min="13570" max="13570" width="6.44140625" style="557" customWidth="1"/>
    <col min="13571" max="13571" width="47.88671875" style="557" customWidth="1"/>
    <col min="13572" max="13573" width="5" style="557" customWidth="1"/>
    <col min="13574" max="13574" width="5.33203125" style="557" customWidth="1"/>
    <col min="13575" max="13575" width="4.88671875" style="557" customWidth="1"/>
    <col min="13576" max="13577" width="4.109375" style="557" customWidth="1"/>
    <col min="13578" max="13578" width="3.5546875" style="557" customWidth="1"/>
    <col min="13579" max="13579" width="5" style="557" customWidth="1"/>
    <col min="13580" max="13580" width="4" style="557" customWidth="1"/>
    <col min="13581" max="13582" width="4.5546875" style="557" customWidth="1"/>
    <col min="13583" max="13583" width="4.109375" style="557" customWidth="1"/>
    <col min="13584" max="13584" width="4" style="557" customWidth="1"/>
    <col min="13585" max="13585" width="3.88671875" style="557" customWidth="1"/>
    <col min="13586" max="13587" width="4.6640625" style="557" customWidth="1"/>
    <col min="13588" max="13588" width="4" style="557" customWidth="1"/>
    <col min="13589" max="13589" width="4.33203125" style="557" customWidth="1"/>
    <col min="13590" max="13590" width="4.109375" style="557" customWidth="1"/>
    <col min="13591" max="13591" width="3.88671875" style="557" customWidth="1"/>
    <col min="13592" max="13592" width="4.109375" style="557" customWidth="1"/>
    <col min="13593" max="13593" width="5.5546875" style="557" customWidth="1"/>
    <col min="13594" max="13594" width="3.5546875" style="557" customWidth="1"/>
    <col min="13595" max="13595" width="4" style="557" customWidth="1"/>
    <col min="13596" max="13596" width="4.5546875" style="557" customWidth="1"/>
    <col min="13597" max="13597" width="4.44140625" style="557" customWidth="1"/>
    <col min="13598" max="13599" width="4.33203125" style="557" customWidth="1"/>
    <col min="13600" max="13601" width="4.88671875" style="557" customWidth="1"/>
    <col min="13602" max="13602" width="4" style="557" customWidth="1"/>
    <col min="13603" max="13603" width="4.6640625" style="557" customWidth="1"/>
    <col min="13604" max="13604" width="6" style="557" customWidth="1"/>
    <col min="13605" max="13605" width="8.88671875" style="557" customWidth="1"/>
    <col min="13606" max="13825" width="11.44140625" style="557"/>
    <col min="13826" max="13826" width="6.44140625" style="557" customWidth="1"/>
    <col min="13827" max="13827" width="47.88671875" style="557" customWidth="1"/>
    <col min="13828" max="13829" width="5" style="557" customWidth="1"/>
    <col min="13830" max="13830" width="5.33203125" style="557" customWidth="1"/>
    <col min="13831" max="13831" width="4.88671875" style="557" customWidth="1"/>
    <col min="13832" max="13833" width="4.109375" style="557" customWidth="1"/>
    <col min="13834" max="13834" width="3.5546875" style="557" customWidth="1"/>
    <col min="13835" max="13835" width="5" style="557" customWidth="1"/>
    <col min="13836" max="13836" width="4" style="557" customWidth="1"/>
    <col min="13837" max="13838" width="4.5546875" style="557" customWidth="1"/>
    <col min="13839" max="13839" width="4.109375" style="557" customWidth="1"/>
    <col min="13840" max="13840" width="4" style="557" customWidth="1"/>
    <col min="13841" max="13841" width="3.88671875" style="557" customWidth="1"/>
    <col min="13842" max="13843" width="4.6640625" style="557" customWidth="1"/>
    <col min="13844" max="13844" width="4" style="557" customWidth="1"/>
    <col min="13845" max="13845" width="4.33203125" style="557" customWidth="1"/>
    <col min="13846" max="13846" width="4.109375" style="557" customWidth="1"/>
    <col min="13847" max="13847" width="3.88671875" style="557" customWidth="1"/>
    <col min="13848" max="13848" width="4.109375" style="557" customWidth="1"/>
    <col min="13849" max="13849" width="5.5546875" style="557" customWidth="1"/>
    <col min="13850" max="13850" width="3.5546875" style="557" customWidth="1"/>
    <col min="13851" max="13851" width="4" style="557" customWidth="1"/>
    <col min="13852" max="13852" width="4.5546875" style="557" customWidth="1"/>
    <col min="13853" max="13853" width="4.44140625" style="557" customWidth="1"/>
    <col min="13854" max="13855" width="4.33203125" style="557" customWidth="1"/>
    <col min="13856" max="13857" width="4.88671875" style="557" customWidth="1"/>
    <col min="13858" max="13858" width="4" style="557" customWidth="1"/>
    <col min="13859" max="13859" width="4.6640625" style="557" customWidth="1"/>
    <col min="13860" max="13860" width="6" style="557" customWidth="1"/>
    <col min="13861" max="13861" width="8.88671875" style="557" customWidth="1"/>
    <col min="13862" max="14081" width="11.44140625" style="557"/>
    <col min="14082" max="14082" width="6.44140625" style="557" customWidth="1"/>
    <col min="14083" max="14083" width="47.88671875" style="557" customWidth="1"/>
    <col min="14084" max="14085" width="5" style="557" customWidth="1"/>
    <col min="14086" max="14086" width="5.33203125" style="557" customWidth="1"/>
    <col min="14087" max="14087" width="4.88671875" style="557" customWidth="1"/>
    <col min="14088" max="14089" width="4.109375" style="557" customWidth="1"/>
    <col min="14090" max="14090" width="3.5546875" style="557" customWidth="1"/>
    <col min="14091" max="14091" width="5" style="557" customWidth="1"/>
    <col min="14092" max="14092" width="4" style="557" customWidth="1"/>
    <col min="14093" max="14094" width="4.5546875" style="557" customWidth="1"/>
    <col min="14095" max="14095" width="4.109375" style="557" customWidth="1"/>
    <col min="14096" max="14096" width="4" style="557" customWidth="1"/>
    <col min="14097" max="14097" width="3.88671875" style="557" customWidth="1"/>
    <col min="14098" max="14099" width="4.6640625" style="557" customWidth="1"/>
    <col min="14100" max="14100" width="4" style="557" customWidth="1"/>
    <col min="14101" max="14101" width="4.33203125" style="557" customWidth="1"/>
    <col min="14102" max="14102" width="4.109375" style="557" customWidth="1"/>
    <col min="14103" max="14103" width="3.88671875" style="557" customWidth="1"/>
    <col min="14104" max="14104" width="4.109375" style="557" customWidth="1"/>
    <col min="14105" max="14105" width="5.5546875" style="557" customWidth="1"/>
    <col min="14106" max="14106" width="3.5546875" style="557" customWidth="1"/>
    <col min="14107" max="14107" width="4" style="557" customWidth="1"/>
    <col min="14108" max="14108" width="4.5546875" style="557" customWidth="1"/>
    <col min="14109" max="14109" width="4.44140625" style="557" customWidth="1"/>
    <col min="14110" max="14111" width="4.33203125" style="557" customWidth="1"/>
    <col min="14112" max="14113" width="4.88671875" style="557" customWidth="1"/>
    <col min="14114" max="14114" width="4" style="557" customWidth="1"/>
    <col min="14115" max="14115" width="4.6640625" style="557" customWidth="1"/>
    <col min="14116" max="14116" width="6" style="557" customWidth="1"/>
    <col min="14117" max="14117" width="8.88671875" style="557" customWidth="1"/>
    <col min="14118" max="14337" width="11.44140625" style="557"/>
    <col min="14338" max="14338" width="6.44140625" style="557" customWidth="1"/>
    <col min="14339" max="14339" width="47.88671875" style="557" customWidth="1"/>
    <col min="14340" max="14341" width="5" style="557" customWidth="1"/>
    <col min="14342" max="14342" width="5.33203125" style="557" customWidth="1"/>
    <col min="14343" max="14343" width="4.88671875" style="557" customWidth="1"/>
    <col min="14344" max="14345" width="4.109375" style="557" customWidth="1"/>
    <col min="14346" max="14346" width="3.5546875" style="557" customWidth="1"/>
    <col min="14347" max="14347" width="5" style="557" customWidth="1"/>
    <col min="14348" max="14348" width="4" style="557" customWidth="1"/>
    <col min="14349" max="14350" width="4.5546875" style="557" customWidth="1"/>
    <col min="14351" max="14351" width="4.109375" style="557" customWidth="1"/>
    <col min="14352" max="14352" width="4" style="557" customWidth="1"/>
    <col min="14353" max="14353" width="3.88671875" style="557" customWidth="1"/>
    <col min="14354" max="14355" width="4.6640625" style="557" customWidth="1"/>
    <col min="14356" max="14356" width="4" style="557" customWidth="1"/>
    <col min="14357" max="14357" width="4.33203125" style="557" customWidth="1"/>
    <col min="14358" max="14358" width="4.109375" style="557" customWidth="1"/>
    <col min="14359" max="14359" width="3.88671875" style="557" customWidth="1"/>
    <col min="14360" max="14360" width="4.109375" style="557" customWidth="1"/>
    <col min="14361" max="14361" width="5.5546875" style="557" customWidth="1"/>
    <col min="14362" max="14362" width="3.5546875" style="557" customWidth="1"/>
    <col min="14363" max="14363" width="4" style="557" customWidth="1"/>
    <col min="14364" max="14364" width="4.5546875" style="557" customWidth="1"/>
    <col min="14365" max="14365" width="4.44140625" style="557" customWidth="1"/>
    <col min="14366" max="14367" width="4.33203125" style="557" customWidth="1"/>
    <col min="14368" max="14369" width="4.88671875" style="557" customWidth="1"/>
    <col min="14370" max="14370" width="4" style="557" customWidth="1"/>
    <col min="14371" max="14371" width="4.6640625" style="557" customWidth="1"/>
    <col min="14372" max="14372" width="6" style="557" customWidth="1"/>
    <col min="14373" max="14373" width="8.88671875" style="557" customWidth="1"/>
    <col min="14374" max="14593" width="11.44140625" style="557"/>
    <col min="14594" max="14594" width="6.44140625" style="557" customWidth="1"/>
    <col min="14595" max="14595" width="47.88671875" style="557" customWidth="1"/>
    <col min="14596" max="14597" width="5" style="557" customWidth="1"/>
    <col min="14598" max="14598" width="5.33203125" style="557" customWidth="1"/>
    <col min="14599" max="14599" width="4.88671875" style="557" customWidth="1"/>
    <col min="14600" max="14601" width="4.109375" style="557" customWidth="1"/>
    <col min="14602" max="14602" width="3.5546875" style="557" customWidth="1"/>
    <col min="14603" max="14603" width="5" style="557" customWidth="1"/>
    <col min="14604" max="14604" width="4" style="557" customWidth="1"/>
    <col min="14605" max="14606" width="4.5546875" style="557" customWidth="1"/>
    <col min="14607" max="14607" width="4.109375" style="557" customWidth="1"/>
    <col min="14608" max="14608" width="4" style="557" customWidth="1"/>
    <col min="14609" max="14609" width="3.88671875" style="557" customWidth="1"/>
    <col min="14610" max="14611" width="4.6640625" style="557" customWidth="1"/>
    <col min="14612" max="14612" width="4" style="557" customWidth="1"/>
    <col min="14613" max="14613" width="4.33203125" style="557" customWidth="1"/>
    <col min="14614" max="14614" width="4.109375" style="557" customWidth="1"/>
    <col min="14615" max="14615" width="3.88671875" style="557" customWidth="1"/>
    <col min="14616" max="14616" width="4.109375" style="557" customWidth="1"/>
    <col min="14617" max="14617" width="5.5546875" style="557" customWidth="1"/>
    <col min="14618" max="14618" width="3.5546875" style="557" customWidth="1"/>
    <col min="14619" max="14619" width="4" style="557" customWidth="1"/>
    <col min="14620" max="14620" width="4.5546875" style="557" customWidth="1"/>
    <col min="14621" max="14621" width="4.44140625" style="557" customWidth="1"/>
    <col min="14622" max="14623" width="4.33203125" style="557" customWidth="1"/>
    <col min="14624" max="14625" width="4.88671875" style="557" customWidth="1"/>
    <col min="14626" max="14626" width="4" style="557" customWidth="1"/>
    <col min="14627" max="14627" width="4.6640625" style="557" customWidth="1"/>
    <col min="14628" max="14628" width="6" style="557" customWidth="1"/>
    <col min="14629" max="14629" width="8.88671875" style="557" customWidth="1"/>
    <col min="14630" max="14849" width="11.44140625" style="557"/>
    <col min="14850" max="14850" width="6.44140625" style="557" customWidth="1"/>
    <col min="14851" max="14851" width="47.88671875" style="557" customWidth="1"/>
    <col min="14852" max="14853" width="5" style="557" customWidth="1"/>
    <col min="14854" max="14854" width="5.33203125" style="557" customWidth="1"/>
    <col min="14855" max="14855" width="4.88671875" style="557" customWidth="1"/>
    <col min="14856" max="14857" width="4.109375" style="557" customWidth="1"/>
    <col min="14858" max="14858" width="3.5546875" style="557" customWidth="1"/>
    <col min="14859" max="14859" width="5" style="557" customWidth="1"/>
    <col min="14860" max="14860" width="4" style="557" customWidth="1"/>
    <col min="14861" max="14862" width="4.5546875" style="557" customWidth="1"/>
    <col min="14863" max="14863" width="4.109375" style="557" customWidth="1"/>
    <col min="14864" max="14864" width="4" style="557" customWidth="1"/>
    <col min="14865" max="14865" width="3.88671875" style="557" customWidth="1"/>
    <col min="14866" max="14867" width="4.6640625" style="557" customWidth="1"/>
    <col min="14868" max="14868" width="4" style="557" customWidth="1"/>
    <col min="14869" max="14869" width="4.33203125" style="557" customWidth="1"/>
    <col min="14870" max="14870" width="4.109375" style="557" customWidth="1"/>
    <col min="14871" max="14871" width="3.88671875" style="557" customWidth="1"/>
    <col min="14872" max="14872" width="4.109375" style="557" customWidth="1"/>
    <col min="14873" max="14873" width="5.5546875" style="557" customWidth="1"/>
    <col min="14874" max="14874" width="3.5546875" style="557" customWidth="1"/>
    <col min="14875" max="14875" width="4" style="557" customWidth="1"/>
    <col min="14876" max="14876" width="4.5546875" style="557" customWidth="1"/>
    <col min="14877" max="14877" width="4.44140625" style="557" customWidth="1"/>
    <col min="14878" max="14879" width="4.33203125" style="557" customWidth="1"/>
    <col min="14880" max="14881" width="4.88671875" style="557" customWidth="1"/>
    <col min="14882" max="14882" width="4" style="557" customWidth="1"/>
    <col min="14883" max="14883" width="4.6640625" style="557" customWidth="1"/>
    <col min="14884" max="14884" width="6" style="557" customWidth="1"/>
    <col min="14885" max="14885" width="8.88671875" style="557" customWidth="1"/>
    <col min="14886" max="15105" width="11.44140625" style="557"/>
    <col min="15106" max="15106" width="6.44140625" style="557" customWidth="1"/>
    <col min="15107" max="15107" width="47.88671875" style="557" customWidth="1"/>
    <col min="15108" max="15109" width="5" style="557" customWidth="1"/>
    <col min="15110" max="15110" width="5.33203125" style="557" customWidth="1"/>
    <col min="15111" max="15111" width="4.88671875" style="557" customWidth="1"/>
    <col min="15112" max="15113" width="4.109375" style="557" customWidth="1"/>
    <col min="15114" max="15114" width="3.5546875" style="557" customWidth="1"/>
    <col min="15115" max="15115" width="5" style="557" customWidth="1"/>
    <col min="15116" max="15116" width="4" style="557" customWidth="1"/>
    <col min="15117" max="15118" width="4.5546875" style="557" customWidth="1"/>
    <col min="15119" max="15119" width="4.109375" style="557" customWidth="1"/>
    <col min="15120" max="15120" width="4" style="557" customWidth="1"/>
    <col min="15121" max="15121" width="3.88671875" style="557" customWidth="1"/>
    <col min="15122" max="15123" width="4.6640625" style="557" customWidth="1"/>
    <col min="15124" max="15124" width="4" style="557" customWidth="1"/>
    <col min="15125" max="15125" width="4.33203125" style="557" customWidth="1"/>
    <col min="15126" max="15126" width="4.109375" style="557" customWidth="1"/>
    <col min="15127" max="15127" width="3.88671875" style="557" customWidth="1"/>
    <col min="15128" max="15128" width="4.109375" style="557" customWidth="1"/>
    <col min="15129" max="15129" width="5.5546875" style="557" customWidth="1"/>
    <col min="15130" max="15130" width="3.5546875" style="557" customWidth="1"/>
    <col min="15131" max="15131" width="4" style="557" customWidth="1"/>
    <col min="15132" max="15132" width="4.5546875" style="557" customWidth="1"/>
    <col min="15133" max="15133" width="4.44140625" style="557" customWidth="1"/>
    <col min="15134" max="15135" width="4.33203125" style="557" customWidth="1"/>
    <col min="15136" max="15137" width="4.88671875" style="557" customWidth="1"/>
    <col min="15138" max="15138" width="4" style="557" customWidth="1"/>
    <col min="15139" max="15139" width="4.6640625" style="557" customWidth="1"/>
    <col min="15140" max="15140" width="6" style="557" customWidth="1"/>
    <col min="15141" max="15141" width="8.88671875" style="557" customWidth="1"/>
    <col min="15142" max="15361" width="11.44140625" style="557"/>
    <col min="15362" max="15362" width="6.44140625" style="557" customWidth="1"/>
    <col min="15363" max="15363" width="47.88671875" style="557" customWidth="1"/>
    <col min="15364" max="15365" width="5" style="557" customWidth="1"/>
    <col min="15366" max="15366" width="5.33203125" style="557" customWidth="1"/>
    <col min="15367" max="15367" width="4.88671875" style="557" customWidth="1"/>
    <col min="15368" max="15369" width="4.109375" style="557" customWidth="1"/>
    <col min="15370" max="15370" width="3.5546875" style="557" customWidth="1"/>
    <col min="15371" max="15371" width="5" style="557" customWidth="1"/>
    <col min="15372" max="15372" width="4" style="557" customWidth="1"/>
    <col min="15373" max="15374" width="4.5546875" style="557" customWidth="1"/>
    <col min="15375" max="15375" width="4.109375" style="557" customWidth="1"/>
    <col min="15376" max="15376" width="4" style="557" customWidth="1"/>
    <col min="15377" max="15377" width="3.88671875" style="557" customWidth="1"/>
    <col min="15378" max="15379" width="4.6640625" style="557" customWidth="1"/>
    <col min="15380" max="15380" width="4" style="557" customWidth="1"/>
    <col min="15381" max="15381" width="4.33203125" style="557" customWidth="1"/>
    <col min="15382" max="15382" width="4.109375" style="557" customWidth="1"/>
    <col min="15383" max="15383" width="3.88671875" style="557" customWidth="1"/>
    <col min="15384" max="15384" width="4.109375" style="557" customWidth="1"/>
    <col min="15385" max="15385" width="5.5546875" style="557" customWidth="1"/>
    <col min="15386" max="15386" width="3.5546875" style="557" customWidth="1"/>
    <col min="15387" max="15387" width="4" style="557" customWidth="1"/>
    <col min="15388" max="15388" width="4.5546875" style="557" customWidth="1"/>
    <col min="15389" max="15389" width="4.44140625" style="557" customWidth="1"/>
    <col min="15390" max="15391" width="4.33203125" style="557" customWidth="1"/>
    <col min="15392" max="15393" width="4.88671875" style="557" customWidth="1"/>
    <col min="15394" max="15394" width="4" style="557" customWidth="1"/>
    <col min="15395" max="15395" width="4.6640625" style="557" customWidth="1"/>
    <col min="15396" max="15396" width="6" style="557" customWidth="1"/>
    <col min="15397" max="15397" width="8.88671875" style="557" customWidth="1"/>
    <col min="15398" max="15617" width="11.44140625" style="557"/>
    <col min="15618" max="15618" width="6.44140625" style="557" customWidth="1"/>
    <col min="15619" max="15619" width="47.88671875" style="557" customWidth="1"/>
    <col min="15620" max="15621" width="5" style="557" customWidth="1"/>
    <col min="15622" max="15622" width="5.33203125" style="557" customWidth="1"/>
    <col min="15623" max="15623" width="4.88671875" style="557" customWidth="1"/>
    <col min="15624" max="15625" width="4.109375" style="557" customWidth="1"/>
    <col min="15626" max="15626" width="3.5546875" style="557" customWidth="1"/>
    <col min="15627" max="15627" width="5" style="557" customWidth="1"/>
    <col min="15628" max="15628" width="4" style="557" customWidth="1"/>
    <col min="15629" max="15630" width="4.5546875" style="557" customWidth="1"/>
    <col min="15631" max="15631" width="4.109375" style="557" customWidth="1"/>
    <col min="15632" max="15632" width="4" style="557" customWidth="1"/>
    <col min="15633" max="15633" width="3.88671875" style="557" customWidth="1"/>
    <col min="15634" max="15635" width="4.6640625" style="557" customWidth="1"/>
    <col min="15636" max="15636" width="4" style="557" customWidth="1"/>
    <col min="15637" max="15637" width="4.33203125" style="557" customWidth="1"/>
    <col min="15638" max="15638" width="4.109375" style="557" customWidth="1"/>
    <col min="15639" max="15639" width="3.88671875" style="557" customWidth="1"/>
    <col min="15640" max="15640" width="4.109375" style="557" customWidth="1"/>
    <col min="15641" max="15641" width="5.5546875" style="557" customWidth="1"/>
    <col min="15642" max="15642" width="3.5546875" style="557" customWidth="1"/>
    <col min="15643" max="15643" width="4" style="557" customWidth="1"/>
    <col min="15644" max="15644" width="4.5546875" style="557" customWidth="1"/>
    <col min="15645" max="15645" width="4.44140625" style="557" customWidth="1"/>
    <col min="15646" max="15647" width="4.33203125" style="557" customWidth="1"/>
    <col min="15648" max="15649" width="4.88671875" style="557" customWidth="1"/>
    <col min="15650" max="15650" width="4" style="557" customWidth="1"/>
    <col min="15651" max="15651" width="4.6640625" style="557" customWidth="1"/>
    <col min="15652" max="15652" width="6" style="557" customWidth="1"/>
    <col min="15653" max="15653" width="8.88671875" style="557" customWidth="1"/>
    <col min="15654" max="15873" width="11.44140625" style="557"/>
    <col min="15874" max="15874" width="6.44140625" style="557" customWidth="1"/>
    <col min="15875" max="15875" width="47.88671875" style="557" customWidth="1"/>
    <col min="15876" max="15877" width="5" style="557" customWidth="1"/>
    <col min="15878" max="15878" width="5.33203125" style="557" customWidth="1"/>
    <col min="15879" max="15879" width="4.88671875" style="557" customWidth="1"/>
    <col min="15880" max="15881" width="4.109375" style="557" customWidth="1"/>
    <col min="15882" max="15882" width="3.5546875" style="557" customWidth="1"/>
    <col min="15883" max="15883" width="5" style="557" customWidth="1"/>
    <col min="15884" max="15884" width="4" style="557" customWidth="1"/>
    <col min="15885" max="15886" width="4.5546875" style="557" customWidth="1"/>
    <col min="15887" max="15887" width="4.109375" style="557" customWidth="1"/>
    <col min="15888" max="15888" width="4" style="557" customWidth="1"/>
    <col min="15889" max="15889" width="3.88671875" style="557" customWidth="1"/>
    <col min="15890" max="15891" width="4.6640625" style="557" customWidth="1"/>
    <col min="15892" max="15892" width="4" style="557" customWidth="1"/>
    <col min="15893" max="15893" width="4.33203125" style="557" customWidth="1"/>
    <col min="15894" max="15894" width="4.109375" style="557" customWidth="1"/>
    <col min="15895" max="15895" width="3.88671875" style="557" customWidth="1"/>
    <col min="15896" max="15896" width="4.109375" style="557" customWidth="1"/>
    <col min="15897" max="15897" width="5.5546875" style="557" customWidth="1"/>
    <col min="15898" max="15898" width="3.5546875" style="557" customWidth="1"/>
    <col min="15899" max="15899" width="4" style="557" customWidth="1"/>
    <col min="15900" max="15900" width="4.5546875" style="557" customWidth="1"/>
    <col min="15901" max="15901" width="4.44140625" style="557" customWidth="1"/>
    <col min="15902" max="15903" width="4.33203125" style="557" customWidth="1"/>
    <col min="15904" max="15905" width="4.88671875" style="557" customWidth="1"/>
    <col min="15906" max="15906" width="4" style="557" customWidth="1"/>
    <col min="15907" max="15907" width="4.6640625" style="557" customWidth="1"/>
    <col min="15908" max="15908" width="6" style="557" customWidth="1"/>
    <col min="15909" max="15909" width="8.88671875" style="557" customWidth="1"/>
    <col min="15910" max="16129" width="11.44140625" style="557"/>
    <col min="16130" max="16130" width="6.44140625" style="557" customWidth="1"/>
    <col min="16131" max="16131" width="47.88671875" style="557" customWidth="1"/>
    <col min="16132" max="16133" width="5" style="557" customWidth="1"/>
    <col min="16134" max="16134" width="5.33203125" style="557" customWidth="1"/>
    <col min="16135" max="16135" width="4.88671875" style="557" customWidth="1"/>
    <col min="16136" max="16137" width="4.109375" style="557" customWidth="1"/>
    <col min="16138" max="16138" width="3.5546875" style="557" customWidth="1"/>
    <col min="16139" max="16139" width="5" style="557" customWidth="1"/>
    <col min="16140" max="16140" width="4" style="557" customWidth="1"/>
    <col min="16141" max="16142" width="4.5546875" style="557" customWidth="1"/>
    <col min="16143" max="16143" width="4.109375" style="557" customWidth="1"/>
    <col min="16144" max="16144" width="4" style="557" customWidth="1"/>
    <col min="16145" max="16145" width="3.88671875" style="557" customWidth="1"/>
    <col min="16146" max="16147" width="4.6640625" style="557" customWidth="1"/>
    <col min="16148" max="16148" width="4" style="557" customWidth="1"/>
    <col min="16149" max="16149" width="4.33203125" style="557" customWidth="1"/>
    <col min="16150" max="16150" width="4.109375" style="557" customWidth="1"/>
    <col min="16151" max="16151" width="3.88671875" style="557" customWidth="1"/>
    <col min="16152" max="16152" width="4.109375" style="557" customWidth="1"/>
    <col min="16153" max="16153" width="5.5546875" style="557" customWidth="1"/>
    <col min="16154" max="16154" width="3.5546875" style="557" customWidth="1"/>
    <col min="16155" max="16155" width="4" style="557" customWidth="1"/>
    <col min="16156" max="16156" width="4.5546875" style="557" customWidth="1"/>
    <col min="16157" max="16157" width="4.44140625" style="557" customWidth="1"/>
    <col min="16158" max="16159" width="4.33203125" style="557" customWidth="1"/>
    <col min="16160" max="16161" width="4.88671875" style="557" customWidth="1"/>
    <col min="16162" max="16162" width="4" style="557" customWidth="1"/>
    <col min="16163" max="16163" width="4.6640625" style="557" customWidth="1"/>
    <col min="16164" max="16164" width="6" style="557" customWidth="1"/>
    <col min="16165" max="16165" width="8.88671875" style="557" customWidth="1"/>
    <col min="16166" max="16384" width="11.44140625" style="557"/>
  </cols>
  <sheetData>
    <row r="1" spans="1:40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  <c r="AD1" s="558"/>
      <c r="AG1" s="558"/>
    </row>
    <row r="2" spans="1:40">
      <c r="A2" s="1539" t="s">
        <v>1788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  <c r="AD2" s="558"/>
      <c r="AG2" s="558"/>
    </row>
    <row r="3" spans="1:40">
      <c r="A3" s="615"/>
      <c r="G3" s="557">
        <v>7</v>
      </c>
      <c r="AD3" s="558"/>
      <c r="AG3" s="558"/>
    </row>
    <row r="4" spans="1:40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  <c r="AD4" s="558"/>
      <c r="AG4" s="558"/>
    </row>
    <row r="5" spans="1:40" ht="12.75" customHeight="1">
      <c r="A5" s="617"/>
      <c r="B5" s="1541" t="e"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  <c r="AD5" s="558"/>
      <c r="AG5" s="558"/>
    </row>
    <row r="6" spans="1:40" ht="13.5" customHeight="1">
      <c r="B6" s="619"/>
      <c r="C6" s="561"/>
      <c r="AD6" s="558"/>
      <c r="AG6" s="558"/>
    </row>
    <row r="7" spans="1:40" ht="13.5" customHeight="1">
      <c r="B7" s="619"/>
      <c r="C7" s="561"/>
      <c r="AD7" s="558"/>
      <c r="AG7" s="558"/>
    </row>
    <row r="8" spans="1:40" ht="13.5" customHeight="1" thickBot="1">
      <c r="B8" s="619"/>
      <c r="C8" s="561"/>
      <c r="D8" s="1067" t="s">
        <v>2039</v>
      </c>
      <c r="E8" s="929" t="s">
        <v>2040</v>
      </c>
      <c r="F8" s="929" t="s">
        <v>2041</v>
      </c>
      <c r="G8" s="929" t="s">
        <v>2042</v>
      </c>
      <c r="H8" s="929" t="s">
        <v>2043</v>
      </c>
      <c r="I8" s="929" t="s">
        <v>2044</v>
      </c>
      <c r="J8" s="929" t="s">
        <v>2045</v>
      </c>
      <c r="K8" s="1067" t="s">
        <v>2039</v>
      </c>
      <c r="L8" s="929" t="s">
        <v>2040</v>
      </c>
      <c r="M8" s="929" t="s">
        <v>2041</v>
      </c>
      <c r="N8" s="929" t="s">
        <v>2042</v>
      </c>
      <c r="O8" s="929" t="s">
        <v>2043</v>
      </c>
      <c r="P8" s="929" t="s">
        <v>2044</v>
      </c>
      <c r="Q8" s="929" t="s">
        <v>2045</v>
      </c>
      <c r="R8" s="1067" t="s">
        <v>2039</v>
      </c>
      <c r="S8" s="929" t="s">
        <v>2040</v>
      </c>
      <c r="T8" s="929" t="s">
        <v>2041</v>
      </c>
      <c r="U8" s="929" t="s">
        <v>2042</v>
      </c>
      <c r="V8" s="929" t="s">
        <v>2043</v>
      </c>
      <c r="W8" s="929" t="s">
        <v>2044</v>
      </c>
      <c r="X8" s="929" t="s">
        <v>2045</v>
      </c>
      <c r="Y8" s="1067" t="s">
        <v>2039</v>
      </c>
      <c r="Z8" s="929" t="s">
        <v>2040</v>
      </c>
      <c r="AA8" s="929" t="s">
        <v>2041</v>
      </c>
      <c r="AB8" s="929" t="s">
        <v>2042</v>
      </c>
      <c r="AC8" s="929" t="s">
        <v>2043</v>
      </c>
      <c r="AD8" s="929" t="s">
        <v>2044</v>
      </c>
      <c r="AE8" s="929" t="s">
        <v>2045</v>
      </c>
      <c r="AF8" s="1067" t="s">
        <v>2039</v>
      </c>
      <c r="AG8" s="929" t="s">
        <v>2040</v>
      </c>
      <c r="AH8" s="929" t="s">
        <v>2041</v>
      </c>
      <c r="AI8" s="929"/>
      <c r="AJ8" s="596"/>
    </row>
    <row r="9" spans="1:40" ht="13.8" thickBot="1">
      <c r="A9" s="1543" t="s">
        <v>284</v>
      </c>
      <c r="B9" s="1543" t="s">
        <v>19</v>
      </c>
      <c r="C9" s="562"/>
      <c r="D9" s="788">
        <v>1</v>
      </c>
      <c r="E9" s="1102">
        <v>2</v>
      </c>
      <c r="F9" s="1102">
        <v>3</v>
      </c>
      <c r="G9" s="1102">
        <v>4</v>
      </c>
      <c r="H9" s="1102">
        <v>5</v>
      </c>
      <c r="I9" s="1102">
        <v>6</v>
      </c>
      <c r="J9" s="1102">
        <v>7</v>
      </c>
      <c r="K9" s="788">
        <v>8</v>
      </c>
      <c r="L9" s="1102">
        <v>9</v>
      </c>
      <c r="M9" s="1102">
        <v>10</v>
      </c>
      <c r="N9" s="1102">
        <v>11</v>
      </c>
      <c r="O9" s="1102">
        <v>12</v>
      </c>
      <c r="P9" s="1102">
        <v>13</v>
      </c>
      <c r="Q9" s="1102">
        <v>14</v>
      </c>
      <c r="R9" s="788">
        <v>15</v>
      </c>
      <c r="S9" s="1102">
        <v>16</v>
      </c>
      <c r="T9" s="1102">
        <v>17</v>
      </c>
      <c r="U9" s="1102">
        <v>18</v>
      </c>
      <c r="V9" s="1102">
        <v>19</v>
      </c>
      <c r="W9" s="1102">
        <v>20</v>
      </c>
      <c r="X9" s="1102">
        <v>21</v>
      </c>
      <c r="Y9" s="788">
        <v>22</v>
      </c>
      <c r="Z9" s="1102">
        <v>23</v>
      </c>
      <c r="AA9" s="1102">
        <v>24</v>
      </c>
      <c r="AB9" s="1102">
        <v>25</v>
      </c>
      <c r="AC9" s="1102">
        <v>26</v>
      </c>
      <c r="AD9" s="1102">
        <v>27</v>
      </c>
      <c r="AE9" s="564">
        <v>28</v>
      </c>
      <c r="AF9" s="788">
        <v>29</v>
      </c>
      <c r="AG9" s="1102">
        <v>30</v>
      </c>
      <c r="AH9" s="1102">
        <v>31</v>
      </c>
      <c r="AI9" s="565" t="s">
        <v>345</v>
      </c>
      <c r="AJ9" s="1085"/>
      <c r="AK9" s="746" t="s">
        <v>25</v>
      </c>
      <c r="AL9" s="745" t="s">
        <v>1808</v>
      </c>
      <c r="AM9" s="745" t="s">
        <v>1807</v>
      </c>
      <c r="AN9" s="566" t="s">
        <v>24</v>
      </c>
    </row>
    <row r="10" spans="1:40" ht="13.8" thickBot="1">
      <c r="A10" s="1544"/>
      <c r="B10" s="1544"/>
      <c r="C10" s="951" t="s">
        <v>72</v>
      </c>
      <c r="D10" s="789" t="s">
        <v>291</v>
      </c>
      <c r="E10" s="568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789" t="s">
        <v>291</v>
      </c>
      <c r="L10" s="568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789" t="s">
        <v>291</v>
      </c>
      <c r="S10" s="568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789" t="s">
        <v>291</v>
      </c>
      <c r="Z10" s="568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569" t="s">
        <v>291</v>
      </c>
      <c r="AF10" s="789" t="s">
        <v>291</v>
      </c>
      <c r="AG10" s="1024" t="s">
        <v>291</v>
      </c>
      <c r="AH10" s="568" t="s">
        <v>291</v>
      </c>
      <c r="AI10" s="570" t="s">
        <v>286</v>
      </c>
      <c r="AJ10" s="1086"/>
      <c r="AK10" s="742" t="s">
        <v>286</v>
      </c>
      <c r="AL10" s="745"/>
      <c r="AM10" s="745"/>
      <c r="AN10" s="566"/>
    </row>
    <row r="11" spans="1:40" s="579" customFormat="1">
      <c r="A11" s="606" t="s">
        <v>32</v>
      </c>
      <c r="B11" s="606" t="s">
        <v>1118</v>
      </c>
      <c r="C11" s="630"/>
      <c r="D11" s="872"/>
      <c r="E11" s="572"/>
      <c r="F11" s="571"/>
      <c r="G11" s="571"/>
      <c r="H11" s="571"/>
      <c r="I11" s="1022"/>
      <c r="J11" s="573"/>
      <c r="K11" s="792"/>
      <c r="L11" s="575"/>
      <c r="M11" s="571"/>
      <c r="N11" s="575"/>
      <c r="O11" s="575"/>
      <c r="P11" s="575"/>
      <c r="Q11" s="583"/>
      <c r="R11" s="797"/>
      <c r="S11" s="575"/>
      <c r="T11" s="571"/>
      <c r="U11" s="575"/>
      <c r="V11" s="575"/>
      <c r="W11" s="575"/>
      <c r="X11" s="575"/>
      <c r="Y11" s="809"/>
      <c r="Z11" s="575"/>
      <c r="AA11" s="571"/>
      <c r="AB11" s="575"/>
      <c r="AC11" s="575"/>
      <c r="AD11" s="575"/>
      <c r="AE11" s="753"/>
      <c r="AF11" s="809"/>
      <c r="AG11" s="588"/>
      <c r="AH11" s="842"/>
      <c r="AI11" s="738">
        <v>0</v>
      </c>
      <c r="AJ11" s="843"/>
      <c r="AK11" s="949"/>
      <c r="AL11" s="581"/>
      <c r="AM11" s="747"/>
      <c r="AN11" s="744"/>
    </row>
    <row r="12" spans="1:40" s="560" customFormat="1">
      <c r="A12" s="492" t="s">
        <v>34</v>
      </c>
      <c r="B12" s="608" t="s">
        <v>1119</v>
      </c>
      <c r="C12" s="968"/>
      <c r="D12" s="795"/>
      <c r="E12" s="581"/>
      <c r="F12" s="581"/>
      <c r="G12" s="581"/>
      <c r="H12" s="581"/>
      <c r="I12" s="949"/>
      <c r="J12" s="949"/>
      <c r="K12" s="777"/>
      <c r="L12" s="575"/>
      <c r="M12" s="581"/>
      <c r="N12" s="575"/>
      <c r="O12" s="575"/>
      <c r="P12" s="575"/>
      <c r="Q12" s="583"/>
      <c r="R12" s="797"/>
      <c r="S12" s="575"/>
      <c r="T12" s="581"/>
      <c r="U12" s="575"/>
      <c r="V12" s="575"/>
      <c r="W12" s="575"/>
      <c r="X12" s="575"/>
      <c r="Y12" s="809"/>
      <c r="Z12" s="575"/>
      <c r="AA12" s="581"/>
      <c r="AB12" s="575"/>
      <c r="AC12" s="575"/>
      <c r="AD12" s="575"/>
      <c r="AE12" s="753"/>
      <c r="AF12" s="809"/>
      <c r="AG12" s="588"/>
      <c r="AH12" s="842"/>
      <c r="AI12" s="738">
        <v>0</v>
      </c>
      <c r="AJ12" s="843"/>
      <c r="AK12" s="949"/>
      <c r="AL12" s="581"/>
      <c r="AM12" s="746"/>
      <c r="AN12" s="741"/>
    </row>
    <row r="13" spans="1:40" s="560" customFormat="1">
      <c r="A13" s="604" t="s">
        <v>523</v>
      </c>
      <c r="B13" s="609" t="s">
        <v>1120</v>
      </c>
      <c r="C13" s="530" t="s">
        <v>63</v>
      </c>
      <c r="D13" s="795"/>
      <c r="E13" s="581"/>
      <c r="F13" s="581"/>
      <c r="G13" s="581"/>
      <c r="H13" s="581"/>
      <c r="I13" s="581"/>
      <c r="J13" s="581"/>
      <c r="K13" s="778"/>
      <c r="L13" s="810"/>
      <c r="M13" s="581"/>
      <c r="N13" s="575"/>
      <c r="O13" s="810"/>
      <c r="P13" s="810"/>
      <c r="Q13" s="810"/>
      <c r="R13" s="850"/>
      <c r="S13" s="810"/>
      <c r="T13" s="581"/>
      <c r="U13" s="575"/>
      <c r="V13" s="575"/>
      <c r="W13" s="575"/>
      <c r="X13" s="575"/>
      <c r="Y13" s="809"/>
      <c r="Z13" s="575"/>
      <c r="AA13" s="1035">
        <v>0.3</v>
      </c>
      <c r="AB13" s="575"/>
      <c r="AC13" s="575"/>
      <c r="AD13" s="575"/>
      <c r="AE13" s="753"/>
      <c r="AF13" s="809"/>
      <c r="AG13" s="588"/>
      <c r="AH13" s="842"/>
      <c r="AI13" s="1100">
        <v>0.3</v>
      </c>
      <c r="AJ13" s="843"/>
      <c r="AK13" s="949">
        <v>0</v>
      </c>
      <c r="AL13" s="581">
        <v>0.3</v>
      </c>
      <c r="AM13" s="746" t="s">
        <v>1441</v>
      </c>
      <c r="AN13" s="743">
        <v>0.7</v>
      </c>
    </row>
    <row r="14" spans="1:40" s="560" customFormat="1">
      <c r="A14" s="604" t="s">
        <v>524</v>
      </c>
      <c r="B14" s="604" t="s">
        <v>1121</v>
      </c>
      <c r="C14" s="530" t="s">
        <v>63</v>
      </c>
      <c r="D14" s="795"/>
      <c r="E14" s="581"/>
      <c r="F14" s="581"/>
      <c r="G14" s="581"/>
      <c r="H14" s="741"/>
      <c r="I14" s="741"/>
      <c r="J14" s="949"/>
      <c r="K14" s="777"/>
      <c r="L14" s="575"/>
      <c r="M14" s="581"/>
      <c r="N14" s="575"/>
      <c r="O14" s="575"/>
      <c r="P14" s="575"/>
      <c r="Q14" s="583"/>
      <c r="R14" s="797"/>
      <c r="S14" s="575"/>
      <c r="T14" s="581"/>
      <c r="U14" s="575"/>
      <c r="V14" s="575"/>
      <c r="W14" s="575"/>
      <c r="X14" s="575"/>
      <c r="Y14" s="809"/>
      <c r="Z14" s="575"/>
      <c r="AA14" s="1035">
        <v>0.5</v>
      </c>
      <c r="AB14" s="575"/>
      <c r="AC14" s="575"/>
      <c r="AD14" s="575"/>
      <c r="AE14" s="753"/>
      <c r="AF14" s="809"/>
      <c r="AG14" s="588"/>
      <c r="AH14" s="842"/>
      <c r="AI14" s="1100">
        <v>0.5</v>
      </c>
      <c r="AJ14" s="843"/>
      <c r="AK14" s="949">
        <v>0</v>
      </c>
      <c r="AL14" s="581">
        <v>0.5</v>
      </c>
      <c r="AM14" s="746" t="s">
        <v>1441</v>
      </c>
      <c r="AN14" s="743">
        <v>0.5</v>
      </c>
    </row>
    <row r="15" spans="1:40" s="560" customFormat="1">
      <c r="A15" s="604" t="s">
        <v>525</v>
      </c>
      <c r="B15" s="604" t="s">
        <v>1809</v>
      </c>
      <c r="C15" s="614" t="s">
        <v>63</v>
      </c>
      <c r="D15" s="795"/>
      <c r="E15" s="581"/>
      <c r="F15" s="581"/>
      <c r="G15" s="581"/>
      <c r="H15" s="581"/>
      <c r="I15" s="949"/>
      <c r="J15" s="949"/>
      <c r="K15" s="777"/>
      <c r="L15" s="575"/>
      <c r="M15" s="581"/>
      <c r="N15" s="583"/>
      <c r="O15" s="575"/>
      <c r="P15" s="575"/>
      <c r="Q15" s="583"/>
      <c r="R15" s="797"/>
      <c r="S15" s="575"/>
      <c r="T15" s="581"/>
      <c r="U15" s="575"/>
      <c r="V15" s="575"/>
      <c r="W15" s="575"/>
      <c r="X15" s="575"/>
      <c r="Y15" s="809"/>
      <c r="Z15" s="575"/>
      <c r="AA15" s="1035">
        <v>0.25</v>
      </c>
      <c r="AB15" s="575"/>
      <c r="AC15" s="575"/>
      <c r="AD15" s="575"/>
      <c r="AE15" s="753"/>
      <c r="AF15" s="809"/>
      <c r="AG15" s="588"/>
      <c r="AH15" s="842"/>
      <c r="AI15" s="1100">
        <v>0.25</v>
      </c>
      <c r="AJ15" s="843"/>
      <c r="AK15" s="949">
        <v>0</v>
      </c>
      <c r="AL15" s="581">
        <v>0.25</v>
      </c>
      <c r="AM15" s="746" t="s">
        <v>1441</v>
      </c>
      <c r="AN15" s="743">
        <v>0.75</v>
      </c>
    </row>
    <row r="16" spans="1:40" s="560" customFormat="1">
      <c r="A16" s="492" t="s">
        <v>537</v>
      </c>
      <c r="B16" s="608" t="s">
        <v>1133</v>
      </c>
      <c r="C16" s="679"/>
      <c r="D16" s="795"/>
      <c r="E16" s="581"/>
      <c r="F16" s="581"/>
      <c r="G16" s="581"/>
      <c r="H16" s="581"/>
      <c r="I16" s="741"/>
      <c r="J16" s="949"/>
      <c r="K16" s="777"/>
      <c r="L16" s="575"/>
      <c r="M16" s="581"/>
      <c r="N16" s="575"/>
      <c r="O16" s="575"/>
      <c r="P16" s="949"/>
      <c r="Q16" s="583"/>
      <c r="R16" s="797"/>
      <c r="S16" s="575"/>
      <c r="T16" s="581"/>
      <c r="U16" s="575"/>
      <c r="V16" s="575"/>
      <c r="W16" s="575"/>
      <c r="X16" s="575"/>
      <c r="Y16" s="809"/>
      <c r="Z16" s="575"/>
      <c r="AA16" s="581"/>
      <c r="AB16" s="575"/>
      <c r="AC16" s="575"/>
      <c r="AD16" s="575"/>
      <c r="AE16" s="753"/>
      <c r="AF16" s="809"/>
      <c r="AG16" s="588"/>
      <c r="AH16" s="842"/>
      <c r="AI16" s="738">
        <v>0</v>
      </c>
      <c r="AJ16" s="843"/>
      <c r="AK16" s="949">
        <v>0</v>
      </c>
      <c r="AL16" s="581">
        <v>0</v>
      </c>
      <c r="AM16" s="746"/>
      <c r="AN16" s="743">
        <v>0</v>
      </c>
    </row>
    <row r="17" spans="1:40" s="560" customFormat="1">
      <c r="A17" s="604" t="s">
        <v>542</v>
      </c>
      <c r="B17" s="610" t="s">
        <v>1138</v>
      </c>
      <c r="C17" s="530" t="s">
        <v>63</v>
      </c>
      <c r="D17" s="884"/>
      <c r="E17" s="949"/>
      <c r="F17" s="949"/>
      <c r="G17" s="949"/>
      <c r="H17" s="581"/>
      <c r="I17" s="741"/>
      <c r="J17" s="949"/>
      <c r="K17" s="777"/>
      <c r="L17" s="575"/>
      <c r="M17" s="949"/>
      <c r="N17" s="575"/>
      <c r="O17" s="575"/>
      <c r="P17" s="949"/>
      <c r="Q17" s="583"/>
      <c r="R17" s="797"/>
      <c r="S17" s="575"/>
      <c r="T17" s="949"/>
      <c r="U17" s="575"/>
      <c r="V17" s="575"/>
      <c r="W17" s="575"/>
      <c r="X17" s="575"/>
      <c r="Y17" s="809"/>
      <c r="Z17" s="575"/>
      <c r="AA17" s="1034">
        <v>0.25</v>
      </c>
      <c r="AB17" s="575"/>
      <c r="AC17" s="575"/>
      <c r="AD17" s="575"/>
      <c r="AE17" s="753"/>
      <c r="AF17" s="809"/>
      <c r="AG17" s="588"/>
      <c r="AH17" s="843"/>
      <c r="AI17" s="1100">
        <v>0.25</v>
      </c>
      <c r="AJ17" s="843"/>
      <c r="AK17" s="949">
        <v>0</v>
      </c>
      <c r="AL17" s="581">
        <v>0.25</v>
      </c>
      <c r="AM17" s="746" t="s">
        <v>1441</v>
      </c>
      <c r="AN17" s="743">
        <v>0.75</v>
      </c>
    </row>
    <row r="18" spans="1:40" s="579" customFormat="1" ht="13.8" thickBot="1">
      <c r="A18" s="604" t="s">
        <v>543</v>
      </c>
      <c r="B18" s="610" t="s">
        <v>1139</v>
      </c>
      <c r="C18" s="530" t="s">
        <v>63</v>
      </c>
      <c r="D18" s="777"/>
      <c r="E18" s="588"/>
      <c r="F18" s="949"/>
      <c r="G18" s="588"/>
      <c r="H18" s="587"/>
      <c r="I18" s="741"/>
      <c r="J18" s="588"/>
      <c r="K18" s="779"/>
      <c r="L18" s="575"/>
      <c r="M18" s="949"/>
      <c r="N18" s="575"/>
      <c r="O18" s="575"/>
      <c r="P18" s="588"/>
      <c r="Q18" s="583"/>
      <c r="R18" s="797"/>
      <c r="S18" s="575"/>
      <c r="T18" s="949"/>
      <c r="U18" s="575"/>
      <c r="V18" s="575"/>
      <c r="W18" s="575"/>
      <c r="X18" s="575"/>
      <c r="Y18" s="809"/>
      <c r="Z18" s="575"/>
      <c r="AA18" s="1034">
        <v>0.25</v>
      </c>
      <c r="AB18" s="575"/>
      <c r="AC18" s="575"/>
      <c r="AD18" s="575"/>
      <c r="AE18" s="753"/>
      <c r="AF18" s="809"/>
      <c r="AG18" s="588"/>
      <c r="AH18" s="843"/>
      <c r="AI18" s="1100">
        <v>0.25</v>
      </c>
      <c r="AJ18" s="843"/>
      <c r="AK18" s="949">
        <v>0</v>
      </c>
      <c r="AL18" s="581">
        <v>0.25</v>
      </c>
      <c r="AM18" s="747" t="s">
        <v>1441</v>
      </c>
      <c r="AN18" s="743">
        <v>0.75</v>
      </c>
    </row>
    <row r="19" spans="1:40" s="897" customFormat="1">
      <c r="A19" s="1016" t="s">
        <v>41</v>
      </c>
      <c r="B19" s="1016" t="s">
        <v>1140</v>
      </c>
      <c r="C19" s="1017"/>
      <c r="D19" s="795"/>
      <c r="E19" s="581"/>
      <c r="F19" s="581"/>
      <c r="G19" s="581"/>
      <c r="H19" s="581"/>
      <c r="I19" s="949"/>
      <c r="J19" s="949"/>
      <c r="K19" s="777"/>
      <c r="L19" s="575"/>
      <c r="M19" s="581"/>
      <c r="N19" s="575"/>
      <c r="O19" s="575"/>
      <c r="P19" s="575"/>
      <c r="Q19" s="583"/>
      <c r="R19" s="797"/>
      <c r="S19" s="575"/>
      <c r="T19" s="581"/>
      <c r="U19" s="575"/>
      <c r="V19" s="575"/>
      <c r="W19" s="575"/>
      <c r="X19" s="575"/>
      <c r="Y19" s="809"/>
      <c r="Z19" s="575"/>
      <c r="AA19" s="581"/>
      <c r="AB19" s="575"/>
      <c r="AC19" s="575"/>
      <c r="AD19" s="575"/>
      <c r="AE19" s="753"/>
      <c r="AF19" s="809"/>
      <c r="AG19" s="588"/>
      <c r="AH19" s="842"/>
      <c r="AI19" s="738">
        <v>0</v>
      </c>
      <c r="AJ19" s="843"/>
      <c r="AK19" s="890">
        <v>0</v>
      </c>
      <c r="AL19" s="889">
        <v>0</v>
      </c>
      <c r="AM19" s="895"/>
      <c r="AN19" s="896">
        <v>0</v>
      </c>
    </row>
    <row r="20" spans="1:40" s="560" customFormat="1">
      <c r="A20" s="492" t="s">
        <v>42</v>
      </c>
      <c r="B20" s="608" t="s">
        <v>1141</v>
      </c>
      <c r="C20" s="679"/>
      <c r="D20" s="795"/>
      <c r="E20" s="581"/>
      <c r="F20" s="581"/>
      <c r="G20" s="581"/>
      <c r="H20" s="581"/>
      <c r="I20" s="949"/>
      <c r="J20" s="949"/>
      <c r="K20" s="777"/>
      <c r="L20" s="575"/>
      <c r="M20" s="581"/>
      <c r="N20" s="575"/>
      <c r="O20" s="575"/>
      <c r="P20" s="575"/>
      <c r="Q20" s="583"/>
      <c r="R20" s="797"/>
      <c r="S20" s="575"/>
      <c r="T20" s="581"/>
      <c r="U20" s="575"/>
      <c r="V20" s="575"/>
      <c r="W20" s="575"/>
      <c r="X20" s="575"/>
      <c r="Y20" s="809"/>
      <c r="Z20" s="575"/>
      <c r="AA20" s="581"/>
      <c r="AB20" s="575"/>
      <c r="AC20" s="575"/>
      <c r="AD20" s="575"/>
      <c r="AE20" s="753"/>
      <c r="AF20" s="809"/>
      <c r="AG20" s="588"/>
      <c r="AH20" s="842"/>
      <c r="AI20" s="738">
        <v>0</v>
      </c>
      <c r="AJ20" s="843"/>
      <c r="AK20" s="949">
        <v>0</v>
      </c>
      <c r="AL20" s="581">
        <v>0</v>
      </c>
      <c r="AM20" s="746"/>
      <c r="AN20" s="743">
        <v>0</v>
      </c>
    </row>
    <row r="21" spans="1:40" s="560" customFormat="1">
      <c r="A21" s="607" t="s">
        <v>52</v>
      </c>
      <c r="B21" s="607" t="s">
        <v>45</v>
      </c>
      <c r="C21" s="679"/>
      <c r="D21" s="795"/>
      <c r="E21" s="581"/>
      <c r="F21" s="581"/>
      <c r="G21" s="581"/>
      <c r="H21" s="581"/>
      <c r="I21" s="949"/>
      <c r="J21" s="949"/>
      <c r="K21" s="777"/>
      <c r="L21" s="575"/>
      <c r="M21" s="581"/>
      <c r="N21" s="575"/>
      <c r="O21" s="575"/>
      <c r="P21" s="575"/>
      <c r="Q21" s="583"/>
      <c r="R21" s="797"/>
      <c r="S21" s="575"/>
      <c r="T21" s="581"/>
      <c r="U21" s="575"/>
      <c r="V21" s="575"/>
      <c r="W21" s="575"/>
      <c r="X21" s="575"/>
      <c r="Y21" s="809"/>
      <c r="Z21" s="575"/>
      <c r="AA21" s="581"/>
      <c r="AB21" s="575"/>
      <c r="AC21" s="575"/>
      <c r="AD21" s="575"/>
      <c r="AE21" s="753"/>
      <c r="AF21" s="809"/>
      <c r="AG21" s="588"/>
      <c r="AH21" s="842"/>
      <c r="AI21" s="738">
        <v>0</v>
      </c>
      <c r="AJ21" s="843"/>
      <c r="AK21" s="949">
        <v>0</v>
      </c>
      <c r="AL21" s="581">
        <v>0</v>
      </c>
      <c r="AM21" s="746"/>
      <c r="AN21" s="743">
        <v>0</v>
      </c>
    </row>
    <row r="22" spans="1:40" s="560" customFormat="1">
      <c r="A22" s="604" t="s">
        <v>544</v>
      </c>
      <c r="B22" s="604" t="s">
        <v>1142</v>
      </c>
      <c r="C22" s="1040" t="s">
        <v>39</v>
      </c>
      <c r="D22" s="828"/>
      <c r="E22" s="741"/>
      <c r="F22" s="741"/>
      <c r="G22" s="741"/>
      <c r="H22" s="581"/>
      <c r="I22" s="949"/>
      <c r="J22" s="949"/>
      <c r="K22" s="777"/>
      <c r="L22" s="575"/>
      <c r="M22" s="581"/>
      <c r="N22" s="575"/>
      <c r="O22" s="575"/>
      <c r="P22" s="575"/>
      <c r="Q22" s="583"/>
      <c r="R22" s="797"/>
      <c r="S22" s="575"/>
      <c r="T22" s="1080">
        <v>2.4750000000000001</v>
      </c>
      <c r="U22" s="575"/>
      <c r="V22" s="575"/>
      <c r="W22" s="575"/>
      <c r="X22" s="575"/>
      <c r="Y22" s="809"/>
      <c r="Z22" s="575"/>
      <c r="AA22" s="581"/>
      <c r="AB22" s="753"/>
      <c r="AC22" s="575"/>
      <c r="AD22" s="575"/>
      <c r="AE22" s="1087">
        <v>10.119999999999999</v>
      </c>
      <c r="AF22" s="1015"/>
      <c r="AG22" s="588"/>
      <c r="AH22" s="842"/>
      <c r="AI22" s="1100">
        <v>12.6</v>
      </c>
      <c r="AJ22" s="843"/>
      <c r="AK22" s="949">
        <v>0</v>
      </c>
      <c r="AL22" s="581">
        <v>12.6</v>
      </c>
      <c r="AM22" s="746" t="s">
        <v>1446</v>
      </c>
      <c r="AN22" s="743">
        <v>14.69</v>
      </c>
    </row>
    <row r="23" spans="1:40" s="579" customFormat="1" ht="11.25" customHeight="1">
      <c r="A23" s="604" t="s">
        <v>548</v>
      </c>
      <c r="B23" s="604" t="s">
        <v>1146</v>
      </c>
      <c r="C23" s="1040" t="s">
        <v>39</v>
      </c>
      <c r="D23" s="874"/>
      <c r="E23" s="744"/>
      <c r="F23" s="744"/>
      <c r="G23" s="744"/>
      <c r="H23" s="587"/>
      <c r="I23" s="949"/>
      <c r="J23" s="588"/>
      <c r="K23" s="779"/>
      <c r="L23" s="575"/>
      <c r="M23" s="587"/>
      <c r="N23" s="575"/>
      <c r="O23" s="575"/>
      <c r="P23" s="575"/>
      <c r="Q23" s="583"/>
      <c r="R23" s="797"/>
      <c r="S23" s="575"/>
      <c r="T23" s="587"/>
      <c r="U23" s="575"/>
      <c r="V23" s="575"/>
      <c r="W23" s="575"/>
      <c r="X23" s="575"/>
      <c r="Y23" s="809"/>
      <c r="Z23" s="575"/>
      <c r="AA23" s="1035">
        <v>15.559999999999999</v>
      </c>
      <c r="AB23" s="575"/>
      <c r="AC23" s="575"/>
      <c r="AD23" s="575"/>
      <c r="AE23" s="753"/>
      <c r="AF23" s="1015"/>
      <c r="AG23" s="588"/>
      <c r="AH23" s="842"/>
      <c r="AI23" s="1100">
        <v>15.56</v>
      </c>
      <c r="AJ23" s="843"/>
      <c r="AK23" s="949">
        <v>0</v>
      </c>
      <c r="AL23" s="581">
        <v>15.56</v>
      </c>
      <c r="AM23" s="747" t="s">
        <v>1450</v>
      </c>
      <c r="AN23" s="743">
        <v>11.999999999999998</v>
      </c>
    </row>
    <row r="24" spans="1:40" s="560" customFormat="1" ht="11.25" customHeight="1">
      <c r="A24" s="607" t="s">
        <v>550</v>
      </c>
      <c r="B24" s="607" t="s">
        <v>1148</v>
      </c>
      <c r="C24" s="1042"/>
      <c r="D24" s="828"/>
      <c r="E24" s="741"/>
      <c r="F24" s="741"/>
      <c r="G24" s="741"/>
      <c r="H24" s="581"/>
      <c r="I24" s="949"/>
      <c r="J24" s="949"/>
      <c r="K24" s="777"/>
      <c r="L24" s="575"/>
      <c r="M24" s="581"/>
      <c r="N24" s="575"/>
      <c r="O24" s="575"/>
      <c r="P24" s="575"/>
      <c r="Q24" s="583"/>
      <c r="R24" s="797"/>
      <c r="S24" s="575"/>
      <c r="T24" s="581"/>
      <c r="U24" s="575"/>
      <c r="V24" s="575"/>
      <c r="W24" s="575"/>
      <c r="X24" s="575"/>
      <c r="Y24" s="809"/>
      <c r="Z24" s="575"/>
      <c r="AA24" s="581"/>
      <c r="AB24" s="575"/>
      <c r="AC24" s="575"/>
      <c r="AD24" s="575"/>
      <c r="AE24" s="753"/>
      <c r="AF24" s="809"/>
      <c r="AG24" s="588"/>
      <c r="AH24" s="842"/>
      <c r="AI24" s="738">
        <v>0</v>
      </c>
      <c r="AJ24" s="843"/>
      <c r="AK24" s="949">
        <v>0</v>
      </c>
      <c r="AL24" s="581">
        <v>0</v>
      </c>
      <c r="AM24" s="746"/>
      <c r="AN24" s="743">
        <v>0</v>
      </c>
    </row>
    <row r="25" spans="1:40" s="560" customFormat="1" ht="11.25" customHeight="1">
      <c r="A25" s="604" t="s">
        <v>551</v>
      </c>
      <c r="B25" s="604" t="s">
        <v>1149</v>
      </c>
      <c r="C25" s="1040" t="s">
        <v>39</v>
      </c>
      <c r="D25" s="828"/>
      <c r="E25" s="741"/>
      <c r="F25" s="741"/>
      <c r="G25" s="741"/>
      <c r="H25" s="581"/>
      <c r="I25" s="949"/>
      <c r="J25" s="949"/>
      <c r="K25" s="777"/>
      <c r="L25" s="575"/>
      <c r="M25" s="581"/>
      <c r="N25" s="575"/>
      <c r="O25" s="575"/>
      <c r="P25" s="575"/>
      <c r="Q25" s="583"/>
      <c r="R25" s="797"/>
      <c r="S25" s="575"/>
      <c r="T25" s="581"/>
      <c r="U25" s="575"/>
      <c r="V25" s="575"/>
      <c r="W25" s="575"/>
      <c r="X25" s="575"/>
      <c r="Y25" s="809"/>
      <c r="Z25" s="575"/>
      <c r="AA25" s="581"/>
      <c r="AB25" s="575"/>
      <c r="AC25" s="575"/>
      <c r="AD25" s="575"/>
      <c r="AE25" s="753"/>
      <c r="AF25" s="809"/>
      <c r="AG25" s="588"/>
      <c r="AH25" s="842"/>
      <c r="AI25" s="738">
        <v>0</v>
      </c>
      <c r="AJ25" s="843"/>
      <c r="AK25" s="949">
        <v>0</v>
      </c>
      <c r="AL25" s="581">
        <v>0</v>
      </c>
      <c r="AM25" s="746" t="s">
        <v>1451</v>
      </c>
      <c r="AN25" s="743">
        <v>7.7</v>
      </c>
    </row>
    <row r="26" spans="1:40" s="560" customFormat="1">
      <c r="A26" s="604" t="s">
        <v>553</v>
      </c>
      <c r="B26" s="604" t="s">
        <v>1151</v>
      </c>
      <c r="C26" s="1040" t="s">
        <v>39</v>
      </c>
      <c r="D26" s="828"/>
      <c r="E26" s="741"/>
      <c r="F26" s="741"/>
      <c r="G26" s="741"/>
      <c r="H26" s="581"/>
      <c r="I26" s="949"/>
      <c r="J26" s="949"/>
      <c r="K26" s="777"/>
      <c r="L26" s="575"/>
      <c r="M26" s="581"/>
      <c r="N26" s="575"/>
      <c r="O26" s="575"/>
      <c r="P26" s="575"/>
      <c r="Q26" s="583"/>
      <c r="R26" s="797"/>
      <c r="S26" s="575"/>
      <c r="T26" s="1080">
        <v>2.9649999999999999</v>
      </c>
      <c r="U26" s="575"/>
      <c r="V26" s="575"/>
      <c r="W26" s="575"/>
      <c r="X26" s="575"/>
      <c r="Y26" s="809"/>
      <c r="Z26" s="575"/>
      <c r="AA26" s="581"/>
      <c r="AB26" s="575"/>
      <c r="AC26" s="575"/>
      <c r="AD26" s="575"/>
      <c r="AE26" s="753"/>
      <c r="AF26" s="809"/>
      <c r="AG26" s="588"/>
      <c r="AH26" s="842"/>
      <c r="AI26" s="1100">
        <v>2.97</v>
      </c>
      <c r="AJ26" s="843"/>
      <c r="AK26" s="949">
        <v>0</v>
      </c>
      <c r="AL26" s="581">
        <v>2.97</v>
      </c>
      <c r="AM26" s="746" t="s">
        <v>1453</v>
      </c>
      <c r="AN26" s="743">
        <v>0</v>
      </c>
    </row>
    <row r="27" spans="1:40" s="560" customFormat="1">
      <c r="A27" s="604" t="s">
        <v>554</v>
      </c>
      <c r="B27" s="604" t="s">
        <v>1152</v>
      </c>
      <c r="C27" s="1040" t="s">
        <v>39</v>
      </c>
      <c r="D27" s="828"/>
      <c r="E27" s="741"/>
      <c r="F27" s="741"/>
      <c r="G27" s="741"/>
      <c r="H27" s="581"/>
      <c r="I27" s="949"/>
      <c r="J27" s="949"/>
      <c r="K27" s="777"/>
      <c r="L27" s="575"/>
      <c r="M27" s="581"/>
      <c r="N27" s="575"/>
      <c r="O27" s="575"/>
      <c r="P27" s="575"/>
      <c r="Q27" s="583"/>
      <c r="R27" s="797"/>
      <c r="S27" s="575"/>
      <c r="T27" s="581"/>
      <c r="U27" s="575"/>
      <c r="V27" s="575"/>
      <c r="W27" s="1039">
        <v>0.46799999999999997</v>
      </c>
      <c r="X27" s="575"/>
      <c r="Y27" s="809"/>
      <c r="Z27" s="575"/>
      <c r="AA27" s="581"/>
      <c r="AB27" s="575"/>
      <c r="AC27" s="575"/>
      <c r="AD27" s="575"/>
      <c r="AE27" s="753"/>
      <c r="AF27" s="809"/>
      <c r="AG27" s="588"/>
      <c r="AH27" s="842"/>
      <c r="AI27" s="1100">
        <v>0.47</v>
      </c>
      <c r="AJ27" s="843"/>
      <c r="AK27" s="949">
        <v>0</v>
      </c>
      <c r="AL27" s="581">
        <v>0.47</v>
      </c>
      <c r="AM27" s="746" t="s">
        <v>1454</v>
      </c>
      <c r="AN27" s="743">
        <v>0.37</v>
      </c>
    </row>
    <row r="28" spans="1:40" s="560" customFormat="1">
      <c r="A28" s="604" t="s">
        <v>555</v>
      </c>
      <c r="B28" s="604" t="s">
        <v>1153</v>
      </c>
      <c r="C28" s="1040" t="s">
        <v>36</v>
      </c>
      <c r="D28" s="828"/>
      <c r="E28" s="741"/>
      <c r="F28" s="741"/>
      <c r="G28" s="741"/>
      <c r="H28" s="581"/>
      <c r="I28" s="949"/>
      <c r="J28" s="949"/>
      <c r="K28" s="777"/>
      <c r="L28" s="575"/>
      <c r="M28" s="581"/>
      <c r="N28" s="575"/>
      <c r="O28" s="575"/>
      <c r="P28" s="575"/>
      <c r="Q28" s="583"/>
      <c r="R28" s="797"/>
      <c r="S28" s="575"/>
      <c r="T28" s="581"/>
      <c r="U28" s="575"/>
      <c r="V28" s="575"/>
      <c r="W28" s="1039">
        <v>4.32</v>
      </c>
      <c r="X28" s="575"/>
      <c r="Y28" s="809"/>
      <c r="Z28" s="575"/>
      <c r="AA28" s="581"/>
      <c r="AB28" s="575"/>
      <c r="AC28" s="575"/>
      <c r="AD28" s="575"/>
      <c r="AE28" s="753"/>
      <c r="AF28" s="809"/>
      <c r="AG28" s="588"/>
      <c r="AH28" s="842"/>
      <c r="AI28" s="1100">
        <v>4.32</v>
      </c>
      <c r="AJ28" s="843"/>
      <c r="AK28" s="949">
        <v>0</v>
      </c>
      <c r="AL28" s="581">
        <v>4.32</v>
      </c>
      <c r="AM28" s="746" t="s">
        <v>1455</v>
      </c>
      <c r="AN28" s="743">
        <v>19.329999999999998</v>
      </c>
    </row>
    <row r="29" spans="1:40" s="560" customFormat="1">
      <c r="A29" s="607" t="s">
        <v>557</v>
      </c>
      <c r="B29" s="607" t="s">
        <v>1155</v>
      </c>
      <c r="C29" s="1042"/>
      <c r="D29" s="828"/>
      <c r="E29" s="741"/>
      <c r="F29" s="741"/>
      <c r="G29" s="741"/>
      <c r="H29" s="581"/>
      <c r="I29" s="949"/>
      <c r="J29" s="949"/>
      <c r="K29" s="777"/>
      <c r="L29" s="575"/>
      <c r="M29" s="581"/>
      <c r="N29" s="575"/>
      <c r="O29" s="575"/>
      <c r="P29" s="575"/>
      <c r="Q29" s="583"/>
      <c r="R29" s="797"/>
      <c r="S29" s="575"/>
      <c r="T29" s="581"/>
      <c r="U29" s="575"/>
      <c r="V29" s="575"/>
      <c r="W29" s="575"/>
      <c r="X29" s="575"/>
      <c r="Y29" s="809"/>
      <c r="Z29" s="575"/>
      <c r="AA29" s="581"/>
      <c r="AB29" s="575"/>
      <c r="AC29" s="575"/>
      <c r="AD29" s="575"/>
      <c r="AE29" s="753"/>
      <c r="AF29" s="809"/>
      <c r="AG29" s="588"/>
      <c r="AH29" s="842"/>
      <c r="AI29" s="738">
        <v>0</v>
      </c>
      <c r="AJ29" s="843"/>
      <c r="AK29" s="949">
        <v>0</v>
      </c>
      <c r="AL29" s="581">
        <v>0</v>
      </c>
      <c r="AM29" s="746"/>
      <c r="AN29" s="743">
        <v>0</v>
      </c>
    </row>
    <row r="30" spans="1:40" s="560" customFormat="1">
      <c r="A30" s="604" t="s">
        <v>569</v>
      </c>
      <c r="B30" s="604" t="s">
        <v>1167</v>
      </c>
      <c r="C30" s="1042"/>
      <c r="D30" s="778"/>
      <c r="E30" s="581"/>
      <c r="F30" s="581"/>
      <c r="G30" s="581"/>
      <c r="H30" s="581"/>
      <c r="I30" s="949"/>
      <c r="J30" s="949"/>
      <c r="K30" s="777"/>
      <c r="L30" s="575"/>
      <c r="M30" s="581"/>
      <c r="N30" s="575"/>
      <c r="O30" s="575"/>
      <c r="P30" s="575"/>
      <c r="Q30" s="583"/>
      <c r="R30" s="797"/>
      <c r="S30" s="575"/>
      <c r="T30" s="581"/>
      <c r="U30" s="575"/>
      <c r="V30" s="575"/>
      <c r="W30" s="575"/>
      <c r="X30" s="575"/>
      <c r="Y30" s="809"/>
      <c r="Z30" s="575"/>
      <c r="AA30" s="581"/>
      <c r="AB30" s="575"/>
      <c r="AC30" s="575"/>
      <c r="AD30" s="575"/>
      <c r="AE30" s="753"/>
      <c r="AF30" s="809"/>
      <c r="AG30" s="588"/>
      <c r="AH30" s="842"/>
      <c r="AI30" s="738">
        <v>0</v>
      </c>
      <c r="AJ30" s="843"/>
      <c r="AK30" s="949">
        <v>0</v>
      </c>
      <c r="AL30" s="581">
        <v>0</v>
      </c>
      <c r="AM30" s="746"/>
      <c r="AN30" s="743">
        <v>0</v>
      </c>
    </row>
    <row r="31" spans="1:40" s="560" customFormat="1">
      <c r="A31" s="604" t="s">
        <v>570</v>
      </c>
      <c r="B31" s="604" t="s">
        <v>1168</v>
      </c>
      <c r="C31" s="1040" t="s">
        <v>39</v>
      </c>
      <c r="D31" s="778"/>
      <c r="E31" s="581"/>
      <c r="F31" s="581"/>
      <c r="G31" s="581"/>
      <c r="H31" s="581"/>
      <c r="I31" s="949"/>
      <c r="J31" s="949"/>
      <c r="K31" s="777"/>
      <c r="L31" s="575"/>
      <c r="M31" s="581"/>
      <c r="N31" s="575"/>
      <c r="O31" s="575"/>
      <c r="P31" s="575"/>
      <c r="Q31" s="1075">
        <v>0.19600000000000001</v>
      </c>
      <c r="R31" s="797"/>
      <c r="S31" s="1075">
        <v>1.0718750000000001</v>
      </c>
      <c r="T31" s="1035">
        <v>0.22187500000000016</v>
      </c>
      <c r="U31" s="575"/>
      <c r="V31" s="575"/>
      <c r="W31" s="583"/>
      <c r="X31" s="575"/>
      <c r="Y31" s="809"/>
      <c r="Z31" s="575"/>
      <c r="AA31" s="581"/>
      <c r="AB31" s="575"/>
      <c r="AC31" s="575"/>
      <c r="AD31" s="575"/>
      <c r="AE31" s="753"/>
      <c r="AF31" s="809"/>
      <c r="AG31" s="588"/>
      <c r="AH31" s="842"/>
      <c r="AI31" s="1100">
        <v>1.49</v>
      </c>
      <c r="AJ31" s="843"/>
      <c r="AK31" s="949">
        <v>0</v>
      </c>
      <c r="AL31" s="581">
        <v>1.49</v>
      </c>
      <c r="AM31" s="746" t="s">
        <v>1464</v>
      </c>
      <c r="AN31" s="743">
        <v>0</v>
      </c>
    </row>
    <row r="32" spans="1:40" s="560" customFormat="1">
      <c r="A32" s="604" t="s">
        <v>571</v>
      </c>
      <c r="B32" s="604" t="s">
        <v>1169</v>
      </c>
      <c r="C32" s="614" t="s">
        <v>36</v>
      </c>
      <c r="D32" s="795"/>
      <c r="E32" s="581"/>
      <c r="F32" s="581"/>
      <c r="G32" s="581"/>
      <c r="H32" s="581"/>
      <c r="I32" s="949"/>
      <c r="J32" s="949"/>
      <c r="K32" s="777"/>
      <c r="L32" s="575"/>
      <c r="M32" s="581"/>
      <c r="N32" s="575"/>
      <c r="O32" s="575"/>
      <c r="P32" s="575"/>
      <c r="Q32" s="1075">
        <v>2.9400000000000004</v>
      </c>
      <c r="R32" s="797"/>
      <c r="S32" s="1075">
        <v>12.862500000000001</v>
      </c>
      <c r="T32" s="1080">
        <v>3.9024999999999999</v>
      </c>
      <c r="U32" s="575"/>
      <c r="V32" s="575"/>
      <c r="W32" s="583"/>
      <c r="X32" s="575"/>
      <c r="Y32" s="809"/>
      <c r="Z32" s="575"/>
      <c r="AA32" s="581"/>
      <c r="AB32" s="575"/>
      <c r="AC32" s="575"/>
      <c r="AD32" s="575"/>
      <c r="AE32" s="753"/>
      <c r="AF32" s="809"/>
      <c r="AG32" s="588"/>
      <c r="AH32" s="842"/>
      <c r="AI32" s="1100">
        <v>19.71</v>
      </c>
      <c r="AJ32" s="843"/>
      <c r="AK32" s="949">
        <v>0</v>
      </c>
      <c r="AL32" s="581">
        <v>19.71</v>
      </c>
      <c r="AM32" s="746" t="s">
        <v>1465</v>
      </c>
      <c r="AN32" s="743">
        <v>0</v>
      </c>
    </row>
    <row r="33" spans="1:41" s="560" customFormat="1">
      <c r="A33" s="604" t="s">
        <v>572</v>
      </c>
      <c r="B33" s="604" t="s">
        <v>1170</v>
      </c>
      <c r="C33" s="530" t="s">
        <v>47</v>
      </c>
      <c r="D33" s="795"/>
      <c r="E33" s="581"/>
      <c r="F33" s="581"/>
      <c r="G33" s="581"/>
      <c r="H33" s="1032">
        <v>51.3</v>
      </c>
      <c r="I33" s="1038">
        <v>51.3</v>
      </c>
      <c r="J33" s="1034">
        <v>35.64</v>
      </c>
      <c r="K33" s="777"/>
      <c r="L33" s="575"/>
      <c r="M33" s="581"/>
      <c r="N33" s="575"/>
      <c r="O33" s="575"/>
      <c r="P33" s="575"/>
      <c r="Q33" s="583"/>
      <c r="R33" s="797"/>
      <c r="S33" s="575"/>
      <c r="T33" s="581"/>
      <c r="U33" s="575"/>
      <c r="V33" s="575"/>
      <c r="W33" s="575"/>
      <c r="X33" s="575"/>
      <c r="Y33" s="809"/>
      <c r="Z33" s="575"/>
      <c r="AA33" s="581"/>
      <c r="AB33" s="317"/>
      <c r="AC33" s="1046">
        <v>104.348</v>
      </c>
      <c r="AD33" s="1039">
        <v>104.348</v>
      </c>
      <c r="AE33" s="1039">
        <v>104.348</v>
      </c>
      <c r="AF33" s="809"/>
      <c r="AG33" s="1034">
        <v>104.348</v>
      </c>
      <c r="AH33" s="1084">
        <v>104.348</v>
      </c>
      <c r="AI33" s="1100">
        <v>659.98</v>
      </c>
      <c r="AJ33" s="843"/>
      <c r="AK33" s="949">
        <v>0</v>
      </c>
      <c r="AL33" s="581">
        <v>659.98</v>
      </c>
      <c r="AM33" s="746" t="s">
        <v>1466</v>
      </c>
      <c r="AN33" s="743">
        <v>0</v>
      </c>
      <c r="AO33" s="560">
        <v>521.74</v>
      </c>
    </row>
    <row r="34" spans="1:41" s="560" customFormat="1">
      <c r="A34" s="604" t="s">
        <v>582</v>
      </c>
      <c r="B34" s="604" t="s">
        <v>1180</v>
      </c>
      <c r="C34" s="679"/>
      <c r="D34" s="795"/>
      <c r="E34" s="581"/>
      <c r="F34" s="581"/>
      <c r="G34" s="581"/>
      <c r="H34" s="581"/>
      <c r="I34" s="949"/>
      <c r="J34" s="949"/>
      <c r="K34" s="777"/>
      <c r="L34" s="575"/>
      <c r="M34" s="581"/>
      <c r="N34" s="575"/>
      <c r="O34" s="575"/>
      <c r="P34" s="575"/>
      <c r="Q34" s="583"/>
      <c r="R34" s="797"/>
      <c r="S34" s="575"/>
      <c r="T34" s="581"/>
      <c r="U34" s="575"/>
      <c r="V34" s="575"/>
      <c r="W34" s="575"/>
      <c r="X34" s="575"/>
      <c r="Y34" s="809"/>
      <c r="Z34" s="575"/>
      <c r="AA34" s="581"/>
      <c r="AB34" s="575"/>
      <c r="AC34" s="575"/>
      <c r="AD34" s="575"/>
      <c r="AE34" s="753"/>
      <c r="AF34" s="809"/>
      <c r="AG34" s="588"/>
      <c r="AH34" s="842"/>
      <c r="AI34" s="738">
        <v>0</v>
      </c>
      <c r="AJ34" s="843"/>
      <c r="AK34" s="949">
        <v>0</v>
      </c>
      <c r="AL34" s="581">
        <v>0</v>
      </c>
      <c r="AM34" s="746"/>
      <c r="AN34" s="743">
        <v>0</v>
      </c>
    </row>
    <row r="35" spans="1:41" s="560" customFormat="1">
      <c r="A35" s="604" t="s">
        <v>583</v>
      </c>
      <c r="B35" s="604" t="s">
        <v>1181</v>
      </c>
      <c r="C35" s="530" t="s">
        <v>39</v>
      </c>
      <c r="D35" s="795"/>
      <c r="E35" s="581"/>
      <c r="F35" s="581"/>
      <c r="G35" s="581"/>
      <c r="H35" s="581"/>
      <c r="I35" s="949"/>
      <c r="J35" s="949"/>
      <c r="K35" s="777"/>
      <c r="L35" s="575"/>
      <c r="M35" s="581"/>
      <c r="N35" s="575"/>
      <c r="O35" s="575"/>
      <c r="P35" s="575"/>
      <c r="Q35" s="583"/>
      <c r="R35" s="797"/>
      <c r="S35" s="575"/>
      <c r="U35" s="575"/>
      <c r="V35" s="575"/>
      <c r="W35" s="575"/>
      <c r="X35" s="575"/>
      <c r="Y35" s="809"/>
      <c r="Z35" s="575"/>
      <c r="AA35" s="581"/>
      <c r="AB35" s="575"/>
      <c r="AC35" s="575"/>
      <c r="AD35" s="575"/>
      <c r="AE35" s="753"/>
      <c r="AF35" s="809"/>
      <c r="AG35" s="588"/>
      <c r="AH35" s="842"/>
      <c r="AI35" s="738">
        <v>0</v>
      </c>
      <c r="AJ35" s="843"/>
      <c r="AK35" s="949">
        <v>0</v>
      </c>
      <c r="AL35" s="581">
        <v>0</v>
      </c>
      <c r="AM35" s="746" t="s">
        <v>1474</v>
      </c>
      <c r="AN35" s="743">
        <v>1.2</v>
      </c>
    </row>
    <row r="36" spans="1:41" s="560" customFormat="1">
      <c r="A36" s="604" t="s">
        <v>584</v>
      </c>
      <c r="B36" s="604" t="s">
        <v>1182</v>
      </c>
      <c r="C36" s="530" t="s">
        <v>36</v>
      </c>
      <c r="D36" s="795"/>
      <c r="E36" s="581"/>
      <c r="F36" s="581"/>
      <c r="G36" s="581"/>
      <c r="H36" s="581"/>
      <c r="I36" s="949"/>
      <c r="J36" s="949"/>
      <c r="K36" s="777"/>
      <c r="L36" s="575"/>
      <c r="M36" s="581"/>
      <c r="N36" s="575"/>
      <c r="O36" s="575"/>
      <c r="P36" s="575"/>
      <c r="Q36" s="583"/>
      <c r="R36" s="797"/>
      <c r="S36" s="575"/>
      <c r="T36" s="581"/>
      <c r="U36" s="575"/>
      <c r="V36" s="575"/>
      <c r="W36" s="575"/>
      <c r="X36" s="575"/>
      <c r="Y36" s="809"/>
      <c r="Z36" s="575"/>
      <c r="AA36" s="581"/>
      <c r="AB36" s="575"/>
      <c r="AC36" s="575"/>
      <c r="AD36" s="575"/>
      <c r="AE36" s="753"/>
      <c r="AF36" s="809"/>
      <c r="AG36" s="588"/>
      <c r="AH36" s="842"/>
      <c r="AI36" s="738">
        <v>0</v>
      </c>
      <c r="AJ36" s="843"/>
      <c r="AK36" s="949">
        <v>0</v>
      </c>
      <c r="AL36" s="581">
        <v>0</v>
      </c>
      <c r="AM36" s="746" t="s">
        <v>1475</v>
      </c>
      <c r="AN36" s="743">
        <v>16</v>
      </c>
    </row>
    <row r="37" spans="1:41" s="560" customFormat="1">
      <c r="A37" s="604" t="s">
        <v>585</v>
      </c>
      <c r="B37" s="604" t="s">
        <v>1183</v>
      </c>
      <c r="C37" s="530" t="s">
        <v>47</v>
      </c>
      <c r="D37" s="795"/>
      <c r="E37" s="581"/>
      <c r="F37" s="581"/>
      <c r="G37" s="581"/>
      <c r="H37" s="581"/>
      <c r="I37" s="949"/>
      <c r="J37" s="949"/>
      <c r="K37" s="777"/>
      <c r="L37" s="575"/>
      <c r="M37" s="1035">
        <v>44.55</v>
      </c>
      <c r="N37" s="575"/>
      <c r="O37" s="575"/>
      <c r="P37" s="575"/>
      <c r="Q37" s="583"/>
      <c r="R37" s="797"/>
      <c r="S37" s="575"/>
      <c r="T37" s="581"/>
      <c r="U37" s="575"/>
      <c r="V37" s="575"/>
      <c r="W37" s="575"/>
      <c r="X37" s="575"/>
      <c r="Y37" s="809"/>
      <c r="Z37" s="575"/>
      <c r="AA37" s="581"/>
      <c r="AB37" s="575"/>
      <c r="AC37" s="575"/>
      <c r="AD37" s="575"/>
      <c r="AE37" s="753"/>
      <c r="AF37" s="809"/>
      <c r="AG37" s="588"/>
      <c r="AH37" s="842"/>
      <c r="AI37" s="1100">
        <v>44.55</v>
      </c>
      <c r="AJ37" s="843"/>
      <c r="AK37" s="949">
        <v>0</v>
      </c>
      <c r="AL37" s="581">
        <v>44.55</v>
      </c>
      <c r="AM37" s="746" t="s">
        <v>1476</v>
      </c>
      <c r="AN37" s="743">
        <v>79.5</v>
      </c>
    </row>
    <row r="38" spans="1:41" s="560" customFormat="1">
      <c r="A38" s="607" t="s">
        <v>588</v>
      </c>
      <c r="B38" s="607" t="s">
        <v>1186</v>
      </c>
      <c r="C38" s="690"/>
      <c r="D38" s="795"/>
      <c r="E38" s="581"/>
      <c r="F38" s="581"/>
      <c r="G38" s="581"/>
      <c r="H38" s="581"/>
      <c r="I38" s="949"/>
      <c r="J38" s="949"/>
      <c r="K38" s="777"/>
      <c r="L38" s="575"/>
      <c r="M38" s="581"/>
      <c r="N38" s="575"/>
      <c r="O38" s="575"/>
      <c r="P38" s="575"/>
      <c r="Q38" s="583"/>
      <c r="R38" s="797"/>
      <c r="S38" s="575"/>
      <c r="T38" s="581"/>
      <c r="U38" s="575"/>
      <c r="V38" s="575"/>
      <c r="W38" s="575"/>
      <c r="X38" s="575"/>
      <c r="Y38" s="809"/>
      <c r="Z38" s="575"/>
      <c r="AA38" s="581"/>
      <c r="AB38" s="575"/>
      <c r="AC38" s="575"/>
      <c r="AD38" s="575"/>
      <c r="AE38" s="753"/>
      <c r="AF38" s="809"/>
      <c r="AG38" s="588"/>
      <c r="AH38" s="842"/>
      <c r="AI38" s="738">
        <v>0</v>
      </c>
      <c r="AJ38" s="843"/>
      <c r="AK38" s="949">
        <v>0</v>
      </c>
      <c r="AL38" s="581">
        <v>0</v>
      </c>
      <c r="AM38" s="746"/>
      <c r="AN38" s="743">
        <v>0</v>
      </c>
    </row>
    <row r="39" spans="1:41" s="560" customFormat="1">
      <c r="A39" s="604" t="s">
        <v>589</v>
      </c>
      <c r="B39" s="604" t="s">
        <v>1187</v>
      </c>
      <c r="C39" s="530" t="s">
        <v>37</v>
      </c>
      <c r="D39" s="795"/>
      <c r="E39" s="581"/>
      <c r="F39" s="581"/>
      <c r="G39" s="581"/>
      <c r="H39" s="581"/>
      <c r="I39" s="949"/>
      <c r="J39" s="949"/>
      <c r="K39" s="777"/>
      <c r="L39" s="575"/>
      <c r="M39" s="581"/>
      <c r="N39" s="575"/>
      <c r="O39" s="575"/>
      <c r="P39" s="575"/>
      <c r="Q39" s="583"/>
      <c r="R39" s="797"/>
      <c r="S39" s="575"/>
      <c r="T39" s="581"/>
      <c r="U39" s="575"/>
      <c r="V39" s="575"/>
      <c r="W39" s="575"/>
      <c r="X39" s="575"/>
      <c r="Y39" s="809"/>
      <c r="Z39" s="575"/>
      <c r="AA39" s="581"/>
      <c r="AB39" s="575"/>
      <c r="AC39" s="575"/>
      <c r="AD39" s="575"/>
      <c r="AE39" s="753"/>
      <c r="AF39" s="809"/>
      <c r="AG39" s="588"/>
      <c r="AH39" s="1084">
        <v>100.3</v>
      </c>
      <c r="AI39" s="1100">
        <v>100.3</v>
      </c>
      <c r="AJ39" s="843"/>
      <c r="AK39" s="949">
        <v>0</v>
      </c>
      <c r="AL39" s="581">
        <v>100.3</v>
      </c>
      <c r="AM39" s="746" t="s">
        <v>1478</v>
      </c>
      <c r="AN39" s="743">
        <v>0</v>
      </c>
    </row>
    <row r="40" spans="1:41" s="579" customFormat="1">
      <c r="A40" s="604" t="s">
        <v>590</v>
      </c>
      <c r="B40" s="604" t="s">
        <v>224</v>
      </c>
      <c r="C40" s="530" t="s">
        <v>1436</v>
      </c>
      <c r="D40" s="881"/>
      <c r="E40" s="587"/>
      <c r="F40" s="587"/>
      <c r="G40" s="587"/>
      <c r="H40" s="587"/>
      <c r="I40" s="949"/>
      <c r="J40" s="588"/>
      <c r="K40" s="779"/>
      <c r="L40" s="575"/>
      <c r="M40" s="587"/>
      <c r="N40" s="575"/>
      <c r="O40" s="575"/>
      <c r="P40" s="575"/>
      <c r="Q40" s="583"/>
      <c r="R40" s="797"/>
      <c r="S40" s="575"/>
      <c r="T40" s="587"/>
      <c r="U40" s="575"/>
      <c r="V40" s="575"/>
      <c r="W40" s="575"/>
      <c r="X40" s="575"/>
      <c r="Y40" s="809"/>
      <c r="Z40" s="575"/>
      <c r="AA40" s="587"/>
      <c r="AB40" s="575"/>
      <c r="AC40" s="575"/>
      <c r="AD40" s="575"/>
      <c r="AE40" s="753"/>
      <c r="AF40" s="809"/>
      <c r="AG40" s="949"/>
      <c r="AH40" s="1093">
        <v>4</v>
      </c>
      <c r="AI40" s="1100">
        <v>4</v>
      </c>
      <c r="AJ40" s="843"/>
      <c r="AK40" s="949">
        <v>0</v>
      </c>
      <c r="AL40" s="581">
        <v>4</v>
      </c>
      <c r="AM40" s="747" t="s">
        <v>1479</v>
      </c>
      <c r="AN40" s="743">
        <v>11</v>
      </c>
    </row>
    <row r="41" spans="1:41" s="782" customFormat="1">
      <c r="A41" s="868" t="s">
        <v>43</v>
      </c>
      <c r="B41" s="869" t="s">
        <v>1188</v>
      </c>
      <c r="C41" s="880"/>
      <c r="D41" s="795"/>
      <c r="E41" s="581"/>
      <c r="F41" s="581"/>
      <c r="G41" s="581"/>
      <c r="H41" s="581"/>
      <c r="I41" s="949"/>
      <c r="J41" s="949"/>
      <c r="K41" s="777"/>
      <c r="L41" s="575"/>
      <c r="M41" s="581"/>
      <c r="N41" s="575"/>
      <c r="O41" s="575"/>
      <c r="P41" s="575"/>
      <c r="Q41" s="583"/>
      <c r="R41" s="797"/>
      <c r="S41" s="575"/>
      <c r="T41" s="581"/>
      <c r="U41" s="575"/>
      <c r="V41" s="575"/>
      <c r="W41" s="575"/>
      <c r="X41" s="575"/>
      <c r="Y41" s="809"/>
      <c r="Z41" s="575"/>
      <c r="AA41" s="581"/>
      <c r="AB41" s="575"/>
      <c r="AC41" s="575"/>
      <c r="AD41" s="575"/>
      <c r="AE41" s="753"/>
      <c r="AF41" s="809"/>
      <c r="AG41" s="588"/>
      <c r="AH41" s="842"/>
      <c r="AI41" s="738">
        <v>0</v>
      </c>
      <c r="AJ41" s="843"/>
      <c r="AK41" s="777">
        <v>0</v>
      </c>
      <c r="AL41" s="778">
        <v>0</v>
      </c>
      <c r="AM41" s="780"/>
      <c r="AN41" s="781">
        <v>0</v>
      </c>
    </row>
    <row r="42" spans="1:41" s="560" customFormat="1">
      <c r="A42" s="607" t="s">
        <v>53</v>
      </c>
      <c r="B42" s="607" t="s">
        <v>45</v>
      </c>
      <c r="C42" s="679"/>
      <c r="D42" s="795"/>
      <c r="E42" s="581"/>
      <c r="F42" s="581"/>
      <c r="G42" s="581"/>
      <c r="H42" s="581"/>
      <c r="I42" s="949"/>
      <c r="J42" s="949"/>
      <c r="K42" s="777"/>
      <c r="L42" s="575"/>
      <c r="M42" s="581"/>
      <c r="N42" s="575"/>
      <c r="O42" s="575"/>
      <c r="P42" s="575"/>
      <c r="Q42" s="583"/>
      <c r="R42" s="797"/>
      <c r="S42" s="575"/>
      <c r="T42" s="581"/>
      <c r="U42" s="575"/>
      <c r="V42" s="575"/>
      <c r="W42" s="575"/>
      <c r="X42" s="575"/>
      <c r="Y42" s="809"/>
      <c r="Z42" s="575"/>
      <c r="AA42" s="581"/>
      <c r="AB42" s="575"/>
      <c r="AC42" s="575"/>
      <c r="AD42" s="575"/>
      <c r="AE42" s="753"/>
      <c r="AF42" s="809"/>
      <c r="AG42" s="588"/>
      <c r="AH42" s="842"/>
      <c r="AI42" s="738">
        <v>0</v>
      </c>
      <c r="AJ42" s="843"/>
      <c r="AK42" s="949">
        <v>0</v>
      </c>
      <c r="AL42" s="581">
        <v>0</v>
      </c>
      <c r="AM42" s="746"/>
      <c r="AN42" s="743">
        <v>0</v>
      </c>
    </row>
    <row r="43" spans="1:41" s="560" customFormat="1">
      <c r="A43" s="604" t="s">
        <v>593</v>
      </c>
      <c r="B43" s="604" t="s">
        <v>1144</v>
      </c>
      <c r="C43" s="614" t="s">
        <v>39</v>
      </c>
      <c r="D43" s="795"/>
      <c r="E43" s="581"/>
      <c r="F43" s="581"/>
      <c r="G43" s="581"/>
      <c r="H43" s="581"/>
      <c r="I43" s="949"/>
      <c r="J43" s="949"/>
      <c r="K43" s="777"/>
      <c r="L43" s="575"/>
      <c r="M43" s="581"/>
      <c r="N43" s="575"/>
      <c r="O43" s="575"/>
      <c r="P43" s="575"/>
      <c r="Q43" s="583"/>
      <c r="R43" s="797"/>
      <c r="S43" s="575"/>
      <c r="T43" s="581"/>
      <c r="U43" s="575"/>
      <c r="V43" s="575"/>
      <c r="W43" s="575"/>
      <c r="X43" s="575"/>
      <c r="Y43" s="797"/>
      <c r="Z43" s="575"/>
      <c r="AA43" s="581"/>
      <c r="AB43" s="575"/>
      <c r="AC43" s="1096">
        <v>5</v>
      </c>
      <c r="AD43" s="1096">
        <v>5</v>
      </c>
      <c r="AE43" s="1096">
        <v>5</v>
      </c>
      <c r="AF43" s="809"/>
      <c r="AG43" s="1092">
        <v>5</v>
      </c>
      <c r="AH43" s="1093">
        <v>5</v>
      </c>
      <c r="AI43" s="1100">
        <v>25</v>
      </c>
      <c r="AJ43" s="843">
        <v>26.490000000000002</v>
      </c>
      <c r="AK43" s="949">
        <v>0</v>
      </c>
      <c r="AL43" s="581">
        <v>25</v>
      </c>
      <c r="AM43" s="746" t="s">
        <v>1482</v>
      </c>
      <c r="AN43" s="743">
        <v>3.370000000000001</v>
      </c>
    </row>
    <row r="44" spans="1:41" s="560" customFormat="1">
      <c r="A44" s="604" t="s">
        <v>594</v>
      </c>
      <c r="B44" s="604" t="s">
        <v>1145</v>
      </c>
      <c r="C44" s="530" t="s">
        <v>36</v>
      </c>
      <c r="D44" s="795"/>
      <c r="E44" s="581"/>
      <c r="F44" s="581"/>
      <c r="G44" s="581"/>
      <c r="H44" s="581"/>
      <c r="I44" s="949"/>
      <c r="J44" s="949"/>
      <c r="K44" s="777"/>
      <c r="L44" s="575"/>
      <c r="M44" s="581"/>
      <c r="N44" s="575"/>
      <c r="O44" s="575"/>
      <c r="P44" s="575"/>
      <c r="Q44" s="583"/>
      <c r="R44" s="797"/>
      <c r="S44" s="575"/>
      <c r="T44" s="581"/>
      <c r="U44" s="575"/>
      <c r="V44" s="575"/>
      <c r="W44" s="575"/>
      <c r="X44" s="575"/>
      <c r="Y44" s="809"/>
      <c r="Z44" s="575"/>
      <c r="AA44" s="581"/>
      <c r="AB44" s="1039">
        <v>10</v>
      </c>
      <c r="AC44" s="1039">
        <v>10</v>
      </c>
      <c r="AD44" s="1039">
        <v>10</v>
      </c>
      <c r="AE44" s="1039">
        <v>6</v>
      </c>
      <c r="AF44" s="809"/>
      <c r="AG44" s="1034">
        <v>10</v>
      </c>
      <c r="AH44" s="1084">
        <v>5.19</v>
      </c>
      <c r="AI44" s="1100">
        <v>51.19</v>
      </c>
      <c r="AJ44" s="843"/>
      <c r="AK44" s="949">
        <v>0</v>
      </c>
      <c r="AL44" s="581">
        <v>51.19</v>
      </c>
      <c r="AM44" s="746" t="s">
        <v>1483</v>
      </c>
      <c r="AN44" s="743">
        <v>6</v>
      </c>
    </row>
    <row r="45" spans="1:41" s="560" customFormat="1">
      <c r="A45" s="604" t="s">
        <v>595</v>
      </c>
      <c r="B45" s="604" t="s">
        <v>1146</v>
      </c>
      <c r="C45" s="530" t="s">
        <v>39</v>
      </c>
      <c r="D45" s="795"/>
      <c r="E45" s="581"/>
      <c r="F45" s="581"/>
      <c r="G45" s="581"/>
      <c r="H45" s="581"/>
      <c r="I45" s="949"/>
      <c r="J45" s="949"/>
      <c r="K45" s="777"/>
      <c r="L45" s="575"/>
      <c r="M45" s="581"/>
      <c r="N45" s="575"/>
      <c r="O45" s="575"/>
      <c r="P45" s="575"/>
      <c r="Q45" s="583"/>
      <c r="R45" s="797"/>
      <c r="S45" s="575"/>
      <c r="T45" s="581"/>
      <c r="U45" s="575"/>
      <c r="V45" s="575"/>
      <c r="W45" s="575"/>
      <c r="X45" s="575"/>
      <c r="Y45" s="809"/>
      <c r="Z45" s="575"/>
      <c r="AA45" s="581"/>
      <c r="AB45" s="1039">
        <v>5</v>
      </c>
      <c r="AC45" s="1039">
        <v>5</v>
      </c>
      <c r="AD45" s="1039">
        <v>5</v>
      </c>
      <c r="AE45" s="1039">
        <v>3.61</v>
      </c>
      <c r="AF45" s="809"/>
      <c r="AG45" s="1034">
        <v>5</v>
      </c>
      <c r="AH45" s="1084">
        <v>5</v>
      </c>
      <c r="AI45" s="1100">
        <v>28.61</v>
      </c>
      <c r="AJ45" s="843"/>
      <c r="AK45" s="949">
        <v>0</v>
      </c>
      <c r="AL45" s="581">
        <v>28.61</v>
      </c>
      <c r="AM45" s="746" t="s">
        <v>1484</v>
      </c>
      <c r="AN45" s="743">
        <v>0</v>
      </c>
    </row>
    <row r="46" spans="1:41" s="560" customFormat="1">
      <c r="A46" s="607" t="s">
        <v>54</v>
      </c>
      <c r="B46" s="607" t="s">
        <v>1148</v>
      </c>
      <c r="C46" s="679"/>
      <c r="D46" s="795"/>
      <c r="E46" s="581"/>
      <c r="F46" s="581"/>
      <c r="G46" s="581"/>
      <c r="H46" s="581"/>
      <c r="I46" s="949"/>
      <c r="J46" s="949"/>
      <c r="K46" s="777"/>
      <c r="L46" s="575"/>
      <c r="M46" s="581"/>
      <c r="N46" s="575"/>
      <c r="O46" s="575"/>
      <c r="P46" s="575"/>
      <c r="Q46" s="583"/>
      <c r="R46" s="797"/>
      <c r="S46" s="575"/>
      <c r="T46" s="581"/>
      <c r="U46" s="575"/>
      <c r="V46" s="575"/>
      <c r="W46" s="575"/>
      <c r="X46" s="575"/>
      <c r="Y46" s="809"/>
      <c r="Z46" s="575"/>
      <c r="AA46" s="581"/>
      <c r="AB46" s="575"/>
      <c r="AC46" s="575"/>
      <c r="AD46" s="575"/>
      <c r="AE46" s="753"/>
      <c r="AF46" s="809"/>
      <c r="AG46" s="588"/>
      <c r="AH46" s="842"/>
      <c r="AI46" s="738">
        <v>0</v>
      </c>
      <c r="AJ46" s="843"/>
      <c r="AK46" s="949">
        <v>0</v>
      </c>
      <c r="AL46" s="581">
        <v>0</v>
      </c>
      <c r="AM46" s="746"/>
      <c r="AN46" s="743">
        <v>0</v>
      </c>
    </row>
    <row r="47" spans="1:41" s="560" customFormat="1">
      <c r="A47" s="604" t="s">
        <v>599</v>
      </c>
      <c r="B47" s="604" t="s">
        <v>1191</v>
      </c>
      <c r="C47" s="530" t="s">
        <v>39</v>
      </c>
      <c r="D47" s="795"/>
      <c r="E47" s="581"/>
      <c r="F47" s="581"/>
      <c r="G47" s="581"/>
      <c r="H47" s="581"/>
      <c r="I47" s="949"/>
      <c r="J47" s="949"/>
      <c r="K47" s="777"/>
      <c r="L47" s="575"/>
      <c r="M47" s="581"/>
      <c r="N47" s="575"/>
      <c r="O47" s="575"/>
      <c r="P47" s="575"/>
      <c r="Q47" s="583"/>
      <c r="R47" s="797"/>
      <c r="S47" s="575"/>
      <c r="T47" s="581"/>
      <c r="U47" s="575"/>
      <c r="V47" s="575"/>
      <c r="W47" s="575"/>
      <c r="X47" s="575"/>
      <c r="Y47" s="809"/>
      <c r="Z47" s="575"/>
      <c r="AA47" s="581"/>
      <c r="AB47" s="1090">
        <v>0.14624999999999999</v>
      </c>
      <c r="AC47" s="575"/>
      <c r="AD47" s="575"/>
      <c r="AE47" s="753"/>
      <c r="AF47" s="809"/>
      <c r="AG47" s="588"/>
      <c r="AH47" s="842"/>
      <c r="AI47" s="1100">
        <v>0.15</v>
      </c>
      <c r="AJ47" s="843"/>
      <c r="AK47" s="949">
        <v>0</v>
      </c>
      <c r="AL47" s="581">
        <v>0.15</v>
      </c>
      <c r="AM47" s="746" t="s">
        <v>1487</v>
      </c>
      <c r="AN47" s="743">
        <v>2.5300000000000002</v>
      </c>
    </row>
    <row r="48" spans="1:41" s="560" customFormat="1">
      <c r="A48" s="604" t="s">
        <v>600</v>
      </c>
      <c r="B48" s="604" t="s">
        <v>1153</v>
      </c>
      <c r="C48" s="614" t="s">
        <v>36</v>
      </c>
      <c r="D48" s="795"/>
      <c r="E48" s="581"/>
      <c r="F48" s="581"/>
      <c r="G48" s="581"/>
      <c r="H48" s="581"/>
      <c r="I48" s="949"/>
      <c r="J48" s="949"/>
      <c r="K48" s="777"/>
      <c r="L48" s="575"/>
      <c r="M48" s="581"/>
      <c r="N48" s="575"/>
      <c r="O48" s="575"/>
      <c r="P48" s="575"/>
      <c r="Q48" s="583"/>
      <c r="R48" s="797"/>
      <c r="S48" s="575"/>
      <c r="T48" s="581"/>
      <c r="U48" s="575"/>
      <c r="V48" s="575"/>
      <c r="W48" s="575"/>
      <c r="X48" s="575"/>
      <c r="Y48" s="809"/>
      <c r="Z48" s="575"/>
      <c r="AA48" s="581"/>
      <c r="AB48" s="1090">
        <v>2.1</v>
      </c>
      <c r="AC48" s="575"/>
      <c r="AD48" s="575"/>
      <c r="AE48" s="753"/>
      <c r="AF48" s="809"/>
      <c r="AG48" s="588"/>
      <c r="AH48" s="842"/>
      <c r="AI48" s="1100">
        <v>2.1</v>
      </c>
      <c r="AJ48" s="843"/>
      <c r="AK48" s="949">
        <v>0</v>
      </c>
      <c r="AL48" s="581">
        <v>2.1</v>
      </c>
      <c r="AM48" s="746" t="s">
        <v>1488</v>
      </c>
      <c r="AN48" s="743">
        <v>94.56</v>
      </c>
    </row>
    <row r="49" spans="1:40" s="560" customFormat="1">
      <c r="A49" s="607" t="s">
        <v>602</v>
      </c>
      <c r="B49" s="607" t="s">
        <v>1155</v>
      </c>
      <c r="C49" s="679"/>
      <c r="D49" s="795"/>
      <c r="E49" s="581"/>
      <c r="F49" s="581"/>
      <c r="G49" s="581"/>
      <c r="H49" s="581"/>
      <c r="I49" s="949"/>
      <c r="J49" s="949"/>
      <c r="K49" s="777"/>
      <c r="L49" s="575"/>
      <c r="M49" s="581"/>
      <c r="N49" s="575"/>
      <c r="O49" s="575"/>
      <c r="P49" s="575"/>
      <c r="Q49" s="583"/>
      <c r="R49" s="797"/>
      <c r="S49" s="575"/>
      <c r="T49" s="581"/>
      <c r="U49" s="575"/>
      <c r="V49" s="575"/>
      <c r="W49" s="575"/>
      <c r="X49" s="575"/>
      <c r="Y49" s="809"/>
      <c r="Z49" s="575"/>
      <c r="AA49" s="581"/>
      <c r="AB49" s="575"/>
      <c r="AC49" s="575"/>
      <c r="AD49" s="575"/>
      <c r="AE49" s="753"/>
      <c r="AF49" s="809"/>
      <c r="AG49" s="588"/>
      <c r="AH49" s="842"/>
      <c r="AI49" s="738">
        <v>0</v>
      </c>
      <c r="AJ49" s="843"/>
      <c r="AK49" s="949">
        <v>0</v>
      </c>
      <c r="AL49" s="581">
        <v>0</v>
      </c>
      <c r="AM49" s="746"/>
      <c r="AN49" s="743">
        <v>0</v>
      </c>
    </row>
    <row r="50" spans="1:40" s="560" customFormat="1">
      <c r="A50" s="604" t="s">
        <v>614</v>
      </c>
      <c r="B50" s="604" t="s">
        <v>1167</v>
      </c>
      <c r="C50" s="679"/>
      <c r="D50" s="795"/>
      <c r="E50" s="581"/>
      <c r="F50" s="581"/>
      <c r="G50" s="581"/>
      <c r="H50" s="581"/>
      <c r="I50" s="949"/>
      <c r="J50" s="949"/>
      <c r="K50" s="777"/>
      <c r="L50" s="575"/>
      <c r="M50" s="581"/>
      <c r="N50" s="575"/>
      <c r="O50" s="575"/>
      <c r="P50" s="575"/>
      <c r="Q50" s="583"/>
      <c r="R50" s="797"/>
      <c r="S50" s="575"/>
      <c r="T50" s="581"/>
      <c r="U50" s="575"/>
      <c r="V50" s="575"/>
      <c r="W50" s="575"/>
      <c r="X50" s="575"/>
      <c r="Y50" s="809"/>
      <c r="Z50" s="575"/>
      <c r="AA50" s="581"/>
      <c r="AB50" s="575"/>
      <c r="AC50" s="575"/>
      <c r="AD50" s="575"/>
      <c r="AE50" s="753"/>
      <c r="AF50" s="809"/>
      <c r="AG50" s="588"/>
      <c r="AH50" s="842"/>
      <c r="AI50" s="738">
        <v>0</v>
      </c>
      <c r="AJ50" s="843"/>
      <c r="AK50" s="949">
        <v>0</v>
      </c>
      <c r="AL50" s="581">
        <v>0</v>
      </c>
      <c r="AM50" s="746"/>
      <c r="AN50" s="743">
        <v>0</v>
      </c>
    </row>
    <row r="51" spans="1:40" s="560" customFormat="1">
      <c r="A51" s="604" t="s">
        <v>616</v>
      </c>
      <c r="B51" s="604" t="s">
        <v>1169</v>
      </c>
      <c r="C51" s="614" t="s">
        <v>36</v>
      </c>
      <c r="D51" s="795"/>
      <c r="E51" s="581"/>
      <c r="F51" s="581"/>
      <c r="G51" s="581"/>
      <c r="H51" s="581"/>
      <c r="I51" s="949"/>
      <c r="K51" s="777"/>
      <c r="L51" s="949"/>
      <c r="M51" s="581"/>
      <c r="N51" s="949"/>
      <c r="O51" s="949"/>
      <c r="P51" s="575"/>
      <c r="Q51" s="583"/>
      <c r="R51" s="797"/>
      <c r="S51" s="575"/>
      <c r="T51" s="581"/>
      <c r="U51" s="583"/>
      <c r="V51" s="575"/>
      <c r="W51" s="575"/>
      <c r="X51" s="575"/>
      <c r="Y51" s="809"/>
      <c r="Z51" s="575"/>
      <c r="AA51" s="581"/>
      <c r="AB51" s="1090">
        <v>2.1599999999999966</v>
      </c>
      <c r="AC51" s="575"/>
      <c r="AD51" s="583"/>
      <c r="AE51" s="583"/>
      <c r="AF51" s="809"/>
      <c r="AG51" s="588"/>
      <c r="AH51" s="842"/>
      <c r="AI51" s="1100">
        <v>2.16</v>
      </c>
      <c r="AJ51" s="843"/>
      <c r="AK51" s="949">
        <v>0</v>
      </c>
      <c r="AL51" s="581">
        <v>2.16</v>
      </c>
      <c r="AM51" s="746" t="s">
        <v>1498</v>
      </c>
      <c r="AN51" s="743">
        <v>33.28</v>
      </c>
    </row>
    <row r="52" spans="1:40" s="560" customFormat="1">
      <c r="A52" s="604" t="s">
        <v>617</v>
      </c>
      <c r="B52" s="604" t="s">
        <v>1170</v>
      </c>
      <c r="C52" s="530" t="s">
        <v>47</v>
      </c>
      <c r="D52" s="795"/>
      <c r="E52" s="581"/>
      <c r="F52" s="581"/>
      <c r="G52" s="581"/>
      <c r="H52" s="581"/>
      <c r="I52" s="949"/>
      <c r="K52" s="777"/>
      <c r="L52" s="949"/>
      <c r="M52" s="581"/>
      <c r="N52" s="949"/>
      <c r="O52" s="949"/>
      <c r="P52" s="575"/>
      <c r="Q52" s="583"/>
      <c r="R52" s="797"/>
      <c r="S52" s="575"/>
      <c r="T52" s="581"/>
      <c r="U52" s="583"/>
      <c r="V52" s="575"/>
      <c r="W52" s="575"/>
      <c r="X52" s="575"/>
      <c r="Y52" s="809"/>
      <c r="Z52" s="575"/>
      <c r="AA52" s="1035">
        <v>261.08000000000004</v>
      </c>
      <c r="AB52" s="575"/>
      <c r="AC52" s="575"/>
      <c r="AD52" s="575"/>
      <c r="AE52" s="753"/>
      <c r="AF52" s="809"/>
      <c r="AG52" s="588"/>
      <c r="AH52" s="842"/>
      <c r="AI52" s="1100">
        <v>261.08</v>
      </c>
      <c r="AJ52" s="843"/>
      <c r="AK52" s="949">
        <v>0</v>
      </c>
      <c r="AL52" s="581">
        <v>261.08</v>
      </c>
      <c r="AM52" s="746" t="s">
        <v>1499</v>
      </c>
      <c r="AN52" s="743">
        <v>275.86000000000007</v>
      </c>
    </row>
    <row r="53" spans="1:40" s="560" customFormat="1">
      <c r="A53" s="607" t="s">
        <v>631</v>
      </c>
      <c r="B53" s="607" t="s">
        <v>1184</v>
      </c>
      <c r="C53" s="679"/>
      <c r="D53" s="795"/>
      <c r="E53" s="581"/>
      <c r="F53" s="581"/>
      <c r="G53" s="581"/>
      <c r="H53" s="581"/>
      <c r="I53" s="949"/>
      <c r="J53" s="949"/>
      <c r="K53" s="777"/>
      <c r="L53" s="575"/>
      <c r="M53" s="581"/>
      <c r="N53" s="575"/>
      <c r="O53" s="575"/>
      <c r="P53" s="575"/>
      <c r="Q53" s="583"/>
      <c r="R53" s="797"/>
      <c r="S53" s="575"/>
      <c r="T53" s="581"/>
      <c r="U53" s="575"/>
      <c r="V53" s="575"/>
      <c r="W53" s="575"/>
      <c r="X53" s="575"/>
      <c r="Y53" s="809"/>
      <c r="Z53" s="575"/>
      <c r="AA53" s="581"/>
      <c r="AB53" s="575"/>
      <c r="AC53" s="575"/>
      <c r="AD53" s="575"/>
      <c r="AE53" s="753"/>
      <c r="AF53" s="809"/>
      <c r="AG53" s="588"/>
      <c r="AH53" s="842"/>
      <c r="AI53" s="738">
        <v>0</v>
      </c>
      <c r="AJ53" s="843"/>
      <c r="AK53" s="949">
        <v>0</v>
      </c>
      <c r="AL53" s="581">
        <v>0</v>
      </c>
      <c r="AM53" s="746"/>
      <c r="AN53" s="743">
        <v>0</v>
      </c>
    </row>
    <row r="54" spans="1:40" s="560" customFormat="1">
      <c r="A54" s="604" t="s">
        <v>632</v>
      </c>
      <c r="B54" s="604" t="s">
        <v>1185</v>
      </c>
      <c r="C54" s="530" t="s">
        <v>37</v>
      </c>
      <c r="D54" s="795"/>
      <c r="E54" s="581"/>
      <c r="F54" s="581"/>
      <c r="G54" s="581"/>
      <c r="H54" s="581"/>
      <c r="I54" s="949"/>
      <c r="J54" s="949"/>
      <c r="K54" s="777"/>
      <c r="L54" s="575"/>
      <c r="M54" s="581"/>
      <c r="N54" s="575"/>
      <c r="O54" s="575"/>
      <c r="P54" s="575"/>
      <c r="Q54" s="583"/>
      <c r="R54" s="797"/>
      <c r="S54" s="575"/>
      <c r="T54" s="581"/>
      <c r="U54" s="575"/>
      <c r="V54" s="575"/>
      <c r="W54" s="575"/>
      <c r="X54" s="575"/>
      <c r="Y54" s="809"/>
      <c r="Z54" s="575"/>
      <c r="AA54" s="581"/>
      <c r="AB54" s="575"/>
      <c r="AC54" s="575"/>
      <c r="AD54" s="575"/>
      <c r="AE54" s="753"/>
      <c r="AF54" s="809"/>
      <c r="AG54" s="588"/>
      <c r="AH54" s="842"/>
      <c r="AI54" s="738">
        <v>0</v>
      </c>
      <c r="AJ54" s="843"/>
      <c r="AK54" s="949">
        <v>0</v>
      </c>
      <c r="AL54" s="581">
        <v>0</v>
      </c>
      <c r="AM54" s="746" t="s">
        <v>1509</v>
      </c>
      <c r="AN54" s="743">
        <v>158.4</v>
      </c>
    </row>
    <row r="55" spans="1:40" s="579" customFormat="1">
      <c r="A55" s="607" t="s">
        <v>633</v>
      </c>
      <c r="B55" s="607" t="s">
        <v>1186</v>
      </c>
      <c r="C55" s="690"/>
      <c r="D55" s="881"/>
      <c r="E55" s="587"/>
      <c r="F55" s="587"/>
      <c r="G55" s="587"/>
      <c r="H55" s="587"/>
      <c r="I55" s="949"/>
      <c r="J55" s="588"/>
      <c r="K55" s="779"/>
      <c r="L55" s="575"/>
      <c r="M55" s="587"/>
      <c r="N55" s="575"/>
      <c r="O55" s="575"/>
      <c r="P55" s="575"/>
      <c r="Q55" s="583"/>
      <c r="R55" s="797"/>
      <c r="S55" s="575"/>
      <c r="T55" s="587"/>
      <c r="U55" s="575"/>
      <c r="V55" s="575"/>
      <c r="W55" s="575"/>
      <c r="X55" s="575"/>
      <c r="Y55" s="809"/>
      <c r="Z55" s="575"/>
      <c r="AA55" s="587"/>
      <c r="AB55" s="575"/>
      <c r="AC55" s="575"/>
      <c r="AD55" s="575"/>
      <c r="AE55" s="753"/>
      <c r="AF55" s="809"/>
      <c r="AG55" s="588"/>
      <c r="AH55" s="842"/>
      <c r="AI55" s="738">
        <v>0</v>
      </c>
      <c r="AJ55" s="843"/>
      <c r="AK55" s="949">
        <v>0</v>
      </c>
      <c r="AL55" s="581">
        <v>0</v>
      </c>
      <c r="AM55" s="747"/>
      <c r="AN55" s="743">
        <v>0</v>
      </c>
    </row>
    <row r="56" spans="1:40" s="579" customFormat="1">
      <c r="A56" s="604" t="s">
        <v>634</v>
      </c>
      <c r="B56" s="604" t="s">
        <v>1187</v>
      </c>
      <c r="C56" s="530" t="s">
        <v>37</v>
      </c>
      <c r="D56" s="881"/>
      <c r="E56" s="587"/>
      <c r="F56" s="587"/>
      <c r="G56" s="587"/>
      <c r="H56" s="587"/>
      <c r="I56" s="949"/>
      <c r="J56" s="588"/>
      <c r="K56" s="779"/>
      <c r="L56" s="575"/>
      <c r="M56" s="587"/>
      <c r="N56" s="575"/>
      <c r="O56" s="575"/>
      <c r="P56" s="575"/>
      <c r="Q56" s="583"/>
      <c r="R56" s="797"/>
      <c r="S56" s="575"/>
      <c r="T56" s="587"/>
      <c r="U56" s="575"/>
      <c r="V56" s="575"/>
      <c r="W56" s="575"/>
      <c r="X56" s="575"/>
      <c r="Y56" s="809"/>
      <c r="Z56" s="575"/>
      <c r="AA56" s="587"/>
      <c r="AB56" s="575"/>
      <c r="AC56" s="575"/>
      <c r="AD56" s="575"/>
      <c r="AE56" s="753"/>
      <c r="AF56" s="809"/>
      <c r="AG56" s="588"/>
      <c r="AH56" s="1084">
        <v>83.2</v>
      </c>
      <c r="AI56" s="1100">
        <v>83.2</v>
      </c>
      <c r="AJ56" s="843"/>
      <c r="AK56" s="949">
        <v>0</v>
      </c>
      <c r="AL56" s="581">
        <v>83.2</v>
      </c>
      <c r="AM56" s="747" t="s">
        <v>1510</v>
      </c>
      <c r="AN56" s="743">
        <v>0</v>
      </c>
    </row>
    <row r="57" spans="1:40" s="560" customFormat="1">
      <c r="A57" s="604" t="s">
        <v>635</v>
      </c>
      <c r="B57" s="604" t="s">
        <v>224</v>
      </c>
      <c r="C57" s="530" t="s">
        <v>1436</v>
      </c>
      <c r="D57" s="795"/>
      <c r="E57" s="581"/>
      <c r="F57" s="581"/>
      <c r="G57" s="581"/>
      <c r="H57" s="581"/>
      <c r="I57" s="949"/>
      <c r="J57" s="949"/>
      <c r="K57" s="777"/>
      <c r="L57" s="575"/>
      <c r="M57" s="581"/>
      <c r="N57" s="575"/>
      <c r="O57" s="575"/>
      <c r="P57" s="575"/>
      <c r="Q57" s="583"/>
      <c r="R57" s="797"/>
      <c r="S57" s="575"/>
      <c r="T57" s="581"/>
      <c r="U57" s="575"/>
      <c r="V57" s="575"/>
      <c r="W57" s="575"/>
      <c r="X57" s="575"/>
      <c r="Y57" s="809"/>
      <c r="Z57" s="575"/>
      <c r="AA57" s="581"/>
      <c r="AB57" s="575"/>
      <c r="AC57" s="575"/>
      <c r="AD57" s="575"/>
      <c r="AE57" s="753"/>
      <c r="AF57" s="809"/>
      <c r="AG57" s="949"/>
      <c r="AH57" s="1093">
        <v>4</v>
      </c>
      <c r="AI57" s="1100">
        <v>4</v>
      </c>
      <c r="AJ57" s="843"/>
      <c r="AK57" s="949">
        <v>0</v>
      </c>
      <c r="AL57" s="581">
        <v>4</v>
      </c>
      <c r="AM57" s="746" t="s">
        <v>1479</v>
      </c>
      <c r="AN57" s="743">
        <v>11</v>
      </c>
    </row>
    <row r="58" spans="1:40" s="782" customFormat="1">
      <c r="A58" s="868" t="s">
        <v>51</v>
      </c>
      <c r="B58" s="869" t="s">
        <v>1195</v>
      </c>
      <c r="C58" s="880"/>
      <c r="D58" s="795"/>
      <c r="E58" s="581"/>
      <c r="F58" s="581"/>
      <c r="G58" s="581"/>
      <c r="H58" s="581"/>
      <c r="I58" s="949"/>
      <c r="J58" s="949"/>
      <c r="K58" s="777"/>
      <c r="L58" s="575"/>
      <c r="M58" s="581"/>
      <c r="N58" s="575"/>
      <c r="O58" s="575"/>
      <c r="P58" s="575"/>
      <c r="Q58" s="583"/>
      <c r="R58" s="797"/>
      <c r="S58" s="575"/>
      <c r="T58" s="581"/>
      <c r="U58" s="575"/>
      <c r="V58" s="575"/>
      <c r="W58" s="575"/>
      <c r="X58" s="575"/>
      <c r="Y58" s="809"/>
      <c r="Z58" s="575"/>
      <c r="AA58" s="581"/>
      <c r="AB58" s="575"/>
      <c r="AC58" s="575"/>
      <c r="AD58" s="575"/>
      <c r="AE58" s="753"/>
      <c r="AF58" s="809"/>
      <c r="AG58" s="588"/>
      <c r="AH58" s="842"/>
      <c r="AI58" s="738">
        <v>0</v>
      </c>
      <c r="AJ58" s="843"/>
      <c r="AK58" s="777">
        <v>0</v>
      </c>
      <c r="AL58" s="778">
        <v>0</v>
      </c>
      <c r="AM58" s="780"/>
      <c r="AN58" s="781">
        <v>0</v>
      </c>
    </row>
    <row r="59" spans="1:40" s="560" customFormat="1">
      <c r="A59" s="607" t="s">
        <v>55</v>
      </c>
      <c r="B59" s="607" t="s">
        <v>45</v>
      </c>
      <c r="C59" s="690"/>
      <c r="D59" s="795"/>
      <c r="E59" s="581"/>
      <c r="F59" s="581"/>
      <c r="G59" s="581"/>
      <c r="H59" s="581"/>
      <c r="I59" s="949"/>
      <c r="J59" s="949"/>
      <c r="K59" s="777"/>
      <c r="L59" s="583"/>
      <c r="M59" s="581"/>
      <c r="N59" s="583"/>
      <c r="O59" s="583"/>
      <c r="P59" s="583"/>
      <c r="Q59" s="583"/>
      <c r="R59" s="797"/>
      <c r="S59" s="583"/>
      <c r="T59" s="581"/>
      <c r="U59" s="583"/>
      <c r="V59" s="583"/>
      <c r="W59" s="583"/>
      <c r="X59" s="583"/>
      <c r="Y59" s="797"/>
      <c r="Z59" s="583"/>
      <c r="AA59" s="581"/>
      <c r="AB59" s="583"/>
      <c r="AC59" s="583"/>
      <c r="AD59" s="583"/>
      <c r="AE59" s="753"/>
      <c r="AF59" s="797"/>
      <c r="AG59" s="949"/>
      <c r="AH59" s="843"/>
      <c r="AI59" s="738">
        <v>0</v>
      </c>
      <c r="AJ59" s="843"/>
      <c r="AK59" s="949">
        <v>0</v>
      </c>
      <c r="AL59" s="581">
        <v>0</v>
      </c>
      <c r="AM59" s="746"/>
      <c r="AN59" s="743">
        <v>0</v>
      </c>
    </row>
    <row r="60" spans="1:40" s="560" customFormat="1">
      <c r="A60" s="604" t="s">
        <v>639</v>
      </c>
      <c r="B60" s="604" t="s">
        <v>1145</v>
      </c>
      <c r="C60" s="614" t="s">
        <v>36</v>
      </c>
      <c r="D60" s="795"/>
      <c r="E60" s="1035">
        <v>0.33619999999999806</v>
      </c>
      <c r="F60" s="581"/>
      <c r="G60" s="581"/>
      <c r="I60" s="949"/>
      <c r="J60" s="949"/>
      <c r="K60" s="777"/>
      <c r="L60" s="583"/>
      <c r="M60" s="581"/>
      <c r="N60" s="583"/>
      <c r="O60" s="583"/>
      <c r="P60" s="583"/>
      <c r="Q60" s="583"/>
      <c r="R60" s="797"/>
      <c r="S60" s="583"/>
      <c r="T60" s="581"/>
      <c r="U60" s="583"/>
      <c r="V60" s="583"/>
      <c r="W60" s="583"/>
      <c r="X60" s="583"/>
      <c r="Y60" s="797"/>
      <c r="Z60" s="583"/>
      <c r="AA60" s="581"/>
      <c r="AB60" s="583"/>
      <c r="AC60" s="583"/>
      <c r="AD60" s="583"/>
      <c r="AE60" s="753"/>
      <c r="AF60" s="797"/>
      <c r="AG60" s="949"/>
      <c r="AH60" s="843"/>
      <c r="AI60" s="1100">
        <v>0.34</v>
      </c>
      <c r="AJ60" s="843"/>
      <c r="AK60" s="949">
        <v>0</v>
      </c>
      <c r="AL60" s="581">
        <v>0.34</v>
      </c>
      <c r="AM60" s="746" t="s">
        <v>1514</v>
      </c>
      <c r="AN60" s="743">
        <v>71.989999999999995</v>
      </c>
    </row>
    <row r="61" spans="1:40" s="560" customFormat="1">
      <c r="A61" s="607" t="s">
        <v>647</v>
      </c>
      <c r="B61" s="607" t="s">
        <v>1155</v>
      </c>
      <c r="C61" s="690"/>
      <c r="D61" s="795"/>
      <c r="E61" s="581"/>
      <c r="F61" s="581"/>
      <c r="G61" s="581"/>
      <c r="H61" s="581"/>
      <c r="I61" s="949"/>
      <c r="J61" s="949"/>
      <c r="K61" s="777"/>
      <c r="L61" s="575"/>
      <c r="M61" s="581"/>
      <c r="N61" s="575"/>
      <c r="O61" s="575"/>
      <c r="P61" s="575"/>
      <c r="Q61" s="583"/>
      <c r="R61" s="797"/>
      <c r="S61" s="575"/>
      <c r="T61" s="581"/>
      <c r="U61" s="575"/>
      <c r="V61" s="575"/>
      <c r="W61" s="575"/>
      <c r="X61" s="575"/>
      <c r="Y61" s="809"/>
      <c r="Z61" s="575"/>
      <c r="AA61" s="581"/>
      <c r="AB61" s="575"/>
      <c r="AC61" s="575"/>
      <c r="AD61" s="575"/>
      <c r="AE61" s="753"/>
      <c r="AF61" s="809"/>
      <c r="AG61" s="588"/>
      <c r="AH61" s="842"/>
      <c r="AI61" s="738">
        <v>0</v>
      </c>
      <c r="AJ61" s="843"/>
      <c r="AK61" s="949">
        <v>0</v>
      </c>
      <c r="AL61" s="581">
        <v>0</v>
      </c>
      <c r="AM61" s="746"/>
      <c r="AN61" s="743">
        <v>0</v>
      </c>
    </row>
    <row r="62" spans="1:40" s="560" customFormat="1">
      <c r="A62" s="604" t="s">
        <v>659</v>
      </c>
      <c r="B62" s="604" t="s">
        <v>1167</v>
      </c>
      <c r="C62" s="690"/>
      <c r="D62" s="795"/>
      <c r="E62" s="581"/>
      <c r="F62" s="581"/>
      <c r="G62" s="581"/>
      <c r="H62" s="581"/>
      <c r="I62" s="949"/>
      <c r="J62" s="949"/>
      <c r="K62" s="777"/>
      <c r="L62" s="575"/>
      <c r="M62" s="581"/>
      <c r="N62" s="575"/>
      <c r="P62" s="575"/>
      <c r="Q62" s="583"/>
      <c r="R62" s="797"/>
      <c r="S62" s="575"/>
      <c r="T62" s="581"/>
      <c r="U62" s="575"/>
      <c r="V62" s="575"/>
      <c r="W62" s="575"/>
      <c r="X62" s="575"/>
      <c r="Y62" s="809"/>
      <c r="Z62" s="575"/>
      <c r="AA62" s="581"/>
      <c r="AB62" s="575"/>
      <c r="AC62" s="575"/>
      <c r="AD62" s="575"/>
      <c r="AE62" s="753"/>
      <c r="AF62" s="809"/>
      <c r="AG62" s="588"/>
      <c r="AH62" s="842"/>
      <c r="AI62" s="738">
        <v>0</v>
      </c>
      <c r="AJ62" s="843"/>
      <c r="AK62" s="949">
        <v>0</v>
      </c>
      <c r="AL62" s="581">
        <v>0</v>
      </c>
      <c r="AM62" s="746"/>
      <c r="AN62" s="743">
        <v>0</v>
      </c>
    </row>
    <row r="63" spans="1:40" s="560" customFormat="1">
      <c r="A63" s="604" t="s">
        <v>660</v>
      </c>
      <c r="B63" s="604" t="s">
        <v>1168</v>
      </c>
      <c r="C63" s="614" t="s">
        <v>39</v>
      </c>
      <c r="D63" s="795"/>
      <c r="E63" s="1035">
        <v>0.42875000000000002</v>
      </c>
      <c r="F63" s="581"/>
      <c r="G63" s="581"/>
      <c r="H63" s="1035">
        <v>0.765625</v>
      </c>
      <c r="I63" s="1034">
        <v>1.3831250000000002</v>
      </c>
      <c r="J63" s="949"/>
      <c r="K63" s="777"/>
      <c r="L63" s="575"/>
      <c r="M63" s="581"/>
      <c r="N63" s="575"/>
      <c r="O63" s="575"/>
      <c r="P63" s="583"/>
      <c r="Q63" s="583"/>
      <c r="R63" s="797"/>
      <c r="S63" s="575"/>
      <c r="T63" s="581"/>
      <c r="U63" s="575"/>
      <c r="V63" s="575"/>
      <c r="W63" s="575"/>
      <c r="X63" s="575"/>
      <c r="Y63" s="809"/>
      <c r="Z63" s="575"/>
      <c r="AA63" s="581"/>
      <c r="AB63" s="575"/>
      <c r="AC63" s="575"/>
      <c r="AD63" s="575"/>
      <c r="AE63" s="753"/>
      <c r="AF63" s="797"/>
      <c r="AG63" s="588"/>
      <c r="AH63" s="842"/>
      <c r="AI63" s="1100">
        <v>2.58</v>
      </c>
      <c r="AJ63" s="843"/>
      <c r="AK63" s="949">
        <v>0</v>
      </c>
      <c r="AL63" s="581">
        <v>2.58</v>
      </c>
      <c r="AM63" s="746" t="s">
        <v>1528</v>
      </c>
      <c r="AN63" s="743">
        <v>0.85999999999999988</v>
      </c>
    </row>
    <row r="64" spans="1:40" s="560" customFormat="1">
      <c r="A64" s="604" t="s">
        <v>661</v>
      </c>
      <c r="B64" s="604" t="s">
        <v>1169</v>
      </c>
      <c r="C64" s="614" t="s">
        <v>36</v>
      </c>
      <c r="D64" s="795"/>
      <c r="E64" s="581"/>
      <c r="F64" s="1035">
        <v>7.3500000000000005</v>
      </c>
      <c r="G64" s="581"/>
      <c r="H64" s="581"/>
      <c r="I64" s="1034">
        <v>2.9450000000000003</v>
      </c>
      <c r="J64" s="949"/>
      <c r="K64" s="777"/>
      <c r="L64" s="575"/>
      <c r="M64" s="581"/>
      <c r="N64" s="575"/>
      <c r="O64" s="575"/>
      <c r="P64" s="583"/>
      <c r="Q64" s="583"/>
      <c r="R64" s="797"/>
      <c r="S64" s="575"/>
      <c r="T64" s="581"/>
      <c r="U64" s="575"/>
      <c r="V64" s="575"/>
      <c r="W64" s="575"/>
      <c r="X64" s="575"/>
      <c r="Y64" s="809"/>
      <c r="Z64" s="575"/>
      <c r="AA64" s="581"/>
      <c r="AB64" s="575"/>
      <c r="AC64" s="575"/>
      <c r="AD64" s="575"/>
      <c r="AE64" s="583"/>
      <c r="AF64" s="797"/>
      <c r="AG64" s="588"/>
      <c r="AH64" s="842"/>
      <c r="AI64" s="1100">
        <v>10.3</v>
      </c>
      <c r="AJ64" s="843"/>
      <c r="AK64" s="949">
        <v>0</v>
      </c>
      <c r="AL64" s="581">
        <v>10.3</v>
      </c>
      <c r="AM64" s="746" t="s">
        <v>1529</v>
      </c>
      <c r="AN64" s="743">
        <v>11.16</v>
      </c>
    </row>
    <row r="65" spans="1:40" s="560" customFormat="1">
      <c r="A65" s="604" t="s">
        <v>662</v>
      </c>
      <c r="B65" s="604" t="s">
        <v>1170</v>
      </c>
      <c r="C65" s="614" t="s">
        <v>47</v>
      </c>
      <c r="D65" s="795"/>
      <c r="E65" s="581"/>
      <c r="F65" s="581"/>
      <c r="G65" s="581"/>
      <c r="H65" s="581"/>
      <c r="I65" s="949"/>
      <c r="J65" s="949"/>
      <c r="K65" s="777"/>
      <c r="L65" s="575"/>
      <c r="M65" s="581"/>
      <c r="N65" s="575"/>
      <c r="O65" s="575"/>
      <c r="P65" s="583"/>
      <c r="Q65" s="583"/>
      <c r="R65" s="797"/>
      <c r="S65" s="583"/>
      <c r="T65" s="581"/>
      <c r="U65" s="575"/>
      <c r="V65" s="575"/>
      <c r="W65" s="575"/>
      <c r="X65" s="575"/>
      <c r="Y65" s="809"/>
      <c r="Z65" s="575"/>
      <c r="AA65" s="1083">
        <v>254.45</v>
      </c>
      <c r="AB65" s="575"/>
      <c r="AC65" s="575"/>
      <c r="AD65" s="583"/>
      <c r="AE65" s="753"/>
      <c r="AF65" s="809"/>
      <c r="AG65" s="588"/>
      <c r="AH65" s="842"/>
      <c r="AI65" s="1100">
        <v>254.45</v>
      </c>
      <c r="AJ65" s="843"/>
      <c r="AK65" s="949">
        <v>0</v>
      </c>
      <c r="AL65" s="581">
        <v>254.45</v>
      </c>
      <c r="AM65" s="746" t="s">
        <v>1530</v>
      </c>
      <c r="AN65" s="743">
        <v>48.449999999999989</v>
      </c>
    </row>
    <row r="66" spans="1:40" s="560" customFormat="1">
      <c r="A66" s="607" t="s">
        <v>678</v>
      </c>
      <c r="B66" s="607" t="s">
        <v>1186</v>
      </c>
      <c r="C66" s="614"/>
      <c r="D66" s="795"/>
      <c r="E66" s="581"/>
      <c r="F66" s="581"/>
      <c r="G66" s="581"/>
      <c r="H66" s="581"/>
      <c r="I66" s="949"/>
      <c r="J66" s="949"/>
      <c r="K66" s="777"/>
      <c r="L66" s="575"/>
      <c r="M66" s="581"/>
      <c r="N66" s="575"/>
      <c r="O66" s="575"/>
      <c r="P66" s="575"/>
      <c r="Q66" s="583"/>
      <c r="R66" s="797"/>
      <c r="S66" s="575"/>
      <c r="T66" s="581"/>
      <c r="U66" s="575"/>
      <c r="V66" s="575"/>
      <c r="W66" s="575"/>
      <c r="X66" s="575"/>
      <c r="Y66" s="809"/>
      <c r="Z66" s="575"/>
      <c r="AA66" s="581"/>
      <c r="AB66" s="575"/>
      <c r="AC66" s="575"/>
      <c r="AD66" s="575"/>
      <c r="AE66" s="753"/>
      <c r="AF66" s="809"/>
      <c r="AG66" s="588"/>
      <c r="AH66" s="842"/>
      <c r="AI66" s="738">
        <v>0</v>
      </c>
      <c r="AJ66" s="843"/>
      <c r="AK66" s="949">
        <v>0</v>
      </c>
      <c r="AL66" s="581">
        <v>0</v>
      </c>
      <c r="AM66" s="746"/>
      <c r="AN66" s="743">
        <v>0</v>
      </c>
    </row>
    <row r="67" spans="1:40" s="560" customFormat="1">
      <c r="A67" s="604" t="s">
        <v>679</v>
      </c>
      <c r="B67" s="604" t="s">
        <v>1187</v>
      </c>
      <c r="C67" s="614" t="s">
        <v>37</v>
      </c>
      <c r="D67" s="795"/>
      <c r="E67" s="581"/>
      <c r="F67" s="581"/>
      <c r="G67" s="581"/>
      <c r="H67" s="581"/>
      <c r="I67" s="949"/>
      <c r="J67" s="949"/>
      <c r="K67" s="777"/>
      <c r="L67" s="575"/>
      <c r="M67" s="581"/>
      <c r="N67" s="575"/>
      <c r="O67" s="575"/>
      <c r="P67" s="575"/>
      <c r="Q67" s="583"/>
      <c r="R67" s="797"/>
      <c r="S67" s="575"/>
      <c r="T67" s="581"/>
      <c r="U67" s="575"/>
      <c r="V67" s="575"/>
      <c r="W67" s="575"/>
      <c r="X67" s="575"/>
      <c r="Y67" s="809"/>
      <c r="Z67" s="575"/>
      <c r="AA67" s="581"/>
      <c r="AB67" s="575"/>
      <c r="AC67" s="575"/>
      <c r="AD67" s="575"/>
      <c r="AE67" s="753"/>
      <c r="AF67" s="809"/>
      <c r="AG67" s="588"/>
      <c r="AH67" s="1084">
        <v>75.400000000000006</v>
      </c>
      <c r="AI67" s="1100">
        <v>75.400000000000006</v>
      </c>
      <c r="AJ67" s="843"/>
      <c r="AK67" s="949">
        <v>0</v>
      </c>
      <c r="AL67" s="581">
        <v>75.400000000000006</v>
      </c>
      <c r="AM67" s="746" t="s">
        <v>1541</v>
      </c>
      <c r="AN67" s="743">
        <v>0</v>
      </c>
    </row>
    <row r="68" spans="1:40" s="560" customFormat="1">
      <c r="A68" s="604" t="s">
        <v>680</v>
      </c>
      <c r="B68" s="604" t="s">
        <v>224</v>
      </c>
      <c r="C68" s="614" t="s">
        <v>1436</v>
      </c>
      <c r="D68" s="795"/>
      <c r="E68" s="581"/>
      <c r="F68" s="581"/>
      <c r="G68" s="581"/>
      <c r="H68" s="581"/>
      <c r="I68" s="949"/>
      <c r="J68" s="949"/>
      <c r="K68" s="777"/>
      <c r="L68" s="575"/>
      <c r="M68" s="581"/>
      <c r="N68" s="575"/>
      <c r="O68" s="575"/>
      <c r="P68" s="575"/>
      <c r="Q68" s="583"/>
      <c r="R68" s="797"/>
      <c r="S68" s="575"/>
      <c r="T68" s="581"/>
      <c r="U68" s="575"/>
      <c r="V68" s="575"/>
      <c r="W68" s="575"/>
      <c r="X68" s="575"/>
      <c r="Y68" s="809"/>
      <c r="Z68" s="575"/>
      <c r="AA68" s="581"/>
      <c r="AB68" s="575"/>
      <c r="AC68" s="575"/>
      <c r="AD68" s="575"/>
      <c r="AE68" s="753"/>
      <c r="AF68" s="809"/>
      <c r="AG68" s="949"/>
      <c r="AH68" s="1093">
        <v>3</v>
      </c>
      <c r="AI68" s="1100">
        <v>3</v>
      </c>
      <c r="AJ68" s="843"/>
      <c r="AK68" s="949">
        <v>0</v>
      </c>
      <c r="AL68" s="581">
        <v>3</v>
      </c>
      <c r="AM68" s="746" t="s">
        <v>1479</v>
      </c>
      <c r="AN68" s="743">
        <v>12</v>
      </c>
    </row>
    <row r="69" spans="1:40" s="560" customFormat="1">
      <c r="A69" s="868" t="s">
        <v>502</v>
      </c>
      <c r="B69" s="869" t="s">
        <v>1196</v>
      </c>
      <c r="C69" s="898"/>
      <c r="D69" s="795"/>
      <c r="E69" s="581"/>
      <c r="F69" s="581"/>
      <c r="G69" s="581"/>
      <c r="H69" s="581"/>
      <c r="I69" s="949"/>
      <c r="J69" s="949"/>
      <c r="K69" s="777"/>
      <c r="L69" s="575"/>
      <c r="M69" s="581"/>
      <c r="N69" s="575"/>
      <c r="O69" s="575"/>
      <c r="P69" s="575"/>
      <c r="Q69" s="583"/>
      <c r="R69" s="797"/>
      <c r="S69" s="575"/>
      <c r="T69" s="581"/>
      <c r="U69" s="575"/>
      <c r="V69" s="575"/>
      <c r="W69" s="575"/>
      <c r="X69" s="575"/>
      <c r="Y69" s="809"/>
      <c r="Z69" s="575"/>
      <c r="AA69" s="581"/>
      <c r="AB69" s="575"/>
      <c r="AC69" s="575"/>
      <c r="AD69" s="575"/>
      <c r="AE69" s="753"/>
      <c r="AF69" s="809"/>
      <c r="AG69" s="588"/>
      <c r="AH69" s="842"/>
      <c r="AI69" s="738">
        <v>0</v>
      </c>
      <c r="AJ69" s="843"/>
      <c r="AK69" s="777">
        <v>0</v>
      </c>
      <c r="AL69" s="581">
        <v>0</v>
      </c>
      <c r="AM69" s="746"/>
      <c r="AN69" s="743">
        <v>0</v>
      </c>
    </row>
    <row r="70" spans="1:40" s="560" customFormat="1">
      <c r="A70" s="607" t="s">
        <v>503</v>
      </c>
      <c r="B70" s="607" t="s">
        <v>45</v>
      </c>
      <c r="C70" s="690"/>
      <c r="D70" s="795"/>
      <c r="E70" s="581"/>
      <c r="F70" s="581"/>
      <c r="G70" s="581"/>
      <c r="H70" s="581"/>
      <c r="I70" s="949"/>
      <c r="J70" s="949"/>
      <c r="K70" s="777"/>
      <c r="L70" s="575"/>
      <c r="M70" s="581"/>
      <c r="N70" s="575"/>
      <c r="O70" s="575"/>
      <c r="P70" s="575"/>
      <c r="Q70" s="583"/>
      <c r="R70" s="797"/>
      <c r="S70" s="575"/>
      <c r="T70" s="581"/>
      <c r="U70" s="575"/>
      <c r="V70" s="575"/>
      <c r="W70" s="575"/>
      <c r="X70" s="575"/>
      <c r="Y70" s="809"/>
      <c r="Z70" s="575"/>
      <c r="AA70" s="581"/>
      <c r="AB70" s="575"/>
      <c r="AC70" s="575"/>
      <c r="AD70" s="575"/>
      <c r="AE70" s="753"/>
      <c r="AF70" s="809"/>
      <c r="AG70" s="588"/>
      <c r="AH70" s="842"/>
      <c r="AI70" s="738">
        <v>0</v>
      </c>
      <c r="AJ70" s="843"/>
      <c r="AK70" s="949">
        <v>0</v>
      </c>
      <c r="AL70" s="581">
        <v>0</v>
      </c>
      <c r="AM70" s="746"/>
      <c r="AN70" s="743">
        <v>0</v>
      </c>
    </row>
    <row r="71" spans="1:40" s="560" customFormat="1">
      <c r="A71" s="604" t="s">
        <v>681</v>
      </c>
      <c r="B71" s="604" t="s">
        <v>1142</v>
      </c>
      <c r="C71" s="614" t="s">
        <v>39</v>
      </c>
      <c r="D71" s="795"/>
      <c r="E71" s="581"/>
      <c r="F71" s="581"/>
      <c r="G71" s="581"/>
      <c r="H71" s="581"/>
      <c r="I71" s="949"/>
      <c r="J71" s="949"/>
      <c r="K71" s="777"/>
      <c r="L71" s="575"/>
      <c r="M71" s="581"/>
      <c r="N71" s="575"/>
      <c r="O71" s="575"/>
      <c r="P71" s="575"/>
      <c r="Q71" s="583"/>
      <c r="R71" s="797"/>
      <c r="S71" s="575"/>
      <c r="T71" s="581"/>
      <c r="U71" s="575"/>
      <c r="V71" s="1039">
        <v>0.67275000000000007</v>
      </c>
      <c r="W71" s="575"/>
      <c r="X71" s="575"/>
      <c r="Y71" s="809"/>
      <c r="Z71" s="575"/>
      <c r="AA71" s="1035">
        <v>6.1099999999999994</v>
      </c>
      <c r="AB71" s="575"/>
      <c r="AC71" s="575"/>
      <c r="AD71" s="575"/>
      <c r="AE71" s="753"/>
      <c r="AF71" s="809"/>
      <c r="AG71" s="588"/>
      <c r="AH71" s="842"/>
      <c r="AI71" s="1100">
        <v>6.78</v>
      </c>
      <c r="AJ71" s="843"/>
      <c r="AK71" s="949">
        <v>0</v>
      </c>
      <c r="AL71" s="581">
        <v>6.78</v>
      </c>
      <c r="AM71" s="746" t="s">
        <v>1542</v>
      </c>
      <c r="AN71" s="743">
        <v>33.08</v>
      </c>
    </row>
    <row r="72" spans="1:40" s="560" customFormat="1">
      <c r="A72" s="604" t="s">
        <v>684</v>
      </c>
      <c r="B72" s="604" t="s">
        <v>1145</v>
      </c>
      <c r="C72" s="614" t="s">
        <v>36</v>
      </c>
      <c r="D72" s="795"/>
      <c r="E72" s="581"/>
      <c r="F72" s="581"/>
      <c r="G72" s="581"/>
      <c r="H72" s="581"/>
      <c r="I72" s="949"/>
      <c r="J72" s="949"/>
      <c r="K72" s="777"/>
      <c r="L72" s="575"/>
      <c r="M72" s="581"/>
      <c r="N72" s="575"/>
      <c r="O72" s="575"/>
      <c r="P72" s="575"/>
      <c r="Q72" s="583"/>
      <c r="R72" s="797"/>
      <c r="S72" s="575"/>
      <c r="T72" s="581"/>
      <c r="U72" s="575"/>
      <c r="V72" s="575"/>
      <c r="W72" s="575"/>
      <c r="X72" s="575"/>
      <c r="Y72" s="809"/>
      <c r="Z72" s="1039">
        <v>22.03</v>
      </c>
      <c r="AA72" s="581"/>
      <c r="AB72" s="575"/>
      <c r="AC72" s="575"/>
      <c r="AD72" s="575"/>
      <c r="AE72" s="753"/>
      <c r="AF72" s="809"/>
      <c r="AG72" s="588"/>
      <c r="AH72" s="842"/>
      <c r="AI72" s="1100">
        <v>22.03</v>
      </c>
      <c r="AJ72" s="843"/>
      <c r="AK72" s="949">
        <v>0</v>
      </c>
      <c r="AL72" s="581">
        <v>22.03</v>
      </c>
      <c r="AM72" s="746" t="s">
        <v>1545</v>
      </c>
      <c r="AN72" s="743">
        <v>0</v>
      </c>
    </row>
    <row r="73" spans="1:40" s="560" customFormat="1">
      <c r="A73" s="604" t="s">
        <v>685</v>
      </c>
      <c r="B73" s="604" t="s">
        <v>1146</v>
      </c>
      <c r="C73" s="614" t="s">
        <v>39</v>
      </c>
      <c r="D73" s="881"/>
      <c r="E73" s="587"/>
      <c r="F73" s="587"/>
      <c r="G73" s="587"/>
      <c r="H73" s="581"/>
      <c r="I73" s="949"/>
      <c r="J73" s="949"/>
      <c r="K73" s="777"/>
      <c r="L73" s="583"/>
      <c r="M73" s="581"/>
      <c r="N73" s="575"/>
      <c r="O73" s="575"/>
      <c r="P73" s="575"/>
      <c r="Q73" s="583"/>
      <c r="R73" s="797"/>
      <c r="S73" s="575"/>
      <c r="T73" s="581"/>
      <c r="U73" s="575"/>
      <c r="V73" s="575"/>
      <c r="W73" s="575"/>
      <c r="X73" s="575"/>
      <c r="Y73" s="809"/>
      <c r="Z73" s="575"/>
      <c r="AA73" s="1035">
        <v>7.9400000000000048</v>
      </c>
      <c r="AB73" s="575"/>
      <c r="AC73" s="575"/>
      <c r="AD73" s="575"/>
      <c r="AE73" s="753"/>
      <c r="AF73" s="809"/>
      <c r="AG73" s="588"/>
      <c r="AH73" s="842"/>
      <c r="AI73" s="1100">
        <v>7.94</v>
      </c>
      <c r="AJ73" s="843"/>
      <c r="AK73" s="949">
        <v>0</v>
      </c>
      <c r="AL73" s="581">
        <v>7.94</v>
      </c>
      <c r="AM73" s="746" t="s">
        <v>1546</v>
      </c>
      <c r="AN73" s="743">
        <v>33.620000000000005</v>
      </c>
    </row>
    <row r="74" spans="1:40" s="560" customFormat="1">
      <c r="A74" s="607" t="s">
        <v>687</v>
      </c>
      <c r="B74" s="607" t="s">
        <v>1148</v>
      </c>
      <c r="C74" s="690"/>
      <c r="D74" s="795"/>
      <c r="E74" s="581"/>
      <c r="F74" s="581"/>
      <c r="G74" s="581"/>
      <c r="H74" s="581"/>
      <c r="I74" s="949"/>
      <c r="J74" s="949"/>
      <c r="K74" s="777"/>
      <c r="L74" s="575"/>
      <c r="M74" s="581"/>
      <c r="N74" s="575"/>
      <c r="O74" s="575"/>
      <c r="P74" s="575"/>
      <c r="Q74" s="583"/>
      <c r="R74" s="797"/>
      <c r="S74" s="575"/>
      <c r="T74" s="581"/>
      <c r="U74" s="575"/>
      <c r="V74" s="575"/>
      <c r="W74" s="575"/>
      <c r="X74" s="575"/>
      <c r="Y74" s="809"/>
      <c r="Z74" s="575"/>
      <c r="AA74" s="581"/>
      <c r="AB74" s="575"/>
      <c r="AC74" s="575"/>
      <c r="AD74" s="575"/>
      <c r="AE74" s="753"/>
      <c r="AF74" s="809"/>
      <c r="AG74" s="588"/>
      <c r="AH74" s="842"/>
      <c r="AI74" s="738">
        <v>0</v>
      </c>
      <c r="AJ74" s="843"/>
      <c r="AK74" s="949">
        <v>0</v>
      </c>
      <c r="AL74" s="581">
        <v>0</v>
      </c>
      <c r="AM74" s="746"/>
      <c r="AN74" s="743">
        <v>0</v>
      </c>
    </row>
    <row r="75" spans="1:40" s="560" customFormat="1">
      <c r="A75" s="604" t="s">
        <v>689</v>
      </c>
      <c r="B75" s="604" t="s">
        <v>1189</v>
      </c>
      <c r="C75" s="614" t="s">
        <v>36</v>
      </c>
      <c r="D75" s="795"/>
      <c r="E75" s="581"/>
      <c r="F75" s="581"/>
      <c r="G75" s="581"/>
      <c r="H75" s="581"/>
      <c r="I75" s="949"/>
      <c r="J75" s="949"/>
      <c r="K75" s="777"/>
      <c r="L75" s="575"/>
      <c r="M75" s="581"/>
      <c r="N75" s="575"/>
      <c r="O75" s="575"/>
      <c r="P75" s="575"/>
      <c r="Q75" s="583"/>
      <c r="R75" s="797"/>
      <c r="S75" s="575"/>
      <c r="T75" s="581"/>
      <c r="U75" s="575"/>
      <c r="V75" s="575"/>
      <c r="W75" s="575"/>
      <c r="X75" s="575"/>
      <c r="Y75" s="809"/>
      <c r="Z75" s="575"/>
      <c r="AA75" s="1035">
        <v>0.20999999999999908</v>
      </c>
      <c r="AB75" s="575"/>
      <c r="AC75" s="575"/>
      <c r="AD75" s="575"/>
      <c r="AE75" s="753"/>
      <c r="AF75" s="809"/>
      <c r="AG75" s="588"/>
      <c r="AH75" s="842"/>
      <c r="AI75" s="1100">
        <v>0.21</v>
      </c>
      <c r="AJ75" s="843"/>
      <c r="AK75" s="949">
        <v>0</v>
      </c>
      <c r="AL75" s="581">
        <v>0.21</v>
      </c>
      <c r="AM75" s="746" t="s">
        <v>1548</v>
      </c>
      <c r="AN75" s="743">
        <v>14.579999999999998</v>
      </c>
    </row>
    <row r="76" spans="1:40" s="560" customFormat="1">
      <c r="A76" s="604" t="s">
        <v>690</v>
      </c>
      <c r="B76" s="604" t="s">
        <v>1190</v>
      </c>
      <c r="C76" s="614" t="s">
        <v>39</v>
      </c>
      <c r="D76" s="795"/>
      <c r="E76" s="581"/>
      <c r="F76" s="581"/>
      <c r="G76" s="581"/>
      <c r="H76" s="581"/>
      <c r="I76" s="949"/>
      <c r="J76" s="949"/>
      <c r="K76" s="777"/>
      <c r="L76" s="575"/>
      <c r="M76" s="581"/>
      <c r="N76" s="575"/>
      <c r="O76" s="575"/>
      <c r="P76" s="575"/>
      <c r="Q76" s="583"/>
      <c r="R76" s="797"/>
      <c r="S76" s="575"/>
      <c r="T76" s="581"/>
      <c r="U76" s="575"/>
      <c r="V76" s="1039">
        <v>0.87749999999999995</v>
      </c>
      <c r="W76" s="575"/>
      <c r="X76" s="575"/>
      <c r="Y76" s="809"/>
      <c r="Z76" s="575"/>
      <c r="AA76" s="581"/>
      <c r="AB76" s="575"/>
      <c r="AC76" s="575"/>
      <c r="AD76" s="575"/>
      <c r="AE76" s="753"/>
      <c r="AF76" s="809"/>
      <c r="AG76" s="588"/>
      <c r="AH76" s="842"/>
      <c r="AI76" s="1100">
        <v>0.88</v>
      </c>
      <c r="AJ76" s="843"/>
      <c r="AK76" s="949">
        <v>0</v>
      </c>
      <c r="AL76" s="581">
        <v>0.88</v>
      </c>
      <c r="AM76" s="746" t="s">
        <v>1549</v>
      </c>
      <c r="AN76" s="743">
        <v>2.3400000000000003</v>
      </c>
    </row>
    <row r="77" spans="1:40" s="560" customFormat="1">
      <c r="A77" s="604" t="s">
        <v>691</v>
      </c>
      <c r="B77" s="604" t="s">
        <v>1191</v>
      </c>
      <c r="C77" s="614" t="s">
        <v>39</v>
      </c>
      <c r="D77" s="795"/>
      <c r="E77" s="581"/>
      <c r="F77" s="581"/>
      <c r="G77" s="581"/>
      <c r="H77" s="581"/>
      <c r="I77" s="949"/>
      <c r="J77" s="949"/>
      <c r="K77" s="777"/>
      <c r="L77" s="575"/>
      <c r="M77" s="581"/>
      <c r="N77" s="575"/>
      <c r="O77" s="575"/>
      <c r="P77" s="575"/>
      <c r="Q77" s="583"/>
      <c r="R77" s="797"/>
      <c r="S77" s="575"/>
      <c r="T77" s="581"/>
      <c r="U77" s="575"/>
      <c r="V77" s="575"/>
      <c r="W77" s="575"/>
      <c r="X77" s="575"/>
      <c r="Y77" s="809"/>
      <c r="Z77" s="575"/>
      <c r="AA77" s="581"/>
      <c r="AB77" s="1090">
        <v>0.14249999999999999</v>
      </c>
      <c r="AC77" s="575"/>
      <c r="AD77" s="575"/>
      <c r="AE77" s="753"/>
      <c r="AF77" s="809"/>
      <c r="AG77" s="588"/>
      <c r="AH77" s="842"/>
      <c r="AI77" s="1100">
        <v>0.14000000000000001</v>
      </c>
      <c r="AJ77" s="843"/>
      <c r="AK77" s="949">
        <v>0</v>
      </c>
      <c r="AL77" s="581">
        <v>0.14000000000000001</v>
      </c>
      <c r="AM77" s="746" t="s">
        <v>1550</v>
      </c>
      <c r="AN77" s="743">
        <v>1.4700000000000002</v>
      </c>
    </row>
    <row r="78" spans="1:40" s="560" customFormat="1">
      <c r="A78" s="604" t="s">
        <v>692</v>
      </c>
      <c r="B78" s="604" t="s">
        <v>1153</v>
      </c>
      <c r="C78" s="614" t="s">
        <v>36</v>
      </c>
      <c r="D78" s="795"/>
      <c r="E78" s="581"/>
      <c r="F78" s="581"/>
      <c r="G78" s="581"/>
      <c r="H78" s="581"/>
      <c r="I78" s="949"/>
      <c r="J78" s="949"/>
      <c r="K78" s="777"/>
      <c r="L78" s="575"/>
      <c r="M78" s="581"/>
      <c r="N78" s="575"/>
      <c r="O78" s="575"/>
      <c r="P78" s="575"/>
      <c r="Q78" s="583"/>
      <c r="R78" s="797"/>
      <c r="S78" s="575"/>
      <c r="T78" s="581"/>
      <c r="U78" s="575"/>
      <c r="V78" s="575"/>
      <c r="W78" s="575"/>
      <c r="X78" s="575"/>
      <c r="Y78" s="809"/>
      <c r="Z78" s="575"/>
      <c r="AA78" s="581"/>
      <c r="AB78" s="1090">
        <v>2.0499999999999998</v>
      </c>
      <c r="AC78" s="575"/>
      <c r="AD78" s="575"/>
      <c r="AE78" s="753"/>
      <c r="AF78" s="809"/>
      <c r="AG78" s="588"/>
      <c r="AH78" s="842"/>
      <c r="AI78" s="1100">
        <v>2.0499999999999998</v>
      </c>
      <c r="AJ78" s="843"/>
      <c r="AK78" s="949">
        <v>0</v>
      </c>
      <c r="AL78" s="581">
        <v>2.0499999999999998</v>
      </c>
      <c r="AM78" s="746" t="s">
        <v>1551</v>
      </c>
      <c r="AN78" s="743">
        <v>40.35</v>
      </c>
    </row>
    <row r="79" spans="1:40" s="560" customFormat="1">
      <c r="A79" s="607" t="s">
        <v>694</v>
      </c>
      <c r="B79" s="607" t="s">
        <v>1155</v>
      </c>
      <c r="C79" s="690"/>
      <c r="D79" s="795"/>
      <c r="E79" s="581"/>
      <c r="F79" s="581"/>
      <c r="G79" s="581"/>
      <c r="H79" s="581"/>
      <c r="I79" s="949"/>
      <c r="J79" s="949"/>
      <c r="K79" s="777"/>
      <c r="L79" s="575"/>
      <c r="M79" s="581"/>
      <c r="N79" s="575"/>
      <c r="O79" s="575"/>
      <c r="P79" s="575"/>
      <c r="Q79" s="583"/>
      <c r="R79" s="797"/>
      <c r="S79" s="575"/>
      <c r="T79" s="581"/>
      <c r="U79" s="575"/>
      <c r="V79" s="575"/>
      <c r="W79" s="575"/>
      <c r="X79" s="575"/>
      <c r="Y79" s="809"/>
      <c r="Z79" s="575"/>
      <c r="AA79" s="581"/>
      <c r="AB79" s="575"/>
      <c r="AC79" s="575"/>
      <c r="AD79" s="575"/>
      <c r="AE79" s="753"/>
      <c r="AF79" s="809"/>
      <c r="AG79" s="588"/>
      <c r="AH79" s="842"/>
      <c r="AI79" s="738">
        <v>0</v>
      </c>
      <c r="AJ79" s="843"/>
      <c r="AK79" s="949">
        <v>0</v>
      </c>
      <c r="AL79" s="581">
        <v>0</v>
      </c>
      <c r="AM79" s="746"/>
      <c r="AN79" s="743">
        <v>0</v>
      </c>
    </row>
    <row r="80" spans="1:40" s="560" customFormat="1">
      <c r="A80" s="604" t="s">
        <v>706</v>
      </c>
      <c r="B80" s="604" t="s">
        <v>1167</v>
      </c>
      <c r="C80" s="690"/>
      <c r="D80" s="795"/>
      <c r="E80" s="581"/>
      <c r="F80" s="581"/>
      <c r="G80" s="581"/>
      <c r="H80" s="581"/>
      <c r="I80" s="949"/>
      <c r="J80" s="949"/>
      <c r="K80" s="777"/>
      <c r="L80" s="575"/>
      <c r="M80" s="581"/>
      <c r="N80" s="575"/>
      <c r="O80" s="575"/>
      <c r="P80" s="575"/>
      <c r="Q80" s="583"/>
      <c r="R80" s="797"/>
      <c r="S80" s="575"/>
      <c r="T80" s="581"/>
      <c r="U80" s="575"/>
      <c r="V80" s="575"/>
      <c r="W80" s="575"/>
      <c r="X80" s="575"/>
      <c r="Y80" s="809"/>
      <c r="Z80" s="575"/>
      <c r="AA80" s="581"/>
      <c r="AB80" s="575"/>
      <c r="AC80" s="575"/>
      <c r="AD80" s="575"/>
      <c r="AE80" s="753"/>
      <c r="AF80" s="809"/>
      <c r="AG80" s="588"/>
      <c r="AH80" s="842"/>
      <c r="AI80" s="738">
        <v>0</v>
      </c>
      <c r="AJ80" s="843"/>
      <c r="AK80" s="949">
        <v>0</v>
      </c>
      <c r="AL80" s="581">
        <v>0</v>
      </c>
      <c r="AM80" s="746"/>
      <c r="AN80" s="743">
        <v>0</v>
      </c>
    </row>
    <row r="81" spans="1:40" s="560" customFormat="1">
      <c r="A81" s="604" t="s">
        <v>707</v>
      </c>
      <c r="B81" s="604" t="s">
        <v>1168</v>
      </c>
      <c r="C81" s="614" t="s">
        <v>39</v>
      </c>
      <c r="D81" s="795"/>
      <c r="E81" s="581"/>
      <c r="F81" s="581"/>
      <c r="G81" s="581"/>
      <c r="H81" s="581"/>
      <c r="I81" s="949"/>
      <c r="J81" s="949"/>
      <c r="K81" s="777"/>
      <c r="L81" s="575"/>
      <c r="M81" s="581"/>
      <c r="N81" s="575"/>
      <c r="O81" s="575"/>
      <c r="P81" s="575"/>
      <c r="Q81" s="583"/>
      <c r="R81" s="797"/>
      <c r="S81" s="575"/>
      <c r="T81" s="581"/>
      <c r="U81" s="575"/>
      <c r="V81" s="575"/>
      <c r="W81" s="575"/>
      <c r="X81" s="575"/>
      <c r="Y81" s="809"/>
      <c r="Z81" s="575"/>
      <c r="AA81" s="581"/>
      <c r="AB81" s="1090">
        <v>1.4868749999999999</v>
      </c>
      <c r="AC81" s="575"/>
      <c r="AD81" s="575"/>
      <c r="AE81" s="753"/>
      <c r="AF81" s="809"/>
      <c r="AG81" s="588"/>
      <c r="AH81" s="842"/>
      <c r="AI81" s="1100">
        <v>1.49</v>
      </c>
      <c r="AJ81" s="843"/>
      <c r="AK81" s="949">
        <v>0</v>
      </c>
      <c r="AL81" s="581">
        <v>1.49</v>
      </c>
      <c r="AM81" s="746" t="s">
        <v>1464</v>
      </c>
      <c r="AN81" s="743">
        <v>0</v>
      </c>
    </row>
    <row r="82" spans="1:40" s="560" customFormat="1">
      <c r="A82" s="604" t="s">
        <v>708</v>
      </c>
      <c r="B82" s="604" t="s">
        <v>1169</v>
      </c>
      <c r="C82" s="614" t="s">
        <v>36</v>
      </c>
      <c r="D82" s="795"/>
      <c r="E82" s="581"/>
      <c r="F82" s="581"/>
      <c r="G82" s="581"/>
      <c r="H82" s="581"/>
      <c r="I82" s="949"/>
      <c r="J82" s="949"/>
      <c r="K82" s="777"/>
      <c r="L82" s="575"/>
      <c r="M82" s="581"/>
      <c r="N82" s="575"/>
      <c r="O82" s="575"/>
      <c r="P82" s="575"/>
      <c r="Q82" s="583"/>
      <c r="R82" s="797"/>
      <c r="S82" s="575"/>
      <c r="T82" s="581"/>
      <c r="U82" s="575"/>
      <c r="V82" s="575"/>
      <c r="W82" s="575"/>
      <c r="X82" s="575"/>
      <c r="Y82" s="809"/>
      <c r="Z82" s="575"/>
      <c r="AA82" s="1091">
        <v>11.025</v>
      </c>
      <c r="AB82" s="1090">
        <v>8.6849999999999987</v>
      </c>
      <c r="AC82" s="575"/>
      <c r="AD82" s="575"/>
      <c r="AE82" s="753"/>
      <c r="AF82" s="809"/>
      <c r="AG82" s="588"/>
      <c r="AH82" s="842"/>
      <c r="AI82" s="1100">
        <v>19.71</v>
      </c>
      <c r="AJ82" s="843"/>
      <c r="AK82" s="949">
        <v>0</v>
      </c>
      <c r="AL82" s="581">
        <v>19.71</v>
      </c>
      <c r="AM82" s="746" t="s">
        <v>1465</v>
      </c>
      <c r="AN82" s="743">
        <v>0</v>
      </c>
    </row>
    <row r="83" spans="1:40" s="560" customFormat="1">
      <c r="A83" s="604" t="s">
        <v>709</v>
      </c>
      <c r="B83" s="604" t="s">
        <v>1170</v>
      </c>
      <c r="C83" s="614" t="s">
        <v>47</v>
      </c>
      <c r="D83" s="795"/>
      <c r="E83" s="581"/>
      <c r="F83" s="581"/>
      <c r="G83" s="581"/>
      <c r="H83" s="581"/>
      <c r="I83" s="949"/>
      <c r="J83" s="949"/>
      <c r="K83" s="777"/>
      <c r="L83" s="575"/>
      <c r="M83" s="581"/>
      <c r="N83" s="1039">
        <v>87.12</v>
      </c>
      <c r="O83" s="583"/>
      <c r="P83" s="575"/>
      <c r="Q83" s="583"/>
      <c r="R83" s="797"/>
      <c r="S83" s="575"/>
      <c r="T83" s="581"/>
      <c r="U83" s="575"/>
      <c r="V83" s="575"/>
      <c r="W83" s="575"/>
      <c r="X83" s="575"/>
      <c r="Y83" s="809"/>
      <c r="Z83" s="575"/>
      <c r="AA83" s="581"/>
      <c r="AB83" s="1039">
        <v>97.86</v>
      </c>
      <c r="AC83" s="1039">
        <v>95</v>
      </c>
      <c r="AD83" s="1039">
        <v>95</v>
      </c>
      <c r="AE83" s="1039">
        <v>95</v>
      </c>
      <c r="AF83" s="809"/>
      <c r="AG83" s="1034">
        <v>95</v>
      </c>
      <c r="AH83" s="1084">
        <v>95</v>
      </c>
      <c r="AI83" s="1100">
        <v>659.98</v>
      </c>
      <c r="AJ83" s="843"/>
      <c r="AK83" s="949">
        <v>0</v>
      </c>
      <c r="AL83" s="581">
        <v>659.98</v>
      </c>
      <c r="AM83" s="746" t="s">
        <v>1466</v>
      </c>
      <c r="AN83" s="743">
        <v>0</v>
      </c>
    </row>
    <row r="84" spans="1:40" s="560" customFormat="1">
      <c r="A84" s="604" t="s">
        <v>719</v>
      </c>
      <c r="B84" s="604" t="s">
        <v>1180</v>
      </c>
      <c r="C84" s="690"/>
      <c r="D84" s="795"/>
      <c r="E84" s="581"/>
      <c r="F84" s="581"/>
      <c r="G84" s="581"/>
      <c r="H84" s="581"/>
      <c r="I84" s="949"/>
      <c r="J84" s="949"/>
      <c r="K84" s="777"/>
      <c r="L84" s="575"/>
      <c r="M84" s="581"/>
      <c r="N84" s="575"/>
      <c r="O84" s="575"/>
      <c r="P84" s="575"/>
      <c r="Q84" s="583"/>
      <c r="R84" s="797"/>
      <c r="S84" s="575"/>
      <c r="T84" s="581"/>
      <c r="U84" s="575"/>
      <c r="V84" s="575"/>
      <c r="W84" s="575"/>
      <c r="X84" s="575"/>
      <c r="Y84" s="809"/>
      <c r="Z84" s="575"/>
      <c r="AA84" s="581"/>
      <c r="AB84" s="575"/>
      <c r="AC84" s="575"/>
      <c r="AD84" s="575"/>
      <c r="AE84" s="753"/>
      <c r="AF84" s="809"/>
      <c r="AG84" s="588"/>
      <c r="AH84" s="842"/>
      <c r="AI84" s="738">
        <v>0</v>
      </c>
      <c r="AJ84" s="843"/>
      <c r="AK84" s="949">
        <v>0</v>
      </c>
      <c r="AL84" s="581">
        <v>0</v>
      </c>
      <c r="AM84" s="746"/>
      <c r="AN84" s="743">
        <v>0</v>
      </c>
    </row>
    <row r="85" spans="1:40" s="560" customFormat="1">
      <c r="A85" s="604" t="s">
        <v>720</v>
      </c>
      <c r="B85" s="604" t="s">
        <v>1181</v>
      </c>
      <c r="C85" s="614" t="s">
        <v>39</v>
      </c>
      <c r="D85" s="795"/>
      <c r="E85" s="581"/>
      <c r="F85" s="581"/>
      <c r="G85" s="581"/>
      <c r="H85" s="581"/>
      <c r="I85" s="949"/>
      <c r="J85" s="949"/>
      <c r="K85" s="777"/>
      <c r="L85" s="575"/>
      <c r="M85" s="581"/>
      <c r="N85" s="575"/>
      <c r="O85" s="575"/>
      <c r="P85" s="575"/>
      <c r="Q85" s="583"/>
      <c r="R85" s="797"/>
      <c r="S85" s="575"/>
      <c r="T85" s="1080">
        <v>0.76</v>
      </c>
      <c r="U85" s="575"/>
      <c r="V85" s="575"/>
      <c r="W85" s="575"/>
      <c r="X85" s="575"/>
      <c r="Y85" s="809"/>
      <c r="Z85" s="575"/>
      <c r="AA85" s="581"/>
      <c r="AB85" s="575"/>
      <c r="AC85" s="575"/>
      <c r="AD85" s="575"/>
      <c r="AE85" s="753"/>
      <c r="AF85" s="809"/>
      <c r="AG85" s="588"/>
      <c r="AH85" s="842"/>
      <c r="AI85" s="1100">
        <v>0.76</v>
      </c>
      <c r="AJ85" s="843"/>
      <c r="AK85" s="949">
        <v>0</v>
      </c>
      <c r="AL85" s="581">
        <v>0.76</v>
      </c>
      <c r="AM85" s="746" t="s">
        <v>1564</v>
      </c>
      <c r="AN85" s="743">
        <v>0.27</v>
      </c>
    </row>
    <row r="86" spans="1:40" s="560" customFormat="1">
      <c r="A86" s="604" t="s">
        <v>721</v>
      </c>
      <c r="B86" s="604" t="s">
        <v>1182</v>
      </c>
      <c r="C86" s="614" t="s">
        <v>36</v>
      </c>
      <c r="D86" s="795"/>
      <c r="E86" s="581"/>
      <c r="F86" s="581"/>
      <c r="G86" s="581"/>
      <c r="H86" s="581"/>
      <c r="I86" s="949"/>
      <c r="J86" s="949"/>
      <c r="K86" s="777"/>
      <c r="L86" s="575"/>
      <c r="M86" s="581"/>
      <c r="N86" s="575"/>
      <c r="O86" s="575"/>
      <c r="P86" s="575"/>
      <c r="Q86" s="583"/>
      <c r="R86" s="797"/>
      <c r="S86" s="575"/>
      <c r="T86" s="1080">
        <v>12.160000000000002</v>
      </c>
      <c r="U86" s="575"/>
      <c r="V86" s="575"/>
      <c r="W86" s="575"/>
      <c r="X86" s="575"/>
      <c r="Y86" s="809"/>
      <c r="Z86" s="575"/>
      <c r="AA86" s="581"/>
      <c r="AB86" s="575"/>
      <c r="AC86" s="575"/>
      <c r="AD86" s="575"/>
      <c r="AE86" s="753"/>
      <c r="AF86" s="809"/>
      <c r="AG86" s="588"/>
      <c r="AH86" s="842"/>
      <c r="AI86" s="1100">
        <v>12.16</v>
      </c>
      <c r="AJ86" s="843"/>
      <c r="AK86" s="949">
        <v>0</v>
      </c>
      <c r="AL86" s="581">
        <v>12.16</v>
      </c>
      <c r="AM86" s="746" t="s">
        <v>1565</v>
      </c>
      <c r="AN86" s="743">
        <v>1.58</v>
      </c>
    </row>
    <row r="87" spans="1:40" s="560" customFormat="1">
      <c r="A87" s="604" t="s">
        <v>722</v>
      </c>
      <c r="B87" s="604" t="s">
        <v>1183</v>
      </c>
      <c r="C87" s="614" t="s">
        <v>47</v>
      </c>
      <c r="D87" s="795"/>
      <c r="E87" s="581"/>
      <c r="F87" s="581"/>
      <c r="G87" s="581"/>
      <c r="H87" s="581"/>
      <c r="I87" s="949"/>
      <c r="J87" s="949"/>
      <c r="K87" s="777"/>
      <c r="L87" s="575"/>
      <c r="M87" s="581"/>
      <c r="N87" s="575"/>
      <c r="O87" s="575"/>
      <c r="P87" s="575"/>
      <c r="Q87" s="1075">
        <v>26.73</v>
      </c>
      <c r="R87" s="797"/>
      <c r="S87" s="575"/>
      <c r="T87" s="581"/>
      <c r="U87" s="575"/>
      <c r="V87" s="575"/>
      <c r="W87" s="575"/>
      <c r="X87" s="575"/>
      <c r="Y87" s="809"/>
      <c r="Z87" s="575"/>
      <c r="AA87" s="581"/>
      <c r="AB87" s="575"/>
      <c r="AC87" s="575"/>
      <c r="AD87" s="575"/>
      <c r="AE87" s="753"/>
      <c r="AF87" s="809"/>
      <c r="AG87" s="588"/>
      <c r="AH87" s="842"/>
      <c r="AI87" s="1100">
        <v>26.73</v>
      </c>
      <c r="AJ87" s="843"/>
      <c r="AK87" s="949">
        <v>0</v>
      </c>
      <c r="AL87" s="581">
        <v>26.73</v>
      </c>
      <c r="AM87" s="746" t="s">
        <v>1566</v>
      </c>
      <c r="AN87" s="743">
        <v>38.61999999999999</v>
      </c>
    </row>
    <row r="88" spans="1:40" s="560" customFormat="1">
      <c r="A88" s="607" t="s">
        <v>725</v>
      </c>
      <c r="B88" s="607" t="s">
        <v>1186</v>
      </c>
      <c r="C88" s="614"/>
      <c r="D88" s="795"/>
      <c r="E88" s="581"/>
      <c r="F88" s="581"/>
      <c r="G88" s="581"/>
      <c r="H88" s="581"/>
      <c r="I88" s="949"/>
      <c r="J88" s="949"/>
      <c r="K88" s="777"/>
      <c r="L88" s="575"/>
      <c r="M88" s="581"/>
      <c r="N88" s="575"/>
      <c r="O88" s="575"/>
      <c r="P88" s="575"/>
      <c r="Q88" s="583"/>
      <c r="R88" s="797"/>
      <c r="S88" s="575"/>
      <c r="T88" s="581"/>
      <c r="U88" s="575"/>
      <c r="V88" s="575"/>
      <c r="W88" s="575"/>
      <c r="X88" s="575"/>
      <c r="Y88" s="809"/>
      <c r="Z88" s="575"/>
      <c r="AA88" s="581"/>
      <c r="AB88" s="575"/>
      <c r="AC88" s="575"/>
      <c r="AD88" s="575"/>
      <c r="AE88" s="753"/>
      <c r="AF88" s="809"/>
      <c r="AG88" s="588"/>
      <c r="AH88" s="842"/>
      <c r="AI88" s="738">
        <v>0</v>
      </c>
      <c r="AJ88" s="843"/>
      <c r="AK88" s="949">
        <v>0</v>
      </c>
      <c r="AL88" s="581">
        <v>0</v>
      </c>
      <c r="AM88" s="746"/>
      <c r="AN88" s="743">
        <v>0</v>
      </c>
    </row>
    <row r="89" spans="1:40" s="560" customFormat="1">
      <c r="A89" s="604" t="s">
        <v>726</v>
      </c>
      <c r="B89" s="604" t="s">
        <v>1187</v>
      </c>
      <c r="C89" s="614" t="s">
        <v>37</v>
      </c>
      <c r="D89" s="795"/>
      <c r="E89" s="581"/>
      <c r="F89" s="581"/>
      <c r="G89" s="581"/>
      <c r="H89" s="581"/>
      <c r="I89" s="949"/>
      <c r="J89" s="949"/>
      <c r="K89" s="777"/>
      <c r="L89" s="575"/>
      <c r="M89" s="581"/>
      <c r="N89" s="575"/>
      <c r="O89" s="575"/>
      <c r="P89" s="575"/>
      <c r="Q89" s="583"/>
      <c r="R89" s="797"/>
      <c r="S89" s="575"/>
      <c r="T89" s="581"/>
      <c r="U89" s="575"/>
      <c r="V89" s="575"/>
      <c r="W89" s="575"/>
      <c r="X89" s="575"/>
      <c r="Y89" s="809"/>
      <c r="Z89" s="575"/>
      <c r="AA89" s="581"/>
      <c r="AB89" s="575"/>
      <c r="AC89" s="575"/>
      <c r="AD89" s="575"/>
      <c r="AE89" s="753"/>
      <c r="AF89" s="809"/>
      <c r="AG89" s="588"/>
      <c r="AH89" s="1084">
        <v>46</v>
      </c>
      <c r="AI89" s="1100">
        <v>46</v>
      </c>
      <c r="AJ89" s="843"/>
      <c r="AK89" s="949">
        <v>0</v>
      </c>
      <c r="AL89" s="581">
        <v>46</v>
      </c>
      <c r="AM89" s="746" t="s">
        <v>1568</v>
      </c>
      <c r="AN89" s="743">
        <v>0</v>
      </c>
    </row>
    <row r="90" spans="1:40" s="560" customFormat="1">
      <c r="A90" s="604" t="s">
        <v>727</v>
      </c>
      <c r="B90" s="604" t="s">
        <v>224</v>
      </c>
      <c r="C90" s="614" t="s">
        <v>1436</v>
      </c>
      <c r="D90" s="795"/>
      <c r="E90" s="581"/>
      <c r="F90" s="581"/>
      <c r="G90" s="581"/>
      <c r="H90" s="581"/>
      <c r="I90" s="949"/>
      <c r="J90" s="949"/>
      <c r="K90" s="777"/>
      <c r="L90" s="575"/>
      <c r="M90" s="581"/>
      <c r="N90" s="575"/>
      <c r="O90" s="575"/>
      <c r="P90" s="575"/>
      <c r="Q90" s="583"/>
      <c r="R90" s="797"/>
      <c r="S90" s="575"/>
      <c r="T90" s="581"/>
      <c r="U90" s="575"/>
      <c r="V90" s="575"/>
      <c r="W90" s="575"/>
      <c r="X90" s="575"/>
      <c r="Y90" s="809"/>
      <c r="Z90" s="575"/>
      <c r="AA90" s="581"/>
      <c r="AB90" s="575"/>
      <c r="AC90" s="575"/>
      <c r="AD90" s="575"/>
      <c r="AE90" s="753"/>
      <c r="AF90" s="809"/>
      <c r="AG90" s="949"/>
      <c r="AH90" s="1093">
        <v>5</v>
      </c>
      <c r="AI90" s="1100">
        <v>5</v>
      </c>
      <c r="AJ90" s="843"/>
      <c r="AK90" s="949">
        <v>0</v>
      </c>
      <c r="AL90" s="581">
        <v>5</v>
      </c>
      <c r="AM90" s="746" t="s">
        <v>1479</v>
      </c>
      <c r="AN90" s="743">
        <v>10</v>
      </c>
    </row>
    <row r="91" spans="1:40" s="782" customFormat="1">
      <c r="A91" s="868" t="s">
        <v>728</v>
      </c>
      <c r="B91" s="869" t="s">
        <v>1197</v>
      </c>
      <c r="C91" s="898"/>
      <c r="D91" s="795"/>
      <c r="E91" s="581"/>
      <c r="F91" s="581"/>
      <c r="G91" s="581"/>
      <c r="H91" s="581"/>
      <c r="I91" s="949"/>
      <c r="J91" s="949"/>
      <c r="K91" s="777"/>
      <c r="L91" s="575"/>
      <c r="M91" s="581"/>
      <c r="N91" s="575"/>
      <c r="O91" s="575"/>
      <c r="P91" s="575"/>
      <c r="Q91" s="583"/>
      <c r="R91" s="797"/>
      <c r="S91" s="575"/>
      <c r="T91" s="581"/>
      <c r="U91" s="575"/>
      <c r="V91" s="575"/>
      <c r="W91" s="575"/>
      <c r="X91" s="575"/>
      <c r="Y91" s="809"/>
      <c r="Z91" s="575"/>
      <c r="AA91" s="581"/>
      <c r="AB91" s="575"/>
      <c r="AC91" s="575"/>
      <c r="AD91" s="575"/>
      <c r="AE91" s="753"/>
      <c r="AF91" s="809"/>
      <c r="AG91" s="588"/>
      <c r="AH91" s="842"/>
      <c r="AI91" s="738">
        <v>0</v>
      </c>
      <c r="AJ91" s="843"/>
      <c r="AK91" s="777">
        <v>0</v>
      </c>
      <c r="AL91" s="778">
        <v>0</v>
      </c>
      <c r="AM91" s="780"/>
      <c r="AN91" s="781">
        <v>0</v>
      </c>
    </row>
    <row r="92" spans="1:40" s="560" customFormat="1">
      <c r="A92" s="607" t="s">
        <v>729</v>
      </c>
      <c r="B92" s="607" t="s">
        <v>45</v>
      </c>
      <c r="C92" s="690"/>
      <c r="D92" s="795"/>
      <c r="E92" s="581"/>
      <c r="F92" s="581"/>
      <c r="G92" s="581"/>
      <c r="H92" s="581"/>
      <c r="I92" s="949"/>
      <c r="J92" s="949"/>
      <c r="K92" s="777"/>
      <c r="L92" s="575"/>
      <c r="M92" s="581"/>
      <c r="N92" s="575"/>
      <c r="O92" s="575"/>
      <c r="P92" s="575"/>
      <c r="Q92" s="583"/>
      <c r="R92" s="797"/>
      <c r="S92" s="575"/>
      <c r="T92" s="581"/>
      <c r="U92" s="575"/>
      <c r="V92" s="575"/>
      <c r="W92" s="575"/>
      <c r="X92" s="575"/>
      <c r="Y92" s="809"/>
      <c r="Z92" s="575"/>
      <c r="AA92" s="581"/>
      <c r="AB92" s="575"/>
      <c r="AC92" s="575"/>
      <c r="AD92" s="575"/>
      <c r="AE92" s="753"/>
      <c r="AF92" s="809"/>
      <c r="AG92" s="588"/>
      <c r="AH92" s="842"/>
      <c r="AI92" s="738">
        <v>0</v>
      </c>
      <c r="AJ92" s="843"/>
      <c r="AK92" s="949">
        <v>0</v>
      </c>
      <c r="AL92" s="581">
        <v>0</v>
      </c>
      <c r="AM92" s="746"/>
      <c r="AN92" s="743">
        <v>0</v>
      </c>
    </row>
    <row r="93" spans="1:40" s="560" customFormat="1">
      <c r="A93" s="604" t="s">
        <v>730</v>
      </c>
      <c r="B93" s="604" t="s">
        <v>1198</v>
      </c>
      <c r="C93" s="614" t="s">
        <v>39</v>
      </c>
      <c r="D93" s="795"/>
      <c r="E93" s="581"/>
      <c r="F93" s="581"/>
      <c r="G93" s="581"/>
      <c r="H93" s="581"/>
      <c r="I93" s="949"/>
      <c r="J93" s="949"/>
      <c r="K93" s="777"/>
      <c r="L93" s="583"/>
      <c r="M93" s="581"/>
      <c r="N93" s="583"/>
      <c r="O93" s="583"/>
      <c r="P93" s="583"/>
      <c r="Q93" s="583"/>
      <c r="R93" s="797"/>
      <c r="S93" s="583"/>
      <c r="T93" s="581"/>
      <c r="U93" s="583"/>
      <c r="V93" s="583"/>
      <c r="W93" s="583"/>
      <c r="X93" s="583"/>
      <c r="Y93" s="797"/>
      <c r="Z93" s="583"/>
      <c r="AA93" s="581"/>
      <c r="AB93" s="1039">
        <v>40.799999999999997</v>
      </c>
      <c r="AC93" s="1039">
        <v>40.799999999999997</v>
      </c>
      <c r="AD93" s="1039">
        <v>40.799999999999997</v>
      </c>
      <c r="AE93" s="1039">
        <v>40.799999999999997</v>
      </c>
      <c r="AF93" s="797"/>
      <c r="AG93" s="1039">
        <v>40.799999999999997</v>
      </c>
      <c r="AH93" s="1039">
        <v>40.799999999999997</v>
      </c>
      <c r="AI93" s="1100">
        <v>244.8</v>
      </c>
      <c r="AJ93" s="843"/>
      <c r="AK93" s="949">
        <v>0</v>
      </c>
      <c r="AL93" s="581">
        <v>244.8</v>
      </c>
      <c r="AM93" s="750" t="s">
        <v>1569</v>
      </c>
      <c r="AN93" s="743">
        <v>222.58999999999997</v>
      </c>
    </row>
    <row r="94" spans="1:40" s="560" customFormat="1">
      <c r="A94" s="607" t="s">
        <v>734</v>
      </c>
      <c r="B94" s="607" t="s">
        <v>1155</v>
      </c>
      <c r="C94" s="690"/>
      <c r="D94" s="795"/>
      <c r="E94" s="581"/>
      <c r="F94" s="581"/>
      <c r="G94" s="581"/>
      <c r="H94" s="581"/>
      <c r="I94" s="949"/>
      <c r="J94" s="949"/>
      <c r="K94" s="777"/>
      <c r="L94" s="575"/>
      <c r="M94" s="581"/>
      <c r="N94" s="583"/>
      <c r="O94" s="583"/>
      <c r="P94" s="575"/>
      <c r="Q94" s="583"/>
      <c r="R94" s="797"/>
      <c r="S94" s="575"/>
      <c r="T94" s="581"/>
      <c r="U94" s="575"/>
      <c r="V94" s="575"/>
      <c r="W94" s="575"/>
      <c r="X94" s="575"/>
      <c r="Y94" s="809"/>
      <c r="Z94" s="575"/>
      <c r="AA94" s="581"/>
      <c r="AB94" s="575"/>
      <c r="AC94" s="575"/>
      <c r="AD94" s="575"/>
      <c r="AE94" s="753"/>
      <c r="AF94" s="809"/>
      <c r="AG94" s="588"/>
      <c r="AH94" s="842"/>
      <c r="AI94" s="738">
        <v>0</v>
      </c>
      <c r="AJ94" s="843"/>
      <c r="AK94" s="949">
        <v>0</v>
      </c>
      <c r="AL94" s="581">
        <v>0</v>
      </c>
      <c r="AM94" s="750"/>
      <c r="AN94" s="743">
        <v>0</v>
      </c>
    </row>
    <row r="95" spans="1:40" s="560" customFormat="1">
      <c r="A95" s="604" t="s">
        <v>739</v>
      </c>
      <c r="B95" s="604" t="s">
        <v>1171</v>
      </c>
      <c r="C95" s="690"/>
      <c r="D95" s="795"/>
      <c r="E95" s="581"/>
      <c r="F95" s="581"/>
      <c r="G95" s="581"/>
      <c r="H95" s="581"/>
      <c r="I95" s="949"/>
      <c r="J95" s="949"/>
      <c r="K95" s="777"/>
      <c r="L95" s="575"/>
      <c r="M95" s="581"/>
      <c r="N95" s="583"/>
      <c r="O95" s="583"/>
      <c r="P95" s="575"/>
      <c r="Q95" s="583"/>
      <c r="R95" s="797"/>
      <c r="S95" s="575"/>
      <c r="T95" s="581"/>
      <c r="U95" s="575"/>
      <c r="V95" s="575"/>
      <c r="W95" s="575"/>
      <c r="X95" s="575"/>
      <c r="Y95" s="809"/>
      <c r="Z95" s="575"/>
      <c r="AA95" s="581"/>
      <c r="AB95" s="575"/>
      <c r="AC95" s="575"/>
      <c r="AD95" s="575"/>
      <c r="AE95" s="753"/>
      <c r="AF95" s="809"/>
      <c r="AG95" s="588"/>
      <c r="AH95" s="842"/>
      <c r="AI95" s="738">
        <v>0</v>
      </c>
      <c r="AJ95" s="843"/>
      <c r="AK95" s="949">
        <v>0</v>
      </c>
      <c r="AL95" s="581">
        <v>0</v>
      </c>
      <c r="AM95" s="750"/>
      <c r="AN95" s="743">
        <v>0</v>
      </c>
    </row>
    <row r="96" spans="1:40" s="560" customFormat="1">
      <c r="A96" s="604" t="s">
        <v>740</v>
      </c>
      <c r="B96" s="604" t="s">
        <v>1172</v>
      </c>
      <c r="C96" s="614" t="s">
        <v>39</v>
      </c>
      <c r="D96" s="795"/>
      <c r="E96" s="581"/>
      <c r="F96" s="581"/>
      <c r="G96" s="581"/>
      <c r="H96" s="581"/>
      <c r="I96" s="949"/>
      <c r="J96" s="949"/>
      <c r="K96" s="777"/>
      <c r="L96" s="575"/>
      <c r="M96" s="581"/>
      <c r="N96" s="575"/>
      <c r="O96" s="575"/>
      <c r="P96" s="575"/>
      <c r="Q96" s="583"/>
      <c r="R96" s="797"/>
      <c r="S96" s="575"/>
      <c r="T96" s="581"/>
      <c r="U96" s="575"/>
      <c r="V96" s="583"/>
      <c r="W96" s="575"/>
      <c r="X96" s="1039">
        <v>0.375</v>
      </c>
      <c r="Y96" s="797"/>
      <c r="Z96" s="575"/>
      <c r="AA96" s="581"/>
      <c r="AB96" s="575"/>
      <c r="AC96" s="575"/>
      <c r="AD96" s="575"/>
      <c r="AE96" s="583"/>
      <c r="AF96" s="809"/>
      <c r="AG96" s="588"/>
      <c r="AH96" s="842"/>
      <c r="AI96" s="1100">
        <v>0.38</v>
      </c>
      <c r="AJ96" s="843"/>
      <c r="AK96" s="949">
        <v>0</v>
      </c>
      <c r="AL96" s="581">
        <v>0.38</v>
      </c>
      <c r="AM96" s="750" t="s">
        <v>1575</v>
      </c>
      <c r="AN96" s="743">
        <v>3.8500000000000005</v>
      </c>
    </row>
    <row r="97" spans="1:40" s="560" customFormat="1">
      <c r="A97" s="604" t="s">
        <v>741</v>
      </c>
      <c r="B97" s="604" t="s">
        <v>1173</v>
      </c>
      <c r="C97" s="614" t="s">
        <v>36</v>
      </c>
      <c r="D97" s="795"/>
      <c r="E97" s="581"/>
      <c r="F97" s="581"/>
      <c r="G97" s="581"/>
      <c r="H97" s="581"/>
      <c r="I97" s="949"/>
      <c r="J97" s="949"/>
      <c r="K97" s="777"/>
      <c r="L97" s="575"/>
      <c r="M97" s="581"/>
      <c r="N97" s="575"/>
      <c r="O97" s="575"/>
      <c r="P97" s="575"/>
      <c r="Q97" s="583"/>
      <c r="R97" s="797"/>
      <c r="S97" s="575"/>
      <c r="T97" s="581"/>
      <c r="U97" s="583"/>
      <c r="V97" s="583"/>
      <c r="W97" s="575"/>
      <c r="X97" s="1039">
        <v>2.5500000000000003</v>
      </c>
      <c r="Y97" s="797"/>
      <c r="Z97" s="583"/>
      <c r="AA97" s="581"/>
      <c r="AB97" s="583"/>
      <c r="AC97" s="575"/>
      <c r="AD97" s="575"/>
      <c r="AE97" s="753"/>
      <c r="AF97" s="809"/>
      <c r="AG97" s="588"/>
      <c r="AH97" s="842"/>
      <c r="AI97" s="1100">
        <v>2.5499999999999998</v>
      </c>
      <c r="AJ97" s="843"/>
      <c r="AK97" s="949">
        <v>0</v>
      </c>
      <c r="AL97" s="581">
        <v>2.5499999999999998</v>
      </c>
      <c r="AM97" s="750" t="s">
        <v>1576</v>
      </c>
      <c r="AN97" s="743">
        <v>47.11</v>
      </c>
    </row>
    <row r="98" spans="1:40" s="560" customFormat="1">
      <c r="A98" s="604" t="s">
        <v>742</v>
      </c>
      <c r="B98" s="604" t="s">
        <v>1174</v>
      </c>
      <c r="C98" s="614" t="s">
        <v>47</v>
      </c>
      <c r="D98" s="795"/>
      <c r="E98" s="581"/>
      <c r="F98" s="581"/>
      <c r="G98" s="581"/>
      <c r="H98" s="581"/>
      <c r="I98" s="949"/>
      <c r="J98" s="949"/>
      <c r="K98" s="777"/>
      <c r="L98" s="575"/>
      <c r="M98" s="581"/>
      <c r="N98" s="575"/>
      <c r="O98" s="575"/>
      <c r="P98" s="575"/>
      <c r="Q98" s="583"/>
      <c r="R98" s="797"/>
      <c r="S98" s="575"/>
      <c r="T98" s="581"/>
      <c r="U98" s="583"/>
      <c r="V98" s="583"/>
      <c r="W98" s="575"/>
      <c r="X98" s="1039">
        <v>28.74</v>
      </c>
      <c r="Y98" s="809"/>
      <c r="Z98" s="575"/>
      <c r="AA98" s="581"/>
      <c r="AB98" s="575"/>
      <c r="AC98" s="583"/>
      <c r="AD98" s="575"/>
      <c r="AE98" s="753"/>
      <c r="AF98" s="809"/>
      <c r="AG98" s="588"/>
      <c r="AH98" s="842"/>
      <c r="AI98" s="1100">
        <v>28.74</v>
      </c>
      <c r="AJ98" s="843"/>
      <c r="AK98" s="949">
        <v>0</v>
      </c>
      <c r="AL98" s="581">
        <v>28.74</v>
      </c>
      <c r="AM98" s="750" t="s">
        <v>1577</v>
      </c>
      <c r="AN98" s="743">
        <v>454.28</v>
      </c>
    </row>
    <row r="99" spans="1:40" s="782" customFormat="1">
      <c r="A99" s="868" t="s">
        <v>749</v>
      </c>
      <c r="B99" s="869" t="s">
        <v>1203</v>
      </c>
      <c r="C99" s="898"/>
      <c r="D99" s="795"/>
      <c r="E99" s="581"/>
      <c r="F99" s="581"/>
      <c r="G99" s="581"/>
      <c r="H99" s="581"/>
      <c r="I99" s="949"/>
      <c r="J99" s="949"/>
      <c r="K99" s="777"/>
      <c r="L99" s="575"/>
      <c r="M99" s="581"/>
      <c r="N99" s="575"/>
      <c r="O99" s="575"/>
      <c r="P99" s="575"/>
      <c r="Q99" s="583"/>
      <c r="R99" s="797"/>
      <c r="S99" s="575"/>
      <c r="T99" s="581"/>
      <c r="U99" s="575"/>
      <c r="V99" s="575"/>
      <c r="W99" s="575"/>
      <c r="X99" s="575"/>
      <c r="Y99" s="809"/>
      <c r="Z99" s="575"/>
      <c r="AA99" s="581"/>
      <c r="AB99" s="575"/>
      <c r="AC99" s="575"/>
      <c r="AD99" s="575"/>
      <c r="AE99" s="753"/>
      <c r="AF99" s="809"/>
      <c r="AG99" s="588"/>
      <c r="AH99" s="842"/>
      <c r="AI99" s="738">
        <v>0</v>
      </c>
      <c r="AJ99" s="843"/>
      <c r="AK99" s="777">
        <v>0</v>
      </c>
      <c r="AL99" s="778">
        <v>0</v>
      </c>
      <c r="AM99" s="901"/>
      <c r="AN99" s="781">
        <v>0</v>
      </c>
    </row>
    <row r="100" spans="1:40" s="560" customFormat="1">
      <c r="A100" s="607" t="s">
        <v>750</v>
      </c>
      <c r="B100" s="607" t="s">
        <v>45</v>
      </c>
      <c r="C100" s="690"/>
      <c r="D100" s="795"/>
      <c r="E100" s="581"/>
      <c r="F100" s="581"/>
      <c r="G100" s="581"/>
      <c r="H100" s="581"/>
      <c r="I100" s="949"/>
      <c r="J100" s="949"/>
      <c r="K100" s="777"/>
      <c r="L100" s="575"/>
      <c r="M100" s="581"/>
      <c r="N100" s="575"/>
      <c r="O100" s="575"/>
      <c r="P100" s="575"/>
      <c r="Q100" s="583"/>
      <c r="R100" s="797"/>
      <c r="S100" s="575"/>
      <c r="T100" s="581"/>
      <c r="U100" s="575"/>
      <c r="V100" s="575"/>
      <c r="W100" s="575"/>
      <c r="X100" s="575"/>
      <c r="Y100" s="809"/>
      <c r="Z100" s="575"/>
      <c r="AA100" s="581"/>
      <c r="AB100" s="575"/>
      <c r="AC100" s="575"/>
      <c r="AD100" s="575"/>
      <c r="AE100" s="753"/>
      <c r="AF100" s="809"/>
      <c r="AG100" s="588"/>
      <c r="AH100" s="842"/>
      <c r="AI100" s="738">
        <v>0</v>
      </c>
      <c r="AJ100" s="843"/>
      <c r="AK100" s="949">
        <v>0</v>
      </c>
      <c r="AL100" s="581">
        <v>0</v>
      </c>
      <c r="AM100" s="750"/>
      <c r="AN100" s="743">
        <v>0</v>
      </c>
    </row>
    <row r="101" spans="1:40" s="560" customFormat="1">
      <c r="A101" s="604" t="s">
        <v>751</v>
      </c>
      <c r="B101" s="604" t="s">
        <v>1198</v>
      </c>
      <c r="C101" s="614" t="s">
        <v>39</v>
      </c>
      <c r="D101" s="795"/>
      <c r="E101" s="581"/>
      <c r="F101" s="1035">
        <v>16.274999999999999</v>
      </c>
      <c r="G101" s="1035">
        <v>13</v>
      </c>
      <c r="H101" s="1032">
        <v>18.625</v>
      </c>
      <c r="I101" s="1038">
        <v>17.559999999999999</v>
      </c>
      <c r="J101" s="949"/>
      <c r="K101" s="777"/>
      <c r="L101" s="1039">
        <v>18.64</v>
      </c>
      <c r="M101" s="581"/>
      <c r="N101" s="575"/>
      <c r="O101" s="575"/>
      <c r="P101" s="575"/>
      <c r="Q101" s="583"/>
      <c r="R101" s="797"/>
      <c r="S101" s="1075">
        <v>19</v>
      </c>
      <c r="T101" s="1080">
        <v>19</v>
      </c>
      <c r="U101" s="1039">
        <v>16.695999999999998</v>
      </c>
      <c r="V101" s="1039">
        <v>16.3</v>
      </c>
      <c r="W101" s="575"/>
      <c r="X101" s="575"/>
      <c r="Y101" s="797"/>
      <c r="Z101" s="583"/>
      <c r="AA101" s="581"/>
      <c r="AB101" s="1039">
        <v>10</v>
      </c>
      <c r="AC101" s="1039">
        <v>10</v>
      </c>
      <c r="AD101" s="1039">
        <v>10</v>
      </c>
      <c r="AE101" s="1095">
        <v>10</v>
      </c>
      <c r="AF101" s="809"/>
      <c r="AG101" s="1034">
        <v>10</v>
      </c>
      <c r="AH101" s="1097">
        <v>10</v>
      </c>
      <c r="AI101" s="1100">
        <v>215.1</v>
      </c>
      <c r="AJ101" s="843"/>
      <c r="AK101" s="949">
        <v>0</v>
      </c>
      <c r="AL101" s="581">
        <v>215.1</v>
      </c>
      <c r="AM101" s="750" t="s">
        <v>1582</v>
      </c>
      <c r="AN101" s="743">
        <v>226.54</v>
      </c>
    </row>
    <row r="102" spans="1:40" s="560" customFormat="1">
      <c r="A102" s="607" t="s">
        <v>753</v>
      </c>
      <c r="B102" s="607" t="s">
        <v>1204</v>
      </c>
      <c r="C102" s="690"/>
      <c r="D102" s="795"/>
      <c r="E102" s="581"/>
      <c r="F102" s="581"/>
      <c r="G102" s="581"/>
      <c r="H102" s="581"/>
      <c r="I102" s="949"/>
      <c r="J102" s="949"/>
      <c r="K102" s="777"/>
      <c r="L102" s="575"/>
      <c r="M102" s="581"/>
      <c r="N102" s="575"/>
      <c r="O102" s="575"/>
      <c r="P102" s="575"/>
      <c r="Q102" s="583"/>
      <c r="R102" s="797"/>
      <c r="S102" s="575"/>
      <c r="T102" s="581"/>
      <c r="U102" s="575"/>
      <c r="V102" s="575"/>
      <c r="W102" s="575"/>
      <c r="X102" s="575"/>
      <c r="Y102" s="809"/>
      <c r="Z102" s="575"/>
      <c r="AA102" s="581"/>
      <c r="AB102" s="575"/>
      <c r="AC102" s="575"/>
      <c r="AD102" s="575"/>
      <c r="AE102" s="753"/>
      <c r="AF102" s="809"/>
      <c r="AG102" s="588"/>
      <c r="AH102" s="842"/>
      <c r="AI102" s="738">
        <v>0</v>
      </c>
      <c r="AJ102" s="843"/>
      <c r="AK102" s="949">
        <v>0</v>
      </c>
      <c r="AL102" s="581">
        <v>0</v>
      </c>
      <c r="AM102" s="750"/>
      <c r="AN102" s="743">
        <v>0</v>
      </c>
    </row>
    <row r="103" spans="1:40" s="560" customFormat="1">
      <c r="A103" s="604" t="s">
        <v>754</v>
      </c>
      <c r="B103" s="604" t="s">
        <v>1205</v>
      </c>
      <c r="C103" s="614" t="s">
        <v>39</v>
      </c>
      <c r="D103" s="795"/>
      <c r="E103" s="581"/>
      <c r="F103" s="581"/>
      <c r="G103" s="581"/>
      <c r="H103" s="581"/>
      <c r="I103" s="949"/>
      <c r="J103" s="949"/>
      <c r="K103" s="777"/>
      <c r="L103" s="575"/>
      <c r="M103" s="1035">
        <v>4.3499999999999996</v>
      </c>
      <c r="N103" s="1075">
        <v>2.1599999999999997</v>
      </c>
      <c r="O103" s="1075">
        <v>2.88</v>
      </c>
      <c r="P103" s="575"/>
      <c r="Q103" s="1075">
        <v>2.88</v>
      </c>
      <c r="R103" s="797"/>
      <c r="S103" s="575"/>
      <c r="T103" s="581"/>
      <c r="U103" s="575"/>
      <c r="V103" s="575"/>
      <c r="W103" s="1039">
        <v>2.5875000000000004</v>
      </c>
      <c r="X103" s="583"/>
      <c r="Y103" s="809"/>
      <c r="Z103" s="583"/>
      <c r="AA103" s="1035">
        <v>6.6960000000000015</v>
      </c>
      <c r="AB103" s="583"/>
      <c r="AC103" s="575"/>
      <c r="AD103" s="583"/>
      <c r="AE103" s="583"/>
      <c r="AF103" s="809"/>
      <c r="AG103" s="588"/>
      <c r="AH103" s="1092">
        <v>5.39</v>
      </c>
      <c r="AI103" s="1100">
        <v>24.79</v>
      </c>
      <c r="AJ103" s="843"/>
      <c r="AK103" s="949">
        <v>0</v>
      </c>
      <c r="AL103" s="581">
        <v>26.94</v>
      </c>
      <c r="AM103" s="750" t="s">
        <v>1584</v>
      </c>
      <c r="AN103" s="743">
        <v>177.07</v>
      </c>
    </row>
    <row r="104" spans="1:40" s="560" customFormat="1">
      <c r="A104" s="604" t="s">
        <v>755</v>
      </c>
      <c r="B104" s="604" t="s">
        <v>1206</v>
      </c>
      <c r="C104" s="614" t="s">
        <v>36</v>
      </c>
      <c r="D104" s="795"/>
      <c r="E104" s="581"/>
      <c r="F104" s="581"/>
      <c r="G104" s="581"/>
      <c r="I104" s="949"/>
      <c r="J104" s="949"/>
      <c r="K104" s="777"/>
      <c r="L104" s="575"/>
      <c r="M104" s="581"/>
      <c r="N104" s="1039">
        <v>14.399999999999999</v>
      </c>
      <c r="O104" s="575"/>
      <c r="P104" s="575"/>
      <c r="Q104" s="583"/>
      <c r="R104" s="797"/>
      <c r="S104" s="575"/>
      <c r="T104" s="581"/>
      <c r="U104" s="575"/>
      <c r="V104" s="575"/>
      <c r="W104" s="1039">
        <v>10.35</v>
      </c>
      <c r="X104" s="583"/>
      <c r="Y104" s="797"/>
      <c r="Z104" s="583"/>
      <c r="AA104" s="1035">
        <v>33.480000000000004</v>
      </c>
      <c r="AB104" s="1090">
        <v>18.48</v>
      </c>
      <c r="AC104" s="583"/>
      <c r="AD104" s="583"/>
      <c r="AE104" s="753"/>
      <c r="AF104" s="809"/>
      <c r="AG104" s="1092">
        <v>15.4</v>
      </c>
      <c r="AH104" s="842"/>
      <c r="AI104" s="1100">
        <v>92.11</v>
      </c>
      <c r="AJ104" s="843"/>
      <c r="AK104" s="949">
        <v>0</v>
      </c>
      <c r="AL104" s="581">
        <v>92.11</v>
      </c>
      <c r="AM104" s="750" t="s">
        <v>1585</v>
      </c>
      <c r="AN104" s="743">
        <v>458.33000000000004</v>
      </c>
    </row>
    <row r="105" spans="1:40" s="560" customFormat="1">
      <c r="A105" s="604" t="s">
        <v>756</v>
      </c>
      <c r="B105" s="604" t="s">
        <v>1207</v>
      </c>
      <c r="C105" s="614" t="s">
        <v>47</v>
      </c>
      <c r="D105" s="795"/>
      <c r="E105" s="581"/>
      <c r="F105" s="581"/>
      <c r="G105" s="581"/>
      <c r="H105" s="581"/>
      <c r="I105" s="1038">
        <v>139.68</v>
      </c>
      <c r="J105" s="1034">
        <v>181.035</v>
      </c>
      <c r="K105" s="777"/>
      <c r="L105" s="1039">
        <v>115.83</v>
      </c>
      <c r="M105" s="1035">
        <v>836.78399999999999</v>
      </c>
      <c r="N105" s="583"/>
      <c r="O105" s="1075">
        <v>195.55199999999999</v>
      </c>
      <c r="P105" s="1075">
        <v>223.488</v>
      </c>
      <c r="Q105" s="583"/>
      <c r="R105" s="797"/>
      <c r="S105" s="583"/>
      <c r="T105" s="581"/>
      <c r="U105" s="1039">
        <v>130.12199999999999</v>
      </c>
      <c r="V105" s="1039">
        <v>835.32479999999998</v>
      </c>
      <c r="W105" s="1039">
        <v>418.06800000000004</v>
      </c>
      <c r="X105" s="583"/>
      <c r="Y105" s="797"/>
      <c r="Z105" s="583"/>
      <c r="AA105" s="581"/>
      <c r="AB105" s="1090">
        <v>166.64400000000001</v>
      </c>
      <c r="AC105" s="583"/>
      <c r="AD105" s="1090">
        <v>69.84</v>
      </c>
      <c r="AE105" s="583"/>
      <c r="AF105" s="797"/>
      <c r="AG105" s="949"/>
      <c r="AH105" s="843"/>
      <c r="AI105" s="1100">
        <v>3312.37</v>
      </c>
      <c r="AJ105" s="843"/>
      <c r="AK105" s="949">
        <v>0</v>
      </c>
      <c r="AL105" s="581">
        <v>3312.37</v>
      </c>
      <c r="AM105" s="750" t="s">
        <v>1586</v>
      </c>
      <c r="AN105" s="743">
        <v>12136.369999999999</v>
      </c>
    </row>
    <row r="106" spans="1:40" s="560" customFormat="1">
      <c r="A106" s="607" t="s">
        <v>757</v>
      </c>
      <c r="B106" s="607" t="s">
        <v>1186</v>
      </c>
      <c r="C106" s="690"/>
      <c r="D106" s="795"/>
      <c r="E106" s="581"/>
      <c r="F106" s="581"/>
      <c r="G106" s="581"/>
      <c r="H106" s="581"/>
      <c r="I106" s="949"/>
      <c r="J106" s="949"/>
      <c r="K106" s="777"/>
      <c r="L106" s="575"/>
      <c r="M106" s="581"/>
      <c r="N106" s="575"/>
      <c r="O106" s="575"/>
      <c r="P106" s="575"/>
      <c r="Q106" s="583"/>
      <c r="R106" s="797"/>
      <c r="S106" s="575"/>
      <c r="T106" s="581"/>
      <c r="U106" s="575"/>
      <c r="V106" s="575"/>
      <c r="W106" s="575"/>
      <c r="X106" s="575"/>
      <c r="Y106" s="809"/>
      <c r="Z106" s="575"/>
      <c r="AA106" s="581"/>
      <c r="AB106" s="575"/>
      <c r="AC106" s="575"/>
      <c r="AD106" s="575"/>
      <c r="AE106" s="753"/>
      <c r="AF106" s="809"/>
      <c r="AG106" s="588"/>
      <c r="AH106" s="842"/>
      <c r="AI106" s="738">
        <v>0</v>
      </c>
      <c r="AJ106" s="843"/>
      <c r="AK106" s="949">
        <v>0</v>
      </c>
      <c r="AL106" s="581">
        <v>0</v>
      </c>
      <c r="AM106" s="750"/>
      <c r="AN106" s="743">
        <v>0</v>
      </c>
    </row>
    <row r="107" spans="1:40" s="560" customFormat="1">
      <c r="A107" s="604" t="s">
        <v>758</v>
      </c>
      <c r="B107" s="604" t="s">
        <v>1208</v>
      </c>
      <c r="C107" s="614" t="s">
        <v>37</v>
      </c>
      <c r="D107" s="795"/>
      <c r="E107" s="581"/>
      <c r="F107" s="581"/>
      <c r="G107" s="581"/>
      <c r="H107" s="581"/>
      <c r="I107" s="949"/>
      <c r="J107" s="949"/>
      <c r="K107" s="777"/>
      <c r="L107" s="575"/>
      <c r="M107" s="581"/>
      <c r="N107" s="575"/>
      <c r="O107" s="575"/>
      <c r="P107" s="575"/>
      <c r="Q107" s="583"/>
      <c r="R107" s="797"/>
      <c r="S107" s="1075">
        <v>10.799999999999999</v>
      </c>
      <c r="T107" s="581"/>
      <c r="U107" s="575"/>
      <c r="V107" s="575"/>
      <c r="W107" s="575"/>
      <c r="X107" s="575"/>
      <c r="Y107" s="809"/>
      <c r="Z107" s="1039">
        <v>3.2</v>
      </c>
      <c r="AA107" s="581"/>
      <c r="AB107" s="575"/>
      <c r="AC107" s="575"/>
      <c r="AD107" s="575"/>
      <c r="AE107" s="753"/>
      <c r="AF107" s="809"/>
      <c r="AG107" s="588"/>
      <c r="AH107" s="842"/>
      <c r="AI107" s="1100">
        <v>14</v>
      </c>
      <c r="AJ107" s="843"/>
      <c r="AK107" s="949">
        <v>0</v>
      </c>
      <c r="AL107" s="581">
        <v>14</v>
      </c>
      <c r="AM107" s="750" t="s">
        <v>1587</v>
      </c>
      <c r="AN107" s="743">
        <v>97.93</v>
      </c>
    </row>
    <row r="108" spans="1:40" s="560" customFormat="1">
      <c r="A108" s="604" t="s">
        <v>759</v>
      </c>
      <c r="B108" s="604" t="s">
        <v>224</v>
      </c>
      <c r="C108" s="614" t="s">
        <v>1436</v>
      </c>
      <c r="D108" s="795"/>
      <c r="E108" s="581"/>
      <c r="F108" s="581"/>
      <c r="G108" s="581"/>
      <c r="H108" s="581"/>
      <c r="I108" s="949"/>
      <c r="J108" s="949"/>
      <c r="K108" s="777"/>
      <c r="L108" s="575"/>
      <c r="M108" s="581"/>
      <c r="N108" s="575"/>
      <c r="O108" s="575"/>
      <c r="P108" s="575"/>
      <c r="Q108" s="583"/>
      <c r="R108" s="797"/>
      <c r="S108" s="575"/>
      <c r="T108" s="581"/>
      <c r="U108" s="575"/>
      <c r="V108" s="575"/>
      <c r="W108" s="575"/>
      <c r="X108" s="575"/>
      <c r="Y108" s="809"/>
      <c r="Z108" s="575"/>
      <c r="AA108" s="581"/>
      <c r="AB108" s="575"/>
      <c r="AC108" s="575"/>
      <c r="AD108" s="575"/>
      <c r="AE108" s="753"/>
      <c r="AF108" s="809"/>
      <c r="AG108" s="949"/>
      <c r="AH108" s="1093">
        <v>1</v>
      </c>
      <c r="AI108" s="1100">
        <v>1</v>
      </c>
      <c r="AJ108" s="843"/>
      <c r="AK108" s="949">
        <v>0</v>
      </c>
      <c r="AL108" s="581">
        <v>1</v>
      </c>
      <c r="AM108" s="750" t="s">
        <v>1588</v>
      </c>
      <c r="AN108" s="743">
        <v>23</v>
      </c>
    </row>
    <row r="109" spans="1:40" s="560" customFormat="1">
      <c r="A109" s="868" t="s">
        <v>760</v>
      </c>
      <c r="B109" s="869" t="s">
        <v>1209</v>
      </c>
      <c r="C109" s="898"/>
      <c r="D109" s="795"/>
      <c r="E109" s="581"/>
      <c r="F109" s="581"/>
      <c r="G109" s="581"/>
      <c r="H109" s="581"/>
      <c r="I109" s="949"/>
      <c r="J109" s="949"/>
      <c r="K109" s="777"/>
      <c r="L109" s="575"/>
      <c r="M109" s="581"/>
      <c r="N109" s="575"/>
      <c r="O109" s="575"/>
      <c r="P109" s="575"/>
      <c r="Q109" s="583"/>
      <c r="R109" s="797"/>
      <c r="S109" s="575"/>
      <c r="T109" s="581"/>
      <c r="U109" s="575"/>
      <c r="V109" s="575"/>
      <c r="W109" s="575"/>
      <c r="X109" s="575"/>
      <c r="Y109" s="809"/>
      <c r="Z109" s="575"/>
      <c r="AA109" s="581"/>
      <c r="AB109" s="575"/>
      <c r="AC109" s="575"/>
      <c r="AD109" s="575"/>
      <c r="AE109" s="753"/>
      <c r="AF109" s="809"/>
      <c r="AG109" s="588"/>
      <c r="AH109" s="842"/>
      <c r="AI109" s="738">
        <v>0</v>
      </c>
      <c r="AJ109" s="843"/>
      <c r="AK109" s="949">
        <v>0</v>
      </c>
      <c r="AL109" s="581">
        <v>0</v>
      </c>
      <c r="AM109" s="750"/>
      <c r="AN109" s="743">
        <v>0</v>
      </c>
    </row>
    <row r="110" spans="1:40" s="560" customFormat="1">
      <c r="A110" s="607" t="s">
        <v>761</v>
      </c>
      <c r="B110" s="607" t="s">
        <v>45</v>
      </c>
      <c r="C110" s="690"/>
      <c r="D110" s="795"/>
      <c r="E110" s="581"/>
      <c r="F110" s="581"/>
      <c r="G110" s="581"/>
      <c r="H110" s="581"/>
      <c r="I110" s="949"/>
      <c r="J110" s="949"/>
      <c r="K110" s="777"/>
      <c r="L110" s="575"/>
      <c r="M110" s="581"/>
      <c r="N110" s="575"/>
      <c r="O110" s="575"/>
      <c r="P110" s="575"/>
      <c r="Q110" s="583"/>
      <c r="R110" s="797"/>
      <c r="S110" s="575"/>
      <c r="T110" s="581"/>
      <c r="U110" s="575"/>
      <c r="V110" s="575"/>
      <c r="W110" s="575"/>
      <c r="X110" s="575"/>
      <c r="Y110" s="809"/>
      <c r="Z110" s="575"/>
      <c r="AA110" s="581"/>
      <c r="AB110" s="583"/>
      <c r="AC110" s="583"/>
      <c r="AD110" s="575"/>
      <c r="AE110" s="753"/>
      <c r="AF110" s="809"/>
      <c r="AG110" s="588"/>
      <c r="AH110" s="842"/>
      <c r="AI110" s="738">
        <v>0</v>
      </c>
      <c r="AJ110" s="843"/>
      <c r="AK110" s="949">
        <v>0</v>
      </c>
      <c r="AL110" s="581">
        <v>0</v>
      </c>
      <c r="AM110" s="750"/>
      <c r="AN110" s="743">
        <v>0</v>
      </c>
    </row>
    <row r="111" spans="1:40" s="560" customFormat="1">
      <c r="A111" s="604" t="s">
        <v>762</v>
      </c>
      <c r="B111" s="604" t="s">
        <v>1198</v>
      </c>
      <c r="C111" s="614" t="s">
        <v>39</v>
      </c>
      <c r="D111" s="795"/>
      <c r="E111" s="581"/>
      <c r="F111" s="581"/>
      <c r="G111" s="581"/>
      <c r="H111" s="581"/>
      <c r="I111" s="949"/>
      <c r="J111" s="949"/>
      <c r="K111" s="777"/>
      <c r="L111" s="575"/>
      <c r="M111" s="581"/>
      <c r="N111" s="575"/>
      <c r="O111" s="575"/>
      <c r="P111" s="1075">
        <v>7.65</v>
      </c>
      <c r="Q111" s="1075">
        <v>5.4</v>
      </c>
      <c r="R111" s="797"/>
      <c r="S111" s="583"/>
      <c r="T111" s="581"/>
      <c r="U111" s="575"/>
      <c r="V111" s="575"/>
      <c r="W111" s="575"/>
      <c r="X111" s="575"/>
      <c r="Y111" s="809"/>
      <c r="Z111" s="1039">
        <v>5.8500000000000005</v>
      </c>
      <c r="AA111" s="581"/>
      <c r="AB111" s="1039">
        <v>18.23</v>
      </c>
      <c r="AC111" s="1039">
        <v>10</v>
      </c>
      <c r="AD111" s="1039">
        <v>10</v>
      </c>
      <c r="AE111" s="1095">
        <v>10</v>
      </c>
      <c r="AF111" s="809"/>
      <c r="AG111" s="1034">
        <v>10</v>
      </c>
      <c r="AH111" s="1084">
        <v>10</v>
      </c>
      <c r="AI111" s="1100">
        <v>87.13</v>
      </c>
      <c r="AJ111" s="843"/>
      <c r="AK111" s="949">
        <v>0</v>
      </c>
      <c r="AL111" s="581">
        <v>87.13</v>
      </c>
      <c r="AM111" s="750" t="s">
        <v>1589</v>
      </c>
      <c r="AN111" s="743">
        <v>8.75</v>
      </c>
    </row>
    <row r="112" spans="1:40" s="560" customFormat="1">
      <c r="A112" s="868" t="s">
        <v>767</v>
      </c>
      <c r="B112" s="869" t="s">
        <v>1211</v>
      </c>
      <c r="C112" s="898"/>
      <c r="D112" s="795"/>
      <c r="E112" s="581"/>
      <c r="F112" s="581"/>
      <c r="G112" s="581"/>
      <c r="H112" s="581"/>
      <c r="I112" s="949"/>
      <c r="J112" s="949"/>
      <c r="K112" s="777"/>
      <c r="L112" s="575"/>
      <c r="M112" s="581"/>
      <c r="N112" s="575"/>
      <c r="O112" s="575"/>
      <c r="P112" s="575"/>
      <c r="Q112" s="583"/>
      <c r="R112" s="797"/>
      <c r="S112" s="575"/>
      <c r="T112" s="581"/>
      <c r="U112" s="575"/>
      <c r="V112" s="575"/>
      <c r="W112" s="575"/>
      <c r="X112" s="575"/>
      <c r="Y112" s="809"/>
      <c r="Z112" s="575"/>
      <c r="AA112" s="581"/>
      <c r="AB112" s="575"/>
      <c r="AC112" s="575"/>
      <c r="AD112" s="575"/>
      <c r="AE112" s="753"/>
      <c r="AF112" s="809"/>
      <c r="AG112" s="588"/>
      <c r="AH112" s="842"/>
      <c r="AI112" s="738">
        <v>0</v>
      </c>
      <c r="AJ112" s="843"/>
      <c r="AK112" s="949">
        <v>0</v>
      </c>
      <c r="AL112" s="581">
        <v>0</v>
      </c>
      <c r="AM112" s="750"/>
      <c r="AN112" s="743">
        <v>0</v>
      </c>
    </row>
    <row r="113" spans="1:40" s="560" customFormat="1">
      <c r="A113" s="607" t="s">
        <v>768</v>
      </c>
      <c r="B113" s="607" t="s">
        <v>45</v>
      </c>
      <c r="C113" s="690"/>
      <c r="D113" s="795"/>
      <c r="E113" s="581"/>
      <c r="F113" s="581"/>
      <c r="G113" s="581"/>
      <c r="H113" s="581"/>
      <c r="I113" s="949"/>
      <c r="J113" s="949"/>
      <c r="K113" s="777"/>
      <c r="L113" s="575"/>
      <c r="M113" s="581"/>
      <c r="N113" s="575"/>
      <c r="O113" s="575"/>
      <c r="P113" s="575"/>
      <c r="Q113" s="583"/>
      <c r="R113" s="797"/>
      <c r="S113" s="575"/>
      <c r="T113" s="581"/>
      <c r="U113" s="575"/>
      <c r="V113" s="575"/>
      <c r="W113" s="575"/>
      <c r="X113" s="575"/>
      <c r="Y113" s="809"/>
      <c r="Z113" s="575"/>
      <c r="AA113" s="581"/>
      <c r="AB113" s="575"/>
      <c r="AC113" s="575"/>
      <c r="AD113" s="575"/>
      <c r="AE113" s="753"/>
      <c r="AF113" s="809"/>
      <c r="AG113" s="588"/>
      <c r="AH113" s="842"/>
      <c r="AI113" s="738">
        <v>0</v>
      </c>
      <c r="AJ113" s="843"/>
      <c r="AK113" s="949">
        <v>0</v>
      </c>
      <c r="AL113" s="581">
        <v>0</v>
      </c>
      <c r="AM113" s="750"/>
      <c r="AN113" s="743">
        <v>0</v>
      </c>
    </row>
    <row r="114" spans="1:40" s="560" customFormat="1" ht="13.8" thickBot="1">
      <c r="A114" s="604" t="s">
        <v>769</v>
      </c>
      <c r="B114" s="604" t="s">
        <v>1212</v>
      </c>
      <c r="C114" s="614" t="s">
        <v>39</v>
      </c>
      <c r="D114" s="795"/>
      <c r="E114" s="581"/>
      <c r="F114" s="581"/>
      <c r="G114" s="581"/>
      <c r="H114" s="581"/>
      <c r="I114" s="949"/>
      <c r="J114" s="949"/>
      <c r="K114" s="777"/>
      <c r="L114" s="575"/>
      <c r="M114" s="581"/>
      <c r="N114" s="575"/>
      <c r="O114" s="575"/>
      <c r="P114" s="575"/>
      <c r="Q114" s="583"/>
      <c r="R114" s="797"/>
      <c r="S114" s="575"/>
      <c r="T114" s="581"/>
      <c r="U114" s="575"/>
      <c r="V114" s="575"/>
      <c r="W114" s="575"/>
      <c r="X114" s="575"/>
      <c r="Y114" s="809"/>
      <c r="Z114" s="575"/>
      <c r="AA114" s="581"/>
      <c r="AB114" s="575"/>
      <c r="AC114" s="575"/>
      <c r="AD114" s="575"/>
      <c r="AE114" s="1095">
        <v>2.81</v>
      </c>
      <c r="AF114" s="809"/>
      <c r="AG114" s="588"/>
      <c r="AH114" s="842"/>
      <c r="AI114" s="1100">
        <v>2.81</v>
      </c>
      <c r="AJ114" s="843"/>
      <c r="AK114" s="949">
        <v>0</v>
      </c>
      <c r="AL114" s="581">
        <v>2.81</v>
      </c>
      <c r="AM114" s="750" t="s">
        <v>1593</v>
      </c>
      <c r="AN114" s="743">
        <v>0</v>
      </c>
    </row>
    <row r="115" spans="1:40" s="897" customFormat="1">
      <c r="A115" s="1016" t="s">
        <v>44</v>
      </c>
      <c r="B115" s="1016" t="s">
        <v>1220</v>
      </c>
      <c r="C115" s="1018"/>
      <c r="D115" s="795"/>
      <c r="E115" s="581"/>
      <c r="F115" s="581"/>
      <c r="G115" s="581"/>
      <c r="H115" s="581"/>
      <c r="I115" s="949"/>
      <c r="J115" s="949"/>
      <c r="K115" s="777"/>
      <c r="L115" s="575"/>
      <c r="M115" s="581"/>
      <c r="N115" s="575"/>
      <c r="O115" s="575"/>
      <c r="P115" s="575"/>
      <c r="Q115" s="583"/>
      <c r="R115" s="797"/>
      <c r="S115" s="575"/>
      <c r="T115" s="581"/>
      <c r="U115" s="575"/>
      <c r="V115" s="575"/>
      <c r="W115" s="575"/>
      <c r="X115" s="575"/>
      <c r="Y115" s="809"/>
      <c r="Z115" s="575"/>
      <c r="AA115" s="581"/>
      <c r="AB115" s="575"/>
      <c r="AC115" s="575"/>
      <c r="AD115" s="575"/>
      <c r="AE115" s="753"/>
      <c r="AF115" s="809"/>
      <c r="AG115" s="588"/>
      <c r="AH115" s="842"/>
      <c r="AI115" s="738">
        <v>0</v>
      </c>
      <c r="AJ115" s="843"/>
      <c r="AK115" s="890">
        <v>0</v>
      </c>
      <c r="AL115" s="889">
        <v>0</v>
      </c>
      <c r="AM115" s="902"/>
      <c r="AN115" s="896">
        <v>0</v>
      </c>
    </row>
    <row r="116" spans="1:40" s="560" customFormat="1">
      <c r="A116" s="492" t="s">
        <v>46</v>
      </c>
      <c r="B116" s="608" t="s">
        <v>1221</v>
      </c>
      <c r="C116" s="690"/>
      <c r="D116" s="795"/>
      <c r="E116" s="581"/>
      <c r="F116" s="581"/>
      <c r="G116" s="581"/>
      <c r="H116" s="581"/>
      <c r="I116" s="949"/>
      <c r="J116" s="949"/>
      <c r="K116" s="777"/>
      <c r="L116" s="575"/>
      <c r="M116" s="581"/>
      <c r="N116" s="575"/>
      <c r="O116" s="575"/>
      <c r="P116" s="575"/>
      <c r="Q116" s="583"/>
      <c r="R116" s="797"/>
      <c r="S116" s="575"/>
      <c r="T116" s="581"/>
      <c r="U116" s="575"/>
      <c r="V116" s="575"/>
      <c r="W116" s="575"/>
      <c r="X116" s="575"/>
      <c r="Y116" s="809"/>
      <c r="Z116" s="575"/>
      <c r="AA116" s="581"/>
      <c r="AB116" s="575"/>
      <c r="AC116" s="575"/>
      <c r="AD116" s="575"/>
      <c r="AE116" s="753"/>
      <c r="AF116" s="809"/>
      <c r="AG116" s="588"/>
      <c r="AH116" s="842"/>
      <c r="AI116" s="738">
        <v>0</v>
      </c>
      <c r="AJ116" s="843"/>
      <c r="AK116" s="949">
        <v>0</v>
      </c>
      <c r="AL116" s="581">
        <v>0</v>
      </c>
      <c r="AM116" s="750"/>
      <c r="AN116" s="743">
        <v>0</v>
      </c>
    </row>
    <row r="117" spans="1:40" s="560" customFormat="1">
      <c r="A117" s="607" t="s">
        <v>48</v>
      </c>
      <c r="B117" s="607" t="s">
        <v>1222</v>
      </c>
      <c r="C117" s="690"/>
      <c r="D117" s="795"/>
      <c r="E117" s="581"/>
      <c r="F117" s="581"/>
      <c r="G117" s="581"/>
      <c r="H117" s="581"/>
      <c r="I117" s="949"/>
      <c r="J117" s="949"/>
      <c r="K117" s="777"/>
      <c r="L117" s="575"/>
      <c r="M117" s="581"/>
      <c r="N117" s="575"/>
      <c r="O117" s="575"/>
      <c r="P117" s="575"/>
      <c r="Q117" s="583"/>
      <c r="R117" s="797"/>
      <c r="S117" s="575"/>
      <c r="T117" s="581"/>
      <c r="U117" s="575"/>
      <c r="V117" s="575"/>
      <c r="W117" s="575"/>
      <c r="X117" s="575"/>
      <c r="Y117" s="809"/>
      <c r="Z117" s="575"/>
      <c r="AA117" s="581"/>
      <c r="AB117" s="575"/>
      <c r="AC117" s="575"/>
      <c r="AD117" s="575"/>
      <c r="AE117" s="753"/>
      <c r="AF117" s="809"/>
      <c r="AG117" s="588"/>
      <c r="AH117" s="842"/>
      <c r="AI117" s="738">
        <v>0</v>
      </c>
      <c r="AJ117" s="843"/>
      <c r="AK117" s="949">
        <v>0</v>
      </c>
      <c r="AL117" s="581">
        <v>0</v>
      </c>
      <c r="AM117" s="750"/>
      <c r="AN117" s="743">
        <v>0</v>
      </c>
    </row>
    <row r="118" spans="1:40" s="560" customFormat="1">
      <c r="A118" s="604" t="s">
        <v>787</v>
      </c>
      <c r="B118" s="604" t="s">
        <v>1223</v>
      </c>
      <c r="C118" s="614" t="s">
        <v>36</v>
      </c>
      <c r="D118" s="795"/>
      <c r="E118" s="1035">
        <v>10.8</v>
      </c>
      <c r="F118" s="1035">
        <v>7.9969999999999999</v>
      </c>
      <c r="G118" s="581"/>
      <c r="H118" s="1032">
        <v>7</v>
      </c>
      <c r="I118" s="949"/>
      <c r="J118" s="949"/>
      <c r="K118" s="777"/>
      <c r="L118" s="575"/>
      <c r="M118" s="581"/>
      <c r="N118" s="575"/>
      <c r="O118" s="583"/>
      <c r="P118" s="583"/>
      <c r="Q118" s="583"/>
      <c r="R118" s="797"/>
      <c r="S118" s="575"/>
      <c r="T118" s="581"/>
      <c r="U118" s="575"/>
      <c r="V118" s="575"/>
      <c r="W118" s="575"/>
      <c r="X118" s="583"/>
      <c r="Y118" s="809"/>
      <c r="Z118" s="575"/>
      <c r="AA118" s="581"/>
      <c r="AB118" s="575"/>
      <c r="AC118" s="575"/>
      <c r="AD118" s="575"/>
      <c r="AE118" s="753"/>
      <c r="AF118" s="809"/>
      <c r="AG118" s="588"/>
      <c r="AH118" s="842"/>
      <c r="AI118" s="1100">
        <v>25.8</v>
      </c>
      <c r="AJ118" s="843"/>
      <c r="AK118" s="949">
        <v>0</v>
      </c>
      <c r="AL118" s="581">
        <v>25.8</v>
      </c>
      <c r="AM118" s="750" t="s">
        <v>1605</v>
      </c>
      <c r="AN118" s="743">
        <v>46.47</v>
      </c>
    </row>
    <row r="119" spans="1:40" s="560" customFormat="1">
      <c r="A119" s="604" t="s">
        <v>788</v>
      </c>
      <c r="B119" s="604" t="s">
        <v>1224</v>
      </c>
      <c r="C119" s="614" t="s">
        <v>36</v>
      </c>
      <c r="D119" s="795"/>
      <c r="E119" s="581"/>
      <c r="F119" s="581"/>
      <c r="G119" s="1035">
        <v>11.190000000000001</v>
      </c>
      <c r="H119" s="581"/>
      <c r="I119" s="949"/>
      <c r="J119" s="949"/>
      <c r="K119" s="777"/>
      <c r="L119" s="575"/>
      <c r="M119" s="581"/>
      <c r="N119" s="575"/>
      <c r="O119" s="575"/>
      <c r="P119" s="575"/>
      <c r="Q119" s="583"/>
      <c r="R119" s="797"/>
      <c r="S119" s="575"/>
      <c r="T119" s="581"/>
      <c r="U119" s="575"/>
      <c r="V119" s="575"/>
      <c r="W119" s="575"/>
      <c r="X119" s="575"/>
      <c r="Y119" s="809"/>
      <c r="Z119" s="575"/>
      <c r="AA119" s="581"/>
      <c r="AB119" s="575"/>
      <c r="AC119" s="575"/>
      <c r="AD119" s="575"/>
      <c r="AE119" s="753"/>
      <c r="AF119" s="809"/>
      <c r="AG119" s="588"/>
      <c r="AH119" s="842"/>
      <c r="AI119" s="1100">
        <v>11.19</v>
      </c>
      <c r="AJ119" s="843"/>
      <c r="AK119" s="949">
        <v>0</v>
      </c>
      <c r="AL119" s="581">
        <v>11.19</v>
      </c>
      <c r="AM119" s="750" t="s">
        <v>1606</v>
      </c>
      <c r="AN119" s="743">
        <v>4.0300000000000011</v>
      </c>
    </row>
    <row r="120" spans="1:40" s="560" customFormat="1">
      <c r="A120" s="607" t="s">
        <v>49</v>
      </c>
      <c r="B120" s="607" t="s">
        <v>1225</v>
      </c>
      <c r="C120" s="690"/>
      <c r="D120" s="795"/>
      <c r="E120" s="581"/>
      <c r="F120" s="581"/>
      <c r="G120" s="581"/>
      <c r="H120" s="581"/>
      <c r="I120" s="949"/>
      <c r="J120" s="949"/>
      <c r="K120" s="777"/>
      <c r="L120" s="575"/>
      <c r="M120" s="581"/>
      <c r="N120" s="575"/>
      <c r="O120" s="575"/>
      <c r="P120" s="575"/>
      <c r="Q120" s="583"/>
      <c r="R120" s="797"/>
      <c r="S120" s="575"/>
      <c r="T120" s="581"/>
      <c r="U120" s="575"/>
      <c r="V120" s="575"/>
      <c r="W120" s="575"/>
      <c r="X120" s="575"/>
      <c r="Y120" s="809"/>
      <c r="Z120" s="575"/>
      <c r="AA120" s="581"/>
      <c r="AB120" s="575"/>
      <c r="AC120" s="575"/>
      <c r="AD120" s="575"/>
      <c r="AE120" s="753"/>
      <c r="AF120" s="809"/>
      <c r="AG120" s="588"/>
      <c r="AH120" s="842"/>
      <c r="AI120" s="738">
        <v>0</v>
      </c>
      <c r="AJ120" s="843"/>
      <c r="AK120" s="949">
        <v>0</v>
      </c>
      <c r="AL120" s="581">
        <v>0</v>
      </c>
      <c r="AM120" s="750"/>
      <c r="AN120" s="743">
        <v>0</v>
      </c>
    </row>
    <row r="121" spans="1:40" s="560" customFormat="1">
      <c r="A121" s="604" t="s">
        <v>789</v>
      </c>
      <c r="B121" s="604" t="s">
        <v>1226</v>
      </c>
      <c r="C121" s="614" t="s">
        <v>36</v>
      </c>
      <c r="D121" s="795"/>
      <c r="E121" s="581"/>
      <c r="F121" s="581"/>
      <c r="G121" s="581"/>
      <c r="H121" s="581"/>
      <c r="J121" s="1038">
        <v>5.4</v>
      </c>
      <c r="K121" s="777"/>
      <c r="L121" s="575"/>
      <c r="M121" s="581"/>
      <c r="N121" s="575"/>
      <c r="O121" s="575"/>
      <c r="P121" s="1075">
        <v>6.4950000000000001</v>
      </c>
      <c r="Q121" s="1075">
        <v>12.2369</v>
      </c>
      <c r="R121" s="797"/>
      <c r="S121" s="1075">
        <v>23.52</v>
      </c>
      <c r="T121" s="1035">
        <v>25.405000000000001</v>
      </c>
      <c r="U121" s="1039">
        <v>11.950000000000001</v>
      </c>
      <c r="V121" s="575"/>
      <c r="W121" s="1039">
        <v>20.429999999999996</v>
      </c>
      <c r="X121" s="1039">
        <v>4.09</v>
      </c>
      <c r="Y121" s="809"/>
      <c r="Z121" s="1046">
        <v>13.574999999999999</v>
      </c>
      <c r="AA121" s="581"/>
      <c r="AB121" s="575"/>
      <c r="AC121" s="575"/>
      <c r="AD121" s="575"/>
      <c r="AE121" s="753"/>
      <c r="AF121" s="809"/>
      <c r="AG121" s="588"/>
      <c r="AH121" s="842"/>
      <c r="AI121" s="1100">
        <v>123.1</v>
      </c>
      <c r="AJ121" s="843"/>
      <c r="AK121" s="949">
        <v>0</v>
      </c>
      <c r="AL121" s="581">
        <v>123.1</v>
      </c>
      <c r="AM121" s="750" t="s">
        <v>1607</v>
      </c>
      <c r="AN121" s="743">
        <v>0</v>
      </c>
    </row>
    <row r="122" spans="1:40" s="560" customFormat="1">
      <c r="A122" s="604" t="s">
        <v>791</v>
      </c>
      <c r="B122" s="604" t="s">
        <v>1228</v>
      </c>
      <c r="C122" s="614" t="s">
        <v>36</v>
      </c>
      <c r="D122" s="795"/>
      <c r="E122" s="581"/>
      <c r="F122" s="581"/>
      <c r="G122" s="581"/>
      <c r="H122" s="581"/>
      <c r="J122" s="949"/>
      <c r="K122" s="777"/>
      <c r="L122" s="575"/>
      <c r="M122" s="581"/>
      <c r="N122" s="575"/>
      <c r="O122" s="575"/>
      <c r="P122" s="1075">
        <v>0.40500000000000003</v>
      </c>
      <c r="Q122" s="583"/>
      <c r="R122" s="797"/>
      <c r="S122" s="575"/>
      <c r="T122" s="1035">
        <v>5.8800000000000008</v>
      </c>
      <c r="U122" s="575"/>
      <c r="V122" s="575"/>
      <c r="W122" s="1039">
        <v>2.16</v>
      </c>
      <c r="X122" s="575"/>
      <c r="Y122" s="809"/>
      <c r="Z122" s="1039">
        <v>3.38</v>
      </c>
      <c r="AA122" s="1035">
        <v>4.7675000000000001</v>
      </c>
      <c r="AB122" s="1090">
        <v>10.26</v>
      </c>
      <c r="AC122" s="575"/>
      <c r="AD122" s="1090">
        <v>3.9000000000000004</v>
      </c>
      <c r="AE122" s="753"/>
      <c r="AF122" s="809"/>
      <c r="AG122" s="1092">
        <v>3.6875</v>
      </c>
      <c r="AH122" s="842"/>
      <c r="AI122" s="1100">
        <v>34.44</v>
      </c>
      <c r="AJ122" s="843"/>
      <c r="AK122" s="949">
        <v>0</v>
      </c>
      <c r="AL122" s="581">
        <v>34.44</v>
      </c>
      <c r="AM122" s="750" t="s">
        <v>1609</v>
      </c>
      <c r="AN122" s="743">
        <v>0</v>
      </c>
    </row>
    <row r="123" spans="1:40" s="560" customFormat="1">
      <c r="A123" s="604" t="s">
        <v>792</v>
      </c>
      <c r="B123" s="604" t="s">
        <v>1229</v>
      </c>
      <c r="C123" s="614" t="s">
        <v>36</v>
      </c>
      <c r="D123" s="795"/>
      <c r="E123" s="581"/>
      <c r="F123" s="581"/>
      <c r="G123" s="581"/>
      <c r="H123" s="581"/>
      <c r="J123" s="949"/>
      <c r="K123" s="777"/>
      <c r="L123" s="575"/>
      <c r="M123" s="581"/>
      <c r="N123" s="575"/>
      <c r="O123" s="575"/>
      <c r="P123" s="1075">
        <v>0.96</v>
      </c>
      <c r="Q123" s="583"/>
      <c r="R123" s="797"/>
      <c r="S123" s="575"/>
      <c r="T123" s="1035">
        <v>15.07</v>
      </c>
      <c r="U123" s="575"/>
      <c r="V123" s="575"/>
      <c r="W123" s="575"/>
      <c r="X123" s="575"/>
      <c r="Y123" s="809"/>
      <c r="Z123" s="1039">
        <v>0.84</v>
      </c>
      <c r="AA123" s="1035">
        <v>2.44</v>
      </c>
      <c r="AB123" s="1090">
        <v>4.7</v>
      </c>
      <c r="AC123" s="575"/>
      <c r="AD123" s="1090">
        <v>0.71250000000000002</v>
      </c>
      <c r="AE123" s="753"/>
      <c r="AF123" s="809"/>
      <c r="AG123" s="1092">
        <v>5.6669999999999998</v>
      </c>
      <c r="AH123" s="842"/>
      <c r="AI123" s="1100">
        <v>30.39</v>
      </c>
      <c r="AJ123" s="843"/>
      <c r="AK123" s="949">
        <v>0</v>
      </c>
      <c r="AL123" s="581">
        <v>30.39</v>
      </c>
      <c r="AM123" s="750" t="s">
        <v>1610</v>
      </c>
      <c r="AN123" s="743">
        <v>0</v>
      </c>
    </row>
    <row r="124" spans="1:40" s="560" customFormat="1">
      <c r="A124" s="604" t="s">
        <v>794</v>
      </c>
      <c r="B124" s="604" t="s">
        <v>1231</v>
      </c>
      <c r="C124" s="614" t="s">
        <v>37</v>
      </c>
      <c r="D124" s="795"/>
      <c r="E124" s="581"/>
      <c r="F124" s="581"/>
      <c r="G124" s="581"/>
      <c r="H124" s="581"/>
      <c r="J124" s="949"/>
      <c r="K124" s="777"/>
      <c r="L124" s="575"/>
      <c r="M124" s="581"/>
      <c r="N124" s="575"/>
      <c r="O124" s="575"/>
      <c r="P124" s="1075">
        <v>11.120000000000001</v>
      </c>
      <c r="Q124" s="1075">
        <v>5</v>
      </c>
      <c r="R124" s="797"/>
      <c r="S124" s="1075">
        <v>7.5500000000000007</v>
      </c>
      <c r="T124" s="581"/>
      <c r="U124" s="1039">
        <v>0.56999999999999995</v>
      </c>
      <c r="V124" s="575"/>
      <c r="W124" s="575"/>
      <c r="X124" s="583"/>
      <c r="Y124" s="809"/>
      <c r="Z124" s="575"/>
      <c r="AA124" s="581"/>
      <c r="AB124" s="575"/>
      <c r="AC124" s="575"/>
      <c r="AD124" s="575"/>
      <c r="AE124" s="753"/>
      <c r="AF124" s="809"/>
      <c r="AG124" s="588"/>
      <c r="AH124" s="842"/>
      <c r="AI124" s="1100">
        <v>24.24</v>
      </c>
      <c r="AJ124" s="843"/>
      <c r="AK124" s="949">
        <v>0</v>
      </c>
      <c r="AL124" s="581">
        <v>24.24</v>
      </c>
      <c r="AM124" s="750" t="s">
        <v>1612</v>
      </c>
      <c r="AN124" s="743">
        <v>44.14</v>
      </c>
    </row>
    <row r="125" spans="1:40" s="560" customFormat="1">
      <c r="A125" s="604" t="s">
        <v>795</v>
      </c>
      <c r="B125" s="604" t="s">
        <v>1232</v>
      </c>
      <c r="C125" s="614" t="s">
        <v>37</v>
      </c>
      <c r="D125" s="795"/>
      <c r="E125" s="581"/>
      <c r="F125" s="581"/>
      <c r="G125" s="581"/>
      <c r="H125" s="581"/>
      <c r="J125" s="1038">
        <v>4.55</v>
      </c>
      <c r="K125" s="777"/>
      <c r="L125" s="575"/>
      <c r="M125" s="581"/>
      <c r="N125" s="575"/>
      <c r="O125" s="575"/>
      <c r="P125" s="575"/>
      <c r="Q125" s="1075">
        <v>8.8000000000000007</v>
      </c>
      <c r="R125" s="797"/>
      <c r="S125" s="575"/>
      <c r="T125" s="1035">
        <v>11</v>
      </c>
      <c r="U125" s="1039">
        <v>5.4</v>
      </c>
      <c r="V125" s="575"/>
      <c r="W125" s="1039">
        <v>8.6</v>
      </c>
      <c r="X125" s="575"/>
      <c r="Y125" s="809"/>
      <c r="Z125" s="575"/>
      <c r="AA125" s="581"/>
      <c r="AB125" s="1090">
        <v>2</v>
      </c>
      <c r="AC125" s="575"/>
      <c r="AD125" s="1090">
        <v>87.97</v>
      </c>
      <c r="AE125" s="753"/>
      <c r="AF125" s="809"/>
      <c r="AG125" s="1092">
        <v>100</v>
      </c>
      <c r="AH125" s="842"/>
      <c r="AI125" s="1100">
        <v>228.32</v>
      </c>
      <c r="AJ125" s="843"/>
      <c r="AK125" s="949">
        <v>0</v>
      </c>
      <c r="AL125" s="581">
        <v>228.32</v>
      </c>
      <c r="AM125" s="750" t="s">
        <v>1613</v>
      </c>
      <c r="AN125" s="743">
        <v>0</v>
      </c>
    </row>
    <row r="126" spans="1:40" s="560" customFormat="1">
      <c r="A126" s="492" t="s">
        <v>461</v>
      </c>
      <c r="B126" s="608" t="s">
        <v>1270</v>
      </c>
      <c r="C126" s="690"/>
      <c r="D126" s="795"/>
      <c r="E126" s="581"/>
      <c r="F126" s="581"/>
      <c r="G126" s="581"/>
      <c r="H126" s="581"/>
      <c r="I126" s="949"/>
      <c r="J126" s="949"/>
      <c r="K126" s="777"/>
      <c r="L126" s="575"/>
      <c r="M126" s="581"/>
      <c r="N126" s="575"/>
      <c r="O126" s="575"/>
      <c r="P126" s="575"/>
      <c r="Q126" s="583"/>
      <c r="R126" s="797"/>
      <c r="S126" s="575"/>
      <c r="T126" s="581"/>
      <c r="U126" s="575"/>
      <c r="V126" s="575"/>
      <c r="W126" s="575"/>
      <c r="X126" s="575"/>
      <c r="Y126" s="809"/>
      <c r="Z126" s="575"/>
      <c r="AA126" s="581"/>
      <c r="AB126" s="575"/>
      <c r="AC126" s="575"/>
      <c r="AD126" s="575"/>
      <c r="AE126" s="753"/>
      <c r="AF126" s="809"/>
      <c r="AG126" s="588"/>
      <c r="AH126" s="842"/>
      <c r="AI126" s="738">
        <v>0</v>
      </c>
      <c r="AJ126" s="843"/>
      <c r="AK126" s="949">
        <v>0</v>
      </c>
      <c r="AL126" s="581">
        <v>0</v>
      </c>
      <c r="AM126" s="750"/>
      <c r="AN126" s="743">
        <v>0</v>
      </c>
    </row>
    <row r="127" spans="1:40" s="560" customFormat="1">
      <c r="A127" s="607" t="s">
        <v>462</v>
      </c>
      <c r="B127" s="607" t="s">
        <v>1222</v>
      </c>
      <c r="C127" s="690"/>
      <c r="D127" s="795"/>
      <c r="E127" s="581"/>
      <c r="F127" s="581"/>
      <c r="G127" s="581"/>
      <c r="H127" s="581"/>
      <c r="I127" s="949"/>
      <c r="J127" s="949"/>
      <c r="K127" s="777"/>
      <c r="L127" s="575"/>
      <c r="M127" s="581"/>
      <c r="N127" s="575"/>
      <c r="O127" s="575"/>
      <c r="P127" s="575"/>
      <c r="Q127" s="583"/>
      <c r="R127" s="797"/>
      <c r="S127" s="575"/>
      <c r="T127" s="581"/>
      <c r="U127" s="575"/>
      <c r="V127" s="575"/>
      <c r="W127" s="575"/>
      <c r="X127" s="575"/>
      <c r="Y127" s="809"/>
      <c r="Z127" s="575"/>
      <c r="AA127" s="581"/>
      <c r="AB127" s="575"/>
      <c r="AC127" s="575"/>
      <c r="AD127" s="575"/>
      <c r="AE127" s="753"/>
      <c r="AF127" s="809"/>
      <c r="AG127" s="588"/>
      <c r="AH127" s="842"/>
      <c r="AI127" s="738">
        <v>0</v>
      </c>
      <c r="AJ127" s="843"/>
      <c r="AK127" s="949">
        <v>0</v>
      </c>
      <c r="AL127" s="581">
        <v>0</v>
      </c>
      <c r="AM127" s="750"/>
      <c r="AN127" s="743">
        <v>0</v>
      </c>
    </row>
    <row r="128" spans="1:40" s="560" customFormat="1">
      <c r="A128" s="604" t="s">
        <v>828</v>
      </c>
      <c r="B128" s="604" t="s">
        <v>1223</v>
      </c>
      <c r="C128" s="614" t="s">
        <v>36</v>
      </c>
      <c r="D128" s="795"/>
      <c r="E128" s="581"/>
      <c r="F128" s="581"/>
      <c r="G128" s="581"/>
      <c r="H128" s="581"/>
      <c r="I128" s="949"/>
      <c r="J128" s="581"/>
      <c r="K128" s="777"/>
      <c r="L128" s="583"/>
      <c r="M128" s="581"/>
      <c r="N128" s="1039">
        <v>24.240000000000002</v>
      </c>
      <c r="O128" s="583"/>
      <c r="P128" s="575"/>
      <c r="Q128" s="583"/>
      <c r="R128" s="797"/>
      <c r="S128" s="575"/>
      <c r="T128" s="581"/>
      <c r="U128" s="575"/>
      <c r="V128" s="575"/>
      <c r="W128" s="575"/>
      <c r="X128" s="575"/>
      <c r="Y128" s="809"/>
      <c r="Z128" s="575"/>
      <c r="AA128" s="581"/>
      <c r="AB128" s="575"/>
      <c r="AC128" s="575"/>
      <c r="AD128" s="575"/>
      <c r="AE128" s="753"/>
      <c r="AF128" s="809"/>
      <c r="AG128" s="588"/>
      <c r="AH128" s="842"/>
      <c r="AI128" s="1100">
        <v>24.24</v>
      </c>
      <c r="AJ128" s="843"/>
      <c r="AK128" s="949">
        <v>0</v>
      </c>
      <c r="AL128" s="581">
        <v>24.24</v>
      </c>
      <c r="AM128" s="750" t="s">
        <v>1632</v>
      </c>
      <c r="AN128" s="743">
        <v>49.350000000000009</v>
      </c>
    </row>
    <row r="129" spans="1:40" s="560" customFormat="1">
      <c r="A129" s="607" t="s">
        <v>463</v>
      </c>
      <c r="B129" s="607" t="s">
        <v>1225</v>
      </c>
      <c r="C129" s="690"/>
      <c r="D129" s="795"/>
      <c r="E129" s="581"/>
      <c r="F129" s="581"/>
      <c r="G129" s="581"/>
      <c r="H129" s="581"/>
      <c r="I129" s="949"/>
      <c r="J129" s="949"/>
      <c r="K129" s="777"/>
      <c r="L129" s="575"/>
      <c r="M129" s="581"/>
      <c r="N129" s="575"/>
      <c r="O129" s="575"/>
      <c r="P129" s="575"/>
      <c r="Q129" s="583"/>
      <c r="R129" s="797"/>
      <c r="S129" s="575"/>
      <c r="T129" s="581"/>
      <c r="U129" s="575"/>
      <c r="V129" s="575"/>
      <c r="W129" s="575"/>
      <c r="X129" s="575"/>
      <c r="Y129" s="809"/>
      <c r="Z129" s="575"/>
      <c r="AA129" s="581"/>
      <c r="AB129" s="575"/>
      <c r="AC129" s="575"/>
      <c r="AD129" s="575"/>
      <c r="AE129" s="753"/>
      <c r="AF129" s="809"/>
      <c r="AG129" s="588"/>
      <c r="AH129" s="842"/>
      <c r="AI129" s="738">
        <v>0</v>
      </c>
      <c r="AJ129" s="843"/>
      <c r="AK129" s="949">
        <v>0</v>
      </c>
      <c r="AL129" s="581">
        <v>0</v>
      </c>
      <c r="AM129" s="750"/>
      <c r="AN129" s="743">
        <v>0</v>
      </c>
    </row>
    <row r="130" spans="1:40" s="560" customFormat="1">
      <c r="A130" s="604" t="s">
        <v>830</v>
      </c>
      <c r="B130" s="604" t="s">
        <v>1226</v>
      </c>
      <c r="C130" s="614" t="s">
        <v>36</v>
      </c>
      <c r="D130" s="795"/>
      <c r="E130" s="581"/>
      <c r="F130" s="581"/>
      <c r="G130" s="581"/>
      <c r="H130" s="1032">
        <v>12.967500000000001</v>
      </c>
      <c r="I130" s="1038">
        <v>17.100000000000001</v>
      </c>
      <c r="J130" s="949"/>
      <c r="K130" s="777"/>
      <c r="L130" s="575"/>
      <c r="M130" s="1035">
        <v>17.28</v>
      </c>
      <c r="N130" s="1075">
        <v>19.95</v>
      </c>
      <c r="O130" s="1075">
        <v>10.968999999999999</v>
      </c>
      <c r="P130" s="575"/>
      <c r="Q130" s="583"/>
      <c r="R130" s="797"/>
      <c r="S130" s="575"/>
      <c r="T130" s="581"/>
      <c r="U130" s="575"/>
      <c r="V130" s="575"/>
      <c r="W130" s="575"/>
      <c r="Y130" s="809"/>
      <c r="Z130" s="575"/>
      <c r="AA130" s="581"/>
      <c r="AB130" s="575"/>
      <c r="AC130" s="575"/>
      <c r="AD130" s="575"/>
      <c r="AE130" s="583"/>
      <c r="AF130" s="809"/>
      <c r="AG130" s="588"/>
      <c r="AH130" s="842"/>
      <c r="AI130" s="1100">
        <v>78.27</v>
      </c>
      <c r="AJ130" s="843"/>
      <c r="AK130" s="949">
        <v>0</v>
      </c>
      <c r="AL130" s="581">
        <v>78.27</v>
      </c>
      <c r="AM130" s="750" t="s">
        <v>1634</v>
      </c>
      <c r="AN130" s="743">
        <v>21.72</v>
      </c>
    </row>
    <row r="131" spans="1:40" s="560" customFormat="1">
      <c r="A131" s="604" t="s">
        <v>832</v>
      </c>
      <c r="B131" s="604" t="s">
        <v>1228</v>
      </c>
      <c r="C131" s="614" t="s">
        <v>36</v>
      </c>
      <c r="D131" s="795"/>
      <c r="E131" s="581"/>
      <c r="F131" s="581"/>
      <c r="G131" s="581"/>
      <c r="H131" s="1032">
        <v>15.7</v>
      </c>
      <c r="I131" s="949"/>
      <c r="J131" s="949"/>
      <c r="K131" s="777"/>
      <c r="L131" s="575"/>
      <c r="M131" s="581"/>
      <c r="N131" s="575"/>
      <c r="O131" s="575"/>
      <c r="P131" s="575"/>
      <c r="Q131" s="583"/>
      <c r="R131" s="797"/>
      <c r="S131" s="575"/>
      <c r="T131" s="581"/>
      <c r="U131" s="575"/>
      <c r="V131" s="1039">
        <v>12.205</v>
      </c>
      <c r="W131" s="575"/>
      <c r="X131" s="575"/>
      <c r="Y131" s="809"/>
      <c r="Z131" s="575"/>
      <c r="AA131" s="581"/>
      <c r="AB131" s="575"/>
      <c r="AC131" s="575"/>
      <c r="AD131" s="575"/>
      <c r="AE131" s="753"/>
      <c r="AF131" s="809"/>
      <c r="AG131" s="588"/>
      <c r="AH131" s="842"/>
      <c r="AI131" s="1100">
        <v>27.91</v>
      </c>
      <c r="AJ131" s="843"/>
      <c r="AK131" s="949">
        <v>0</v>
      </c>
      <c r="AL131" s="581">
        <v>27.91</v>
      </c>
      <c r="AM131" s="750" t="s">
        <v>1636</v>
      </c>
      <c r="AN131" s="743">
        <v>5.6900000000000013</v>
      </c>
    </row>
    <row r="132" spans="1:40" s="560" customFormat="1">
      <c r="A132" s="604" t="s">
        <v>833</v>
      </c>
      <c r="B132" s="604" t="s">
        <v>1229</v>
      </c>
      <c r="C132" s="614" t="s">
        <v>36</v>
      </c>
      <c r="D132" s="795"/>
      <c r="E132" s="581"/>
      <c r="F132" s="581"/>
      <c r="G132" s="581"/>
      <c r="H132" s="1032">
        <v>15.7</v>
      </c>
      <c r="I132" s="949"/>
      <c r="J132" s="949"/>
      <c r="K132" s="777"/>
      <c r="L132" s="575"/>
      <c r="M132" s="581"/>
      <c r="N132" s="575"/>
      <c r="O132" s="575"/>
      <c r="P132" s="575"/>
      <c r="Q132" s="583"/>
      <c r="R132" s="797"/>
      <c r="S132" s="575"/>
      <c r="T132" s="581"/>
      <c r="U132" s="575"/>
      <c r="V132" s="1039">
        <v>10.077999999999999</v>
      </c>
      <c r="W132" s="575"/>
      <c r="X132" s="575"/>
      <c r="Y132" s="809"/>
      <c r="Z132" s="575"/>
      <c r="AA132" s="581"/>
      <c r="AB132" s="575"/>
      <c r="AC132" s="575"/>
      <c r="AD132" s="575"/>
      <c r="AE132" s="753"/>
      <c r="AF132" s="809"/>
      <c r="AG132" s="588"/>
      <c r="AH132" s="842"/>
      <c r="AI132" s="1100">
        <v>25.78</v>
      </c>
      <c r="AJ132" s="843"/>
      <c r="AK132" s="949">
        <v>0</v>
      </c>
      <c r="AL132" s="581">
        <v>25.78</v>
      </c>
      <c r="AM132" s="750" t="s">
        <v>1637</v>
      </c>
      <c r="AN132" s="743">
        <v>1.6400000000000006</v>
      </c>
    </row>
    <row r="133" spans="1:40" s="560" customFormat="1">
      <c r="A133" s="604" t="s">
        <v>835</v>
      </c>
      <c r="B133" s="604" t="s">
        <v>1231</v>
      </c>
      <c r="C133" s="614" t="s">
        <v>37</v>
      </c>
      <c r="D133" s="795"/>
      <c r="E133" s="581"/>
      <c r="F133" s="581"/>
      <c r="G133" s="581"/>
      <c r="H133" s="581"/>
      <c r="I133" s="949"/>
      <c r="J133" s="949"/>
      <c r="K133" s="777"/>
      <c r="L133" s="1039">
        <v>0.22</v>
      </c>
      <c r="M133" s="581"/>
      <c r="N133" s="575"/>
      <c r="O133" s="575"/>
      <c r="P133" s="575"/>
      <c r="Q133" s="583"/>
      <c r="R133" s="797"/>
      <c r="S133" s="575"/>
      <c r="T133" s="581"/>
      <c r="U133" s="575"/>
      <c r="V133" s="575"/>
      <c r="W133" s="575"/>
      <c r="X133" s="575"/>
      <c r="Y133" s="809"/>
      <c r="Z133" s="575"/>
      <c r="AA133" s="581"/>
      <c r="AB133" s="810"/>
      <c r="AC133" s="583"/>
      <c r="AD133" s="583"/>
      <c r="AE133" s="753"/>
      <c r="AF133" s="809"/>
      <c r="AG133" s="588"/>
      <c r="AH133" s="842"/>
      <c r="AI133" s="1100">
        <v>0.22</v>
      </c>
      <c r="AJ133" s="843"/>
      <c r="AK133" s="949">
        <v>0</v>
      </c>
      <c r="AL133" s="581">
        <v>0.22</v>
      </c>
      <c r="AM133" s="750" t="s">
        <v>1639</v>
      </c>
      <c r="AN133" s="743">
        <v>79.8</v>
      </c>
    </row>
    <row r="134" spans="1:40" s="560" customFormat="1">
      <c r="A134" s="604" t="s">
        <v>836</v>
      </c>
      <c r="B134" s="604" t="s">
        <v>1232</v>
      </c>
      <c r="C134" s="614" t="s">
        <v>37</v>
      </c>
      <c r="D134" s="795"/>
      <c r="E134" s="581"/>
      <c r="F134" s="581"/>
      <c r="G134" s="581"/>
      <c r="H134" s="1032">
        <v>23.85</v>
      </c>
      <c r="I134" s="1038">
        <v>18</v>
      </c>
      <c r="J134" s="949"/>
      <c r="K134" s="777"/>
      <c r="L134" s="575"/>
      <c r="M134" s="581"/>
      <c r="N134" s="575"/>
      <c r="O134" s="1075">
        <v>10.45</v>
      </c>
      <c r="P134" s="575"/>
      <c r="Q134" s="583"/>
      <c r="R134" s="797"/>
      <c r="S134" s="575"/>
      <c r="T134" s="581"/>
      <c r="U134" s="575"/>
      <c r="V134" s="575"/>
      <c r="W134" s="575"/>
      <c r="X134" s="575"/>
      <c r="Y134" s="809"/>
      <c r="Z134" s="575"/>
      <c r="AA134" s="581"/>
      <c r="AB134" s="575"/>
      <c r="AC134" s="575"/>
      <c r="AD134" s="575"/>
      <c r="AE134" s="1094">
        <v>175.02</v>
      </c>
      <c r="AF134" s="809"/>
      <c r="AG134" s="588"/>
      <c r="AH134" s="842"/>
      <c r="AI134" s="1100">
        <v>227.32</v>
      </c>
      <c r="AJ134" s="843"/>
      <c r="AK134" s="949">
        <v>0</v>
      </c>
      <c r="AL134" s="581">
        <v>227.32</v>
      </c>
      <c r="AM134" s="750" t="s">
        <v>1640</v>
      </c>
      <c r="AN134" s="743">
        <v>18.200000000000017</v>
      </c>
    </row>
    <row r="135" spans="1:40" s="560" customFormat="1">
      <c r="A135" s="607" t="s">
        <v>464</v>
      </c>
      <c r="B135" s="607" t="s">
        <v>1233</v>
      </c>
      <c r="C135" s="690"/>
      <c r="D135" s="795"/>
      <c r="E135" s="581"/>
      <c r="F135" s="581"/>
      <c r="G135" s="581"/>
      <c r="H135" s="581"/>
      <c r="I135" s="949"/>
      <c r="J135" s="949"/>
      <c r="K135" s="777"/>
      <c r="L135" s="575"/>
      <c r="M135" s="581"/>
      <c r="N135" s="575"/>
      <c r="O135" s="575"/>
      <c r="P135" s="575"/>
      <c r="Q135" s="583"/>
      <c r="R135" s="797"/>
      <c r="S135" s="575"/>
      <c r="T135" s="581"/>
      <c r="U135" s="575"/>
      <c r="V135" s="575"/>
      <c r="W135" s="575"/>
      <c r="X135" s="575"/>
      <c r="Y135" s="809"/>
      <c r="Z135" s="575"/>
      <c r="AA135" s="581"/>
      <c r="AB135" s="575"/>
      <c r="AC135" s="575"/>
      <c r="AD135" s="575"/>
      <c r="AE135" s="753"/>
      <c r="AF135" s="809"/>
      <c r="AG135" s="588"/>
      <c r="AH135" s="842"/>
      <c r="AI135" s="738">
        <v>0</v>
      </c>
      <c r="AJ135" s="843"/>
      <c r="AK135" s="949">
        <v>0</v>
      </c>
      <c r="AL135" s="581">
        <v>0</v>
      </c>
      <c r="AM135" s="750"/>
      <c r="AN135" s="743">
        <v>0</v>
      </c>
    </row>
    <row r="136" spans="1:40" s="560" customFormat="1">
      <c r="A136" s="604" t="s">
        <v>837</v>
      </c>
      <c r="B136" s="604" t="s">
        <v>1234</v>
      </c>
      <c r="C136" s="614" t="s">
        <v>36</v>
      </c>
      <c r="D136" s="795"/>
      <c r="E136" s="1035">
        <v>8.4599999999999991</v>
      </c>
      <c r="F136" s="1035">
        <v>9.2999999999999989</v>
      </c>
      <c r="G136" s="1072">
        <v>0.53939999999999999</v>
      </c>
      <c r="H136" s="581"/>
      <c r="I136" s="949"/>
      <c r="J136" s="949"/>
      <c r="K136" s="777"/>
      <c r="L136" s="575"/>
      <c r="M136" s="581"/>
      <c r="N136" s="575"/>
      <c r="O136" s="575"/>
      <c r="P136" s="575"/>
      <c r="Q136" s="583"/>
      <c r="R136" s="797"/>
      <c r="S136" s="575"/>
      <c r="T136" s="581"/>
      <c r="U136" s="575"/>
      <c r="V136" s="575"/>
      <c r="W136" s="575"/>
      <c r="X136" s="575"/>
      <c r="Y136" s="797"/>
      <c r="Z136" s="575"/>
      <c r="AA136" s="581"/>
      <c r="AB136" s="583"/>
      <c r="AC136" s="583"/>
      <c r="AD136" s="583"/>
      <c r="AE136" s="753"/>
      <c r="AF136" s="797"/>
      <c r="AG136" s="949"/>
      <c r="AH136" s="842"/>
      <c r="AI136" s="1100">
        <v>18.3</v>
      </c>
      <c r="AJ136" s="843"/>
      <c r="AK136" s="949">
        <v>0</v>
      </c>
      <c r="AL136" s="581">
        <v>18.3</v>
      </c>
      <c r="AM136" s="750" t="s">
        <v>1641</v>
      </c>
      <c r="AN136" s="743">
        <v>47.620000000000005</v>
      </c>
    </row>
    <row r="137" spans="1:40" s="560" customFormat="1">
      <c r="A137" s="492" t="s">
        <v>470</v>
      </c>
      <c r="B137" s="608" t="s">
        <v>1141</v>
      </c>
      <c r="C137" s="690"/>
      <c r="D137" s="795"/>
      <c r="E137" s="581"/>
      <c r="F137" s="581"/>
      <c r="G137" s="581"/>
      <c r="H137" s="581"/>
      <c r="I137" s="949"/>
      <c r="J137" s="949"/>
      <c r="K137" s="777"/>
      <c r="L137" s="575"/>
      <c r="M137" s="581"/>
      <c r="N137" s="575"/>
      <c r="O137" s="575"/>
      <c r="P137" s="575"/>
      <c r="Q137" s="583"/>
      <c r="R137" s="797"/>
      <c r="S137" s="575"/>
      <c r="T137" s="581"/>
      <c r="U137" s="575"/>
      <c r="V137" s="575"/>
      <c r="W137" s="575"/>
      <c r="X137" s="575"/>
      <c r="Y137" s="809"/>
      <c r="Z137" s="575"/>
      <c r="AA137" s="581"/>
      <c r="AB137" s="575"/>
      <c r="AC137" s="575"/>
      <c r="AD137" s="575"/>
      <c r="AE137" s="753"/>
      <c r="AF137" s="809"/>
      <c r="AG137" s="588"/>
      <c r="AH137" s="842"/>
      <c r="AI137" s="738">
        <v>0</v>
      </c>
      <c r="AJ137" s="843"/>
      <c r="AK137" s="949">
        <v>0</v>
      </c>
      <c r="AL137" s="581">
        <v>0</v>
      </c>
      <c r="AM137" s="750"/>
      <c r="AN137" s="743">
        <v>0</v>
      </c>
    </row>
    <row r="138" spans="1:40" s="560" customFormat="1">
      <c r="A138" s="607" t="s">
        <v>471</v>
      </c>
      <c r="B138" s="607" t="s">
        <v>1222</v>
      </c>
      <c r="C138" s="690"/>
      <c r="D138" s="795"/>
      <c r="E138" s="581"/>
      <c r="F138" s="581"/>
      <c r="G138" s="581"/>
      <c r="H138" s="581"/>
      <c r="I138" s="949"/>
      <c r="J138" s="949"/>
      <c r="K138" s="777"/>
      <c r="L138" s="575"/>
      <c r="M138" s="581"/>
      <c r="N138" s="575"/>
      <c r="O138" s="575"/>
      <c r="P138" s="575"/>
      <c r="Q138" s="583"/>
      <c r="R138" s="797"/>
      <c r="S138" s="575"/>
      <c r="T138" s="581"/>
      <c r="U138" s="575"/>
      <c r="V138" s="575"/>
      <c r="W138" s="575"/>
      <c r="X138" s="575"/>
      <c r="Y138" s="809"/>
      <c r="Z138" s="575"/>
      <c r="AA138" s="581"/>
      <c r="AB138" s="575"/>
      <c r="AC138" s="575"/>
      <c r="AD138" s="575"/>
      <c r="AE138" s="753"/>
      <c r="AF138" s="809"/>
      <c r="AG138" s="588"/>
      <c r="AH138" s="842"/>
      <c r="AI138" s="738">
        <v>0</v>
      </c>
      <c r="AJ138" s="843"/>
      <c r="AK138" s="949">
        <v>0</v>
      </c>
      <c r="AL138" s="581">
        <v>0</v>
      </c>
      <c r="AM138" s="750"/>
      <c r="AN138" s="743">
        <v>0</v>
      </c>
    </row>
    <row r="139" spans="1:40" s="560" customFormat="1">
      <c r="A139" s="604" t="s">
        <v>873</v>
      </c>
      <c r="B139" s="604" t="s">
        <v>1223</v>
      </c>
      <c r="C139" s="614" t="s">
        <v>36</v>
      </c>
      <c r="D139" s="795"/>
      <c r="E139" s="581"/>
      <c r="F139" s="581"/>
      <c r="G139" s="581"/>
      <c r="H139" s="581"/>
      <c r="I139" s="949"/>
      <c r="J139" s="949"/>
      <c r="K139" s="777"/>
      <c r="L139" s="1039">
        <v>2.6</v>
      </c>
      <c r="M139" s="1035">
        <v>6.84</v>
      </c>
      <c r="N139" s="575"/>
      <c r="O139" s="1075">
        <v>4.870000000000001</v>
      </c>
      <c r="P139" s="1075">
        <v>9.0309999999999988</v>
      </c>
      <c r="Q139" s="583"/>
      <c r="R139" s="797"/>
      <c r="S139" s="575"/>
      <c r="T139" s="581"/>
      <c r="U139" s="1039">
        <v>9.1999999999999993</v>
      </c>
      <c r="V139" s="575"/>
      <c r="W139" s="575"/>
      <c r="X139" s="575"/>
      <c r="Y139" s="809"/>
      <c r="Z139" s="575"/>
      <c r="AA139" s="581"/>
      <c r="AB139" s="575"/>
      <c r="AC139" s="575"/>
      <c r="AD139" s="575"/>
      <c r="AE139" s="753"/>
      <c r="AF139" s="809"/>
      <c r="AG139" s="588"/>
      <c r="AH139" s="842"/>
      <c r="AI139" s="1100">
        <v>32.54</v>
      </c>
      <c r="AJ139" s="843"/>
      <c r="AK139" s="949">
        <v>0</v>
      </c>
      <c r="AL139" s="581">
        <v>32.54</v>
      </c>
      <c r="AM139" s="750" t="s">
        <v>1663</v>
      </c>
      <c r="AN139" s="743">
        <v>13.21</v>
      </c>
    </row>
    <row r="140" spans="1:40" s="560" customFormat="1">
      <c r="A140" s="607" t="s">
        <v>472</v>
      </c>
      <c r="B140" s="607" t="s">
        <v>1225</v>
      </c>
      <c r="C140" s="690"/>
      <c r="D140" s="795"/>
      <c r="E140" s="581"/>
      <c r="F140" s="581"/>
      <c r="G140" s="581"/>
      <c r="H140" s="581"/>
      <c r="I140" s="949"/>
      <c r="J140" s="949"/>
      <c r="K140" s="777"/>
      <c r="L140" s="575"/>
      <c r="M140" s="581"/>
      <c r="N140" s="575"/>
      <c r="O140" s="575"/>
      <c r="P140" s="575"/>
      <c r="Q140" s="583"/>
      <c r="R140" s="797"/>
      <c r="S140" s="575"/>
      <c r="T140" s="581"/>
      <c r="U140" s="575"/>
      <c r="V140" s="575"/>
      <c r="W140" s="575"/>
      <c r="X140" s="575"/>
      <c r="Y140" s="809"/>
      <c r="Z140" s="575"/>
      <c r="AA140" s="581"/>
      <c r="AB140" s="575"/>
      <c r="AC140" s="575"/>
      <c r="AD140" s="575"/>
      <c r="AE140" s="753"/>
      <c r="AF140" s="809"/>
      <c r="AG140" s="588"/>
      <c r="AH140" s="842"/>
      <c r="AI140" s="738">
        <v>0</v>
      </c>
      <c r="AJ140" s="843"/>
      <c r="AK140" s="949">
        <v>0</v>
      </c>
      <c r="AL140" s="581">
        <v>0</v>
      </c>
      <c r="AM140" s="750"/>
      <c r="AN140" s="743">
        <v>0</v>
      </c>
    </row>
    <row r="141" spans="1:40" s="560" customFormat="1">
      <c r="A141" s="604" t="s">
        <v>878</v>
      </c>
      <c r="B141" s="604" t="s">
        <v>1229</v>
      </c>
      <c r="C141" s="614" t="s">
        <v>36</v>
      </c>
      <c r="D141" s="795"/>
      <c r="E141" s="581"/>
      <c r="F141" s="581"/>
      <c r="G141" s="581"/>
      <c r="H141" s="581"/>
      <c r="I141" s="949"/>
      <c r="J141" s="949"/>
      <c r="K141" s="777"/>
      <c r="L141" s="575"/>
      <c r="M141" s="581"/>
      <c r="N141" s="575"/>
      <c r="O141" s="575"/>
      <c r="P141" s="575"/>
      <c r="Q141" s="583"/>
      <c r="R141" s="797"/>
      <c r="S141" s="575"/>
      <c r="T141" s="581"/>
      <c r="U141" s="575"/>
      <c r="V141" s="575"/>
      <c r="W141" s="575"/>
      <c r="X141" s="575"/>
      <c r="Y141" s="809"/>
      <c r="Z141" s="575"/>
      <c r="AA141" s="581"/>
      <c r="AB141" s="575"/>
      <c r="AC141" s="575"/>
      <c r="AD141" s="575"/>
      <c r="AE141" s="753"/>
      <c r="AF141" s="809"/>
      <c r="AG141" s="1092">
        <v>3.3</v>
      </c>
      <c r="AH141" s="842"/>
      <c r="AI141" s="1100">
        <v>3.3</v>
      </c>
      <c r="AJ141" s="843"/>
      <c r="AK141" s="949">
        <v>0</v>
      </c>
      <c r="AL141" s="581">
        <v>3.3</v>
      </c>
      <c r="AM141" s="750" t="s">
        <v>1667</v>
      </c>
      <c r="AN141" s="743">
        <v>21.57</v>
      </c>
    </row>
    <row r="142" spans="1:40" s="560" customFormat="1">
      <c r="A142" s="607" t="s">
        <v>473</v>
      </c>
      <c r="B142" s="607" t="s">
        <v>1233</v>
      </c>
      <c r="C142" s="690"/>
      <c r="D142" s="795"/>
      <c r="E142" s="581"/>
      <c r="F142" s="581"/>
      <c r="G142" s="581"/>
      <c r="H142" s="581"/>
      <c r="I142" s="949"/>
      <c r="J142" s="949"/>
      <c r="K142" s="777"/>
      <c r="L142" s="575"/>
      <c r="M142" s="581"/>
      <c r="N142" s="575"/>
      <c r="O142" s="575"/>
      <c r="P142" s="575"/>
      <c r="Q142" s="583"/>
      <c r="R142" s="797"/>
      <c r="S142" s="575"/>
      <c r="T142" s="581"/>
      <c r="U142" s="575"/>
      <c r="V142" s="575"/>
      <c r="W142" s="575"/>
      <c r="X142" s="575"/>
      <c r="Y142" s="809"/>
      <c r="Z142" s="575"/>
      <c r="AA142" s="581"/>
      <c r="AB142" s="575"/>
      <c r="AC142" s="575"/>
      <c r="AD142" s="575"/>
      <c r="AE142" s="753"/>
      <c r="AF142" s="809"/>
      <c r="AG142" s="588"/>
      <c r="AH142" s="842"/>
      <c r="AI142" s="738">
        <v>0</v>
      </c>
      <c r="AJ142" s="843"/>
      <c r="AK142" s="949">
        <v>0</v>
      </c>
      <c r="AL142" s="581">
        <v>0</v>
      </c>
      <c r="AM142" s="750"/>
      <c r="AN142" s="743">
        <v>0</v>
      </c>
    </row>
    <row r="143" spans="1:40" s="560" customFormat="1">
      <c r="A143" s="604" t="s">
        <v>882</v>
      </c>
      <c r="B143" s="604" t="s">
        <v>1234</v>
      </c>
      <c r="C143" s="614" t="s">
        <v>36</v>
      </c>
      <c r="D143" s="795"/>
      <c r="E143" s="581"/>
      <c r="F143" s="581"/>
      <c r="G143" s="581"/>
      <c r="H143" s="581"/>
      <c r="I143" s="949"/>
      <c r="J143" s="949"/>
      <c r="K143" s="777"/>
      <c r="L143" s="575"/>
      <c r="M143" s="581"/>
      <c r="N143" s="575"/>
      <c r="O143" s="575"/>
      <c r="P143" s="575"/>
      <c r="Q143" s="583"/>
      <c r="R143" s="797"/>
      <c r="S143" s="575"/>
      <c r="T143" s="581"/>
      <c r="U143" s="575"/>
      <c r="V143" s="575"/>
      <c r="W143" s="575"/>
      <c r="X143" s="575"/>
      <c r="Y143" s="809"/>
      <c r="Z143" s="575"/>
      <c r="AA143" s="581"/>
      <c r="AB143" s="1090">
        <v>7.0200000000000005</v>
      </c>
      <c r="AC143" s="1090">
        <v>7.0200000000000005</v>
      </c>
      <c r="AD143" s="1090">
        <v>14.040000000000001</v>
      </c>
      <c r="AE143" s="753"/>
      <c r="AF143" s="809"/>
      <c r="AG143" s="588"/>
      <c r="AH143" s="842"/>
      <c r="AI143" s="1100">
        <v>28.08</v>
      </c>
      <c r="AJ143" s="843"/>
      <c r="AK143" s="949">
        <v>0</v>
      </c>
      <c r="AL143" s="581">
        <v>28.08</v>
      </c>
      <c r="AM143" s="750" t="s">
        <v>1671</v>
      </c>
      <c r="AN143" s="743">
        <v>10.160000000000004</v>
      </c>
    </row>
    <row r="144" spans="1:40" s="560" customFormat="1">
      <c r="A144" s="492" t="s">
        <v>504</v>
      </c>
      <c r="B144" s="608" t="s">
        <v>1283</v>
      </c>
      <c r="C144" s="690"/>
      <c r="D144" s="795"/>
      <c r="E144" s="581"/>
      <c r="F144" s="581"/>
      <c r="G144" s="581"/>
      <c r="H144" s="581"/>
      <c r="I144" s="949"/>
      <c r="J144" s="949"/>
      <c r="K144" s="777"/>
      <c r="L144" s="575"/>
      <c r="M144" s="581"/>
      <c r="N144" s="575"/>
      <c r="O144" s="575"/>
      <c r="P144" s="575"/>
      <c r="Q144" s="583"/>
      <c r="R144" s="797"/>
      <c r="S144" s="575"/>
      <c r="T144" s="581"/>
      <c r="U144" s="575"/>
      <c r="V144" s="575"/>
      <c r="W144" s="575"/>
      <c r="X144" s="575"/>
      <c r="Y144" s="809"/>
      <c r="Z144" s="575"/>
      <c r="AA144" s="581"/>
      <c r="AB144" s="575"/>
      <c r="AC144" s="575"/>
      <c r="AD144" s="575"/>
      <c r="AE144" s="753"/>
      <c r="AF144" s="809"/>
      <c r="AG144" s="588"/>
      <c r="AH144" s="842"/>
      <c r="AI144" s="738">
        <v>0</v>
      </c>
      <c r="AJ144" s="843"/>
      <c r="AK144" s="949">
        <v>0</v>
      </c>
      <c r="AL144" s="581">
        <v>0</v>
      </c>
      <c r="AM144" s="750"/>
      <c r="AN144" s="743">
        <v>0</v>
      </c>
    </row>
    <row r="145" spans="1:40" s="560" customFormat="1">
      <c r="A145" s="607" t="s">
        <v>505</v>
      </c>
      <c r="B145" s="607" t="s">
        <v>1222</v>
      </c>
      <c r="C145" s="690"/>
      <c r="D145" s="795"/>
      <c r="E145" s="581"/>
      <c r="F145" s="581"/>
      <c r="G145" s="581"/>
      <c r="H145" s="581"/>
      <c r="I145" s="949"/>
      <c r="J145" s="949"/>
      <c r="K145" s="777"/>
      <c r="L145" s="575"/>
      <c r="M145" s="581"/>
      <c r="N145" s="575"/>
      <c r="O145" s="575"/>
      <c r="P145" s="575"/>
      <c r="Q145" s="583"/>
      <c r="R145" s="797"/>
      <c r="S145" s="575"/>
      <c r="T145" s="581"/>
      <c r="U145" s="575"/>
      <c r="V145" s="575"/>
      <c r="W145" s="575"/>
      <c r="X145" s="575"/>
      <c r="Y145" s="809"/>
      <c r="Z145" s="575"/>
      <c r="AA145" s="581"/>
      <c r="AB145" s="575"/>
      <c r="AC145" s="575"/>
      <c r="AD145" s="575"/>
      <c r="AE145" s="753"/>
      <c r="AF145" s="809"/>
      <c r="AG145" s="588"/>
      <c r="AH145" s="842"/>
      <c r="AI145" s="738">
        <v>0</v>
      </c>
      <c r="AJ145" s="843"/>
      <c r="AK145" s="949">
        <v>0</v>
      </c>
      <c r="AL145" s="581">
        <v>0</v>
      </c>
      <c r="AM145" s="750"/>
      <c r="AN145" s="743">
        <v>0</v>
      </c>
    </row>
    <row r="146" spans="1:40" s="560" customFormat="1">
      <c r="A146" s="604" t="s">
        <v>506</v>
      </c>
      <c r="B146" s="604" t="s">
        <v>1223</v>
      </c>
      <c r="C146" s="614" t="s">
        <v>36</v>
      </c>
      <c r="D146" s="795"/>
      <c r="E146" s="581"/>
      <c r="F146" s="581"/>
      <c r="G146" s="581"/>
      <c r="H146" s="581"/>
      <c r="I146" s="949"/>
      <c r="J146" s="949"/>
      <c r="K146" s="777"/>
      <c r="L146" s="575"/>
      <c r="M146" s="581"/>
      <c r="N146" s="575"/>
      <c r="O146" s="575"/>
      <c r="P146" s="575"/>
      <c r="Q146" s="583"/>
      <c r="R146" s="797"/>
      <c r="S146" s="575"/>
      <c r="T146" s="581"/>
      <c r="U146" s="1039">
        <v>10.799999999999999</v>
      </c>
      <c r="V146" s="1039">
        <v>13.71</v>
      </c>
      <c r="W146" s="1039">
        <v>3.16</v>
      </c>
      <c r="X146" s="1039">
        <v>7.3395000000000001</v>
      </c>
      <c r="Y146" s="809"/>
      <c r="Z146" s="1039">
        <v>5.98</v>
      </c>
      <c r="AA146" s="581"/>
      <c r="AB146" s="575"/>
      <c r="AC146" s="575"/>
      <c r="AD146" s="575"/>
      <c r="AE146" s="753"/>
      <c r="AF146" s="809"/>
      <c r="AG146" s="588"/>
      <c r="AH146" s="842"/>
      <c r="AI146" s="1100">
        <v>40.99</v>
      </c>
      <c r="AJ146" s="843"/>
      <c r="AK146" s="949">
        <v>0</v>
      </c>
      <c r="AL146" s="581">
        <v>40.99</v>
      </c>
      <c r="AM146" s="750" t="s">
        <v>1689</v>
      </c>
      <c r="AN146" s="743">
        <v>15.669999999999995</v>
      </c>
    </row>
    <row r="147" spans="1:40" s="560" customFormat="1">
      <c r="A147" s="607" t="s">
        <v>510</v>
      </c>
      <c r="B147" s="607" t="s">
        <v>1233</v>
      </c>
      <c r="C147" s="690"/>
      <c r="D147" s="795"/>
      <c r="E147" s="581"/>
      <c r="F147" s="581"/>
      <c r="G147" s="581"/>
      <c r="H147" s="581"/>
      <c r="I147" s="949"/>
      <c r="J147" s="949"/>
      <c r="K147" s="777"/>
      <c r="L147" s="575"/>
      <c r="M147" s="581"/>
      <c r="N147" s="575"/>
      <c r="O147" s="575"/>
      <c r="P147" s="575"/>
      <c r="Q147" s="583"/>
      <c r="R147" s="797"/>
      <c r="S147" s="575"/>
      <c r="T147" s="581"/>
      <c r="U147" s="575"/>
      <c r="V147" s="575"/>
      <c r="W147" s="575"/>
      <c r="X147" s="575"/>
      <c r="Y147" s="809"/>
      <c r="Z147" s="575"/>
      <c r="AA147" s="581"/>
      <c r="AB147" s="575"/>
      <c r="AC147" s="575"/>
      <c r="AD147" s="575"/>
      <c r="AE147" s="753"/>
      <c r="AF147" s="809"/>
      <c r="AG147" s="588"/>
      <c r="AH147" s="842"/>
      <c r="AI147" s="738">
        <v>0</v>
      </c>
      <c r="AJ147" s="843"/>
      <c r="AK147" s="949">
        <v>0</v>
      </c>
      <c r="AL147" s="581">
        <v>0</v>
      </c>
      <c r="AM147" s="750"/>
      <c r="AN147" s="743">
        <v>0</v>
      </c>
    </row>
    <row r="148" spans="1:40" s="560" customFormat="1">
      <c r="A148" s="604" t="s">
        <v>511</v>
      </c>
      <c r="B148" s="604" t="s">
        <v>1234</v>
      </c>
      <c r="C148" s="614" t="s">
        <v>36</v>
      </c>
      <c r="D148" s="795"/>
      <c r="E148" s="581"/>
      <c r="F148" s="581"/>
      <c r="G148" s="581"/>
      <c r="H148" s="581"/>
      <c r="I148" s="949"/>
      <c r="J148" s="949"/>
      <c r="K148" s="777"/>
      <c r="L148" s="575"/>
      <c r="M148" s="581"/>
      <c r="N148" s="575"/>
      <c r="O148" s="575"/>
      <c r="P148" s="575"/>
      <c r="Q148" s="583"/>
      <c r="R148" s="797"/>
      <c r="S148" s="575"/>
      <c r="T148" s="581"/>
      <c r="U148" s="575"/>
      <c r="V148" s="575"/>
      <c r="W148" s="575"/>
      <c r="X148" s="575"/>
      <c r="Y148" s="809"/>
      <c r="Z148" s="575"/>
      <c r="AA148" s="581"/>
      <c r="AB148" s="575"/>
      <c r="AC148" s="575"/>
      <c r="AD148" s="575"/>
      <c r="AE148" s="753"/>
      <c r="AF148" s="809"/>
      <c r="AG148" s="588"/>
      <c r="AH148" s="1093">
        <v>7.83</v>
      </c>
      <c r="AI148" s="1100">
        <v>7.83</v>
      </c>
      <c r="AJ148" s="843"/>
      <c r="AK148" s="949">
        <v>0</v>
      </c>
      <c r="AL148" s="581">
        <v>7.83</v>
      </c>
      <c r="AM148" s="750" t="s">
        <v>1698</v>
      </c>
      <c r="AN148" s="743">
        <v>26.120000000000005</v>
      </c>
    </row>
  </sheetData>
  <mergeCells count="6">
    <mergeCell ref="A1:K1"/>
    <mergeCell ref="A2:K2"/>
    <mergeCell ref="B4:K4"/>
    <mergeCell ref="B5:K5"/>
    <mergeCell ref="A9:A10"/>
    <mergeCell ref="B9:B10"/>
  </mergeCells>
  <conditionalFormatting sqref="AA65">
    <cfRule type="cellIs" dxfId="3" priority="3" operator="lessThan">
      <formula>0</formula>
    </cfRule>
    <cfRule type="cellIs" dxfId="2" priority="4" operator="lessThan">
      <formula>0</formula>
    </cfRule>
  </conditionalFormatting>
  <conditionalFormatting sqref="AB33">
    <cfRule type="cellIs" dxfId="1" priority="1" operator="less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paperSize="9" scale="23" orientation="portrait" r:id="rId1"/>
  <colBreaks count="1" manualBreakCount="1">
    <brk id="35" max="700" man="1"/>
  </col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N656"/>
  <sheetViews>
    <sheetView workbookViewId="0">
      <selection sqref="A1:C1"/>
    </sheetView>
  </sheetViews>
  <sheetFormatPr baseColWidth="10" defaultColWidth="11.44140625" defaultRowHeight="13.2"/>
  <cols>
    <col min="1" max="1" width="10.44140625" style="618" customWidth="1"/>
    <col min="2" max="2" width="99.33203125" style="616" customWidth="1"/>
    <col min="3" max="3" width="5" style="559" customWidth="1"/>
    <col min="4" max="4" width="9.109375" style="560" customWidth="1"/>
    <col min="5" max="5" width="9.109375" style="557" customWidth="1"/>
    <col min="6" max="6" width="11.44140625" style="557"/>
    <col min="7" max="7" width="14.44140625" style="557" customWidth="1"/>
    <col min="8" max="225" width="11.44140625" style="557"/>
    <col min="226" max="226" width="6.44140625" style="557" customWidth="1"/>
    <col min="227" max="227" width="47.88671875" style="557" customWidth="1"/>
    <col min="228" max="229" width="5" style="557" customWidth="1"/>
    <col min="230" max="230" width="5.33203125" style="557" customWidth="1"/>
    <col min="231" max="231" width="4.88671875" style="557" customWidth="1"/>
    <col min="232" max="233" width="4.109375" style="557" customWidth="1"/>
    <col min="234" max="234" width="3.5546875" style="557" customWidth="1"/>
    <col min="235" max="235" width="5" style="557" customWidth="1"/>
    <col min="236" max="236" width="4" style="557" customWidth="1"/>
    <col min="237" max="238" width="4.5546875" style="557" customWidth="1"/>
    <col min="239" max="239" width="4.109375" style="557" customWidth="1"/>
    <col min="240" max="240" width="4" style="557" customWidth="1"/>
    <col min="241" max="241" width="3.88671875" style="557" customWidth="1"/>
    <col min="242" max="243" width="4.6640625" style="557" customWidth="1"/>
    <col min="244" max="244" width="4" style="557" customWidth="1"/>
    <col min="245" max="245" width="4.33203125" style="557" customWidth="1"/>
    <col min="246" max="246" width="4.109375" style="557" customWidth="1"/>
    <col min="247" max="247" width="3.88671875" style="557" customWidth="1"/>
    <col min="248" max="248" width="4.109375" style="557" customWidth="1"/>
    <col min="249" max="249" width="5.5546875" style="557" customWidth="1"/>
    <col min="250" max="250" width="3.5546875" style="557" customWidth="1"/>
    <col min="251" max="251" width="4" style="557" customWidth="1"/>
    <col min="252" max="252" width="4.5546875" style="557" customWidth="1"/>
    <col min="253" max="253" width="4.44140625" style="557" customWidth="1"/>
    <col min="254" max="255" width="4.33203125" style="557" customWidth="1"/>
    <col min="256" max="257" width="4.88671875" style="557" customWidth="1"/>
    <col min="258" max="258" width="4" style="557" customWidth="1"/>
    <col min="259" max="259" width="4.6640625" style="557" customWidth="1"/>
    <col min="260" max="260" width="6" style="557" customWidth="1"/>
    <col min="261" max="261" width="8.88671875" style="557" customWidth="1"/>
    <col min="262" max="481" width="11.44140625" style="557"/>
    <col min="482" max="482" width="6.44140625" style="557" customWidth="1"/>
    <col min="483" max="483" width="47.88671875" style="557" customWidth="1"/>
    <col min="484" max="485" width="5" style="557" customWidth="1"/>
    <col min="486" max="486" width="5.33203125" style="557" customWidth="1"/>
    <col min="487" max="487" width="4.88671875" style="557" customWidth="1"/>
    <col min="488" max="489" width="4.109375" style="557" customWidth="1"/>
    <col min="490" max="490" width="3.5546875" style="557" customWidth="1"/>
    <col min="491" max="491" width="5" style="557" customWidth="1"/>
    <col min="492" max="492" width="4" style="557" customWidth="1"/>
    <col min="493" max="494" width="4.5546875" style="557" customWidth="1"/>
    <col min="495" max="495" width="4.109375" style="557" customWidth="1"/>
    <col min="496" max="496" width="4" style="557" customWidth="1"/>
    <col min="497" max="497" width="3.88671875" style="557" customWidth="1"/>
    <col min="498" max="499" width="4.6640625" style="557" customWidth="1"/>
    <col min="500" max="500" width="4" style="557" customWidth="1"/>
    <col min="501" max="501" width="4.33203125" style="557" customWidth="1"/>
    <col min="502" max="502" width="4.109375" style="557" customWidth="1"/>
    <col min="503" max="503" width="3.88671875" style="557" customWidth="1"/>
    <col min="504" max="504" width="4.109375" style="557" customWidth="1"/>
    <col min="505" max="505" width="5.5546875" style="557" customWidth="1"/>
    <col min="506" max="506" width="3.5546875" style="557" customWidth="1"/>
    <col min="507" max="507" width="4" style="557" customWidth="1"/>
    <col min="508" max="508" width="4.5546875" style="557" customWidth="1"/>
    <col min="509" max="509" width="4.44140625" style="557" customWidth="1"/>
    <col min="510" max="511" width="4.33203125" style="557" customWidth="1"/>
    <col min="512" max="513" width="4.88671875" style="557" customWidth="1"/>
    <col min="514" max="514" width="4" style="557" customWidth="1"/>
    <col min="515" max="515" width="4.6640625" style="557" customWidth="1"/>
    <col min="516" max="516" width="6" style="557" customWidth="1"/>
    <col min="517" max="517" width="8.88671875" style="557" customWidth="1"/>
    <col min="518" max="737" width="11.44140625" style="557"/>
    <col min="738" max="738" width="6.44140625" style="557" customWidth="1"/>
    <col min="739" max="739" width="47.88671875" style="557" customWidth="1"/>
    <col min="740" max="741" width="5" style="557" customWidth="1"/>
    <col min="742" max="742" width="5.33203125" style="557" customWidth="1"/>
    <col min="743" max="743" width="4.88671875" style="557" customWidth="1"/>
    <col min="744" max="745" width="4.109375" style="557" customWidth="1"/>
    <col min="746" max="746" width="3.5546875" style="557" customWidth="1"/>
    <col min="747" max="747" width="5" style="557" customWidth="1"/>
    <col min="748" max="748" width="4" style="557" customWidth="1"/>
    <col min="749" max="750" width="4.5546875" style="557" customWidth="1"/>
    <col min="751" max="751" width="4.109375" style="557" customWidth="1"/>
    <col min="752" max="752" width="4" style="557" customWidth="1"/>
    <col min="753" max="753" width="3.88671875" style="557" customWidth="1"/>
    <col min="754" max="755" width="4.6640625" style="557" customWidth="1"/>
    <col min="756" max="756" width="4" style="557" customWidth="1"/>
    <col min="757" max="757" width="4.33203125" style="557" customWidth="1"/>
    <col min="758" max="758" width="4.109375" style="557" customWidth="1"/>
    <col min="759" max="759" width="3.88671875" style="557" customWidth="1"/>
    <col min="760" max="760" width="4.109375" style="557" customWidth="1"/>
    <col min="761" max="761" width="5.5546875" style="557" customWidth="1"/>
    <col min="762" max="762" width="3.5546875" style="557" customWidth="1"/>
    <col min="763" max="763" width="4" style="557" customWidth="1"/>
    <col min="764" max="764" width="4.5546875" style="557" customWidth="1"/>
    <col min="765" max="765" width="4.44140625" style="557" customWidth="1"/>
    <col min="766" max="767" width="4.33203125" style="557" customWidth="1"/>
    <col min="768" max="769" width="4.88671875" style="557" customWidth="1"/>
    <col min="770" max="770" width="4" style="557" customWidth="1"/>
    <col min="771" max="771" width="4.6640625" style="557" customWidth="1"/>
    <col min="772" max="772" width="6" style="557" customWidth="1"/>
    <col min="773" max="773" width="8.88671875" style="557" customWidth="1"/>
    <col min="774" max="993" width="11.44140625" style="557"/>
    <col min="994" max="994" width="6.44140625" style="557" customWidth="1"/>
    <col min="995" max="995" width="47.88671875" style="557" customWidth="1"/>
    <col min="996" max="997" width="5" style="557" customWidth="1"/>
    <col min="998" max="998" width="5.33203125" style="557" customWidth="1"/>
    <col min="999" max="999" width="4.88671875" style="557" customWidth="1"/>
    <col min="1000" max="1001" width="4.109375" style="557" customWidth="1"/>
    <col min="1002" max="1002" width="3.5546875" style="557" customWidth="1"/>
    <col min="1003" max="1003" width="5" style="557" customWidth="1"/>
    <col min="1004" max="1004" width="4" style="557" customWidth="1"/>
    <col min="1005" max="1006" width="4.5546875" style="557" customWidth="1"/>
    <col min="1007" max="1007" width="4.109375" style="557" customWidth="1"/>
    <col min="1008" max="1008" width="4" style="557" customWidth="1"/>
    <col min="1009" max="1009" width="3.88671875" style="557" customWidth="1"/>
    <col min="1010" max="1011" width="4.6640625" style="557" customWidth="1"/>
    <col min="1012" max="1012" width="4" style="557" customWidth="1"/>
    <col min="1013" max="1013" width="4.33203125" style="557" customWidth="1"/>
    <col min="1014" max="1014" width="4.109375" style="557" customWidth="1"/>
    <col min="1015" max="1015" width="3.88671875" style="557" customWidth="1"/>
    <col min="1016" max="1016" width="4.109375" style="557" customWidth="1"/>
    <col min="1017" max="1017" width="5.5546875" style="557" customWidth="1"/>
    <col min="1018" max="1018" width="3.5546875" style="557" customWidth="1"/>
    <col min="1019" max="1019" width="4" style="557" customWidth="1"/>
    <col min="1020" max="1020" width="4.5546875" style="557" customWidth="1"/>
    <col min="1021" max="1021" width="4.44140625" style="557" customWidth="1"/>
    <col min="1022" max="1023" width="4.33203125" style="557" customWidth="1"/>
    <col min="1024" max="1025" width="4.88671875" style="557" customWidth="1"/>
    <col min="1026" max="1026" width="4" style="557" customWidth="1"/>
    <col min="1027" max="1027" width="4.6640625" style="557" customWidth="1"/>
    <col min="1028" max="1028" width="6" style="557" customWidth="1"/>
    <col min="1029" max="1029" width="8.88671875" style="557" customWidth="1"/>
    <col min="1030" max="1249" width="11.44140625" style="557"/>
    <col min="1250" max="1250" width="6.44140625" style="557" customWidth="1"/>
    <col min="1251" max="1251" width="47.88671875" style="557" customWidth="1"/>
    <col min="1252" max="1253" width="5" style="557" customWidth="1"/>
    <col min="1254" max="1254" width="5.33203125" style="557" customWidth="1"/>
    <col min="1255" max="1255" width="4.88671875" style="557" customWidth="1"/>
    <col min="1256" max="1257" width="4.109375" style="557" customWidth="1"/>
    <col min="1258" max="1258" width="3.5546875" style="557" customWidth="1"/>
    <col min="1259" max="1259" width="5" style="557" customWidth="1"/>
    <col min="1260" max="1260" width="4" style="557" customWidth="1"/>
    <col min="1261" max="1262" width="4.5546875" style="557" customWidth="1"/>
    <col min="1263" max="1263" width="4.109375" style="557" customWidth="1"/>
    <col min="1264" max="1264" width="4" style="557" customWidth="1"/>
    <col min="1265" max="1265" width="3.88671875" style="557" customWidth="1"/>
    <col min="1266" max="1267" width="4.6640625" style="557" customWidth="1"/>
    <col min="1268" max="1268" width="4" style="557" customWidth="1"/>
    <col min="1269" max="1269" width="4.33203125" style="557" customWidth="1"/>
    <col min="1270" max="1270" width="4.109375" style="557" customWidth="1"/>
    <col min="1271" max="1271" width="3.88671875" style="557" customWidth="1"/>
    <col min="1272" max="1272" width="4.109375" style="557" customWidth="1"/>
    <col min="1273" max="1273" width="5.5546875" style="557" customWidth="1"/>
    <col min="1274" max="1274" width="3.5546875" style="557" customWidth="1"/>
    <col min="1275" max="1275" width="4" style="557" customWidth="1"/>
    <col min="1276" max="1276" width="4.5546875" style="557" customWidth="1"/>
    <col min="1277" max="1277" width="4.44140625" style="557" customWidth="1"/>
    <col min="1278" max="1279" width="4.33203125" style="557" customWidth="1"/>
    <col min="1280" max="1281" width="4.88671875" style="557" customWidth="1"/>
    <col min="1282" max="1282" width="4" style="557" customWidth="1"/>
    <col min="1283" max="1283" width="4.6640625" style="557" customWidth="1"/>
    <col min="1284" max="1284" width="6" style="557" customWidth="1"/>
    <col min="1285" max="1285" width="8.88671875" style="557" customWidth="1"/>
    <col min="1286" max="1505" width="11.44140625" style="557"/>
    <col min="1506" max="1506" width="6.44140625" style="557" customWidth="1"/>
    <col min="1507" max="1507" width="47.88671875" style="557" customWidth="1"/>
    <col min="1508" max="1509" width="5" style="557" customWidth="1"/>
    <col min="1510" max="1510" width="5.33203125" style="557" customWidth="1"/>
    <col min="1511" max="1511" width="4.88671875" style="557" customWidth="1"/>
    <col min="1512" max="1513" width="4.109375" style="557" customWidth="1"/>
    <col min="1514" max="1514" width="3.5546875" style="557" customWidth="1"/>
    <col min="1515" max="1515" width="5" style="557" customWidth="1"/>
    <col min="1516" max="1516" width="4" style="557" customWidth="1"/>
    <col min="1517" max="1518" width="4.5546875" style="557" customWidth="1"/>
    <col min="1519" max="1519" width="4.109375" style="557" customWidth="1"/>
    <col min="1520" max="1520" width="4" style="557" customWidth="1"/>
    <col min="1521" max="1521" width="3.88671875" style="557" customWidth="1"/>
    <col min="1522" max="1523" width="4.6640625" style="557" customWidth="1"/>
    <col min="1524" max="1524" width="4" style="557" customWidth="1"/>
    <col min="1525" max="1525" width="4.33203125" style="557" customWidth="1"/>
    <col min="1526" max="1526" width="4.109375" style="557" customWidth="1"/>
    <col min="1527" max="1527" width="3.88671875" style="557" customWidth="1"/>
    <col min="1528" max="1528" width="4.109375" style="557" customWidth="1"/>
    <col min="1529" max="1529" width="5.5546875" style="557" customWidth="1"/>
    <col min="1530" max="1530" width="3.5546875" style="557" customWidth="1"/>
    <col min="1531" max="1531" width="4" style="557" customWidth="1"/>
    <col min="1532" max="1532" width="4.5546875" style="557" customWidth="1"/>
    <col min="1533" max="1533" width="4.44140625" style="557" customWidth="1"/>
    <col min="1534" max="1535" width="4.33203125" style="557" customWidth="1"/>
    <col min="1536" max="1537" width="4.88671875" style="557" customWidth="1"/>
    <col min="1538" max="1538" width="4" style="557" customWidth="1"/>
    <col min="1539" max="1539" width="4.6640625" style="557" customWidth="1"/>
    <col min="1540" max="1540" width="6" style="557" customWidth="1"/>
    <col min="1541" max="1541" width="8.88671875" style="557" customWidth="1"/>
    <col min="1542" max="1761" width="11.44140625" style="557"/>
    <col min="1762" max="1762" width="6.44140625" style="557" customWidth="1"/>
    <col min="1763" max="1763" width="47.88671875" style="557" customWidth="1"/>
    <col min="1764" max="1765" width="5" style="557" customWidth="1"/>
    <col min="1766" max="1766" width="5.33203125" style="557" customWidth="1"/>
    <col min="1767" max="1767" width="4.88671875" style="557" customWidth="1"/>
    <col min="1768" max="1769" width="4.109375" style="557" customWidth="1"/>
    <col min="1770" max="1770" width="3.5546875" style="557" customWidth="1"/>
    <col min="1771" max="1771" width="5" style="557" customWidth="1"/>
    <col min="1772" max="1772" width="4" style="557" customWidth="1"/>
    <col min="1773" max="1774" width="4.5546875" style="557" customWidth="1"/>
    <col min="1775" max="1775" width="4.109375" style="557" customWidth="1"/>
    <col min="1776" max="1776" width="4" style="557" customWidth="1"/>
    <col min="1777" max="1777" width="3.88671875" style="557" customWidth="1"/>
    <col min="1778" max="1779" width="4.6640625" style="557" customWidth="1"/>
    <col min="1780" max="1780" width="4" style="557" customWidth="1"/>
    <col min="1781" max="1781" width="4.33203125" style="557" customWidth="1"/>
    <col min="1782" max="1782" width="4.109375" style="557" customWidth="1"/>
    <col min="1783" max="1783" width="3.88671875" style="557" customWidth="1"/>
    <col min="1784" max="1784" width="4.109375" style="557" customWidth="1"/>
    <col min="1785" max="1785" width="5.5546875" style="557" customWidth="1"/>
    <col min="1786" max="1786" width="3.5546875" style="557" customWidth="1"/>
    <col min="1787" max="1787" width="4" style="557" customWidth="1"/>
    <col min="1788" max="1788" width="4.5546875" style="557" customWidth="1"/>
    <col min="1789" max="1789" width="4.44140625" style="557" customWidth="1"/>
    <col min="1790" max="1791" width="4.33203125" style="557" customWidth="1"/>
    <col min="1792" max="1793" width="4.88671875" style="557" customWidth="1"/>
    <col min="1794" max="1794" width="4" style="557" customWidth="1"/>
    <col min="1795" max="1795" width="4.6640625" style="557" customWidth="1"/>
    <col min="1796" max="1796" width="6" style="557" customWidth="1"/>
    <col min="1797" max="1797" width="8.88671875" style="557" customWidth="1"/>
    <col min="1798" max="2017" width="11.44140625" style="557"/>
    <col min="2018" max="2018" width="6.44140625" style="557" customWidth="1"/>
    <col min="2019" max="2019" width="47.88671875" style="557" customWidth="1"/>
    <col min="2020" max="2021" width="5" style="557" customWidth="1"/>
    <col min="2022" max="2022" width="5.33203125" style="557" customWidth="1"/>
    <col min="2023" max="2023" width="4.88671875" style="557" customWidth="1"/>
    <col min="2024" max="2025" width="4.109375" style="557" customWidth="1"/>
    <col min="2026" max="2026" width="3.5546875" style="557" customWidth="1"/>
    <col min="2027" max="2027" width="5" style="557" customWidth="1"/>
    <col min="2028" max="2028" width="4" style="557" customWidth="1"/>
    <col min="2029" max="2030" width="4.5546875" style="557" customWidth="1"/>
    <col min="2031" max="2031" width="4.109375" style="557" customWidth="1"/>
    <col min="2032" max="2032" width="4" style="557" customWidth="1"/>
    <col min="2033" max="2033" width="3.88671875" style="557" customWidth="1"/>
    <col min="2034" max="2035" width="4.6640625" style="557" customWidth="1"/>
    <col min="2036" max="2036" width="4" style="557" customWidth="1"/>
    <col min="2037" max="2037" width="4.33203125" style="557" customWidth="1"/>
    <col min="2038" max="2038" width="4.109375" style="557" customWidth="1"/>
    <col min="2039" max="2039" width="3.88671875" style="557" customWidth="1"/>
    <col min="2040" max="2040" width="4.109375" style="557" customWidth="1"/>
    <col min="2041" max="2041" width="5.5546875" style="557" customWidth="1"/>
    <col min="2042" max="2042" width="3.5546875" style="557" customWidth="1"/>
    <col min="2043" max="2043" width="4" style="557" customWidth="1"/>
    <col min="2044" max="2044" width="4.5546875" style="557" customWidth="1"/>
    <col min="2045" max="2045" width="4.44140625" style="557" customWidth="1"/>
    <col min="2046" max="2047" width="4.33203125" style="557" customWidth="1"/>
    <col min="2048" max="2049" width="4.88671875" style="557" customWidth="1"/>
    <col min="2050" max="2050" width="4" style="557" customWidth="1"/>
    <col min="2051" max="2051" width="4.6640625" style="557" customWidth="1"/>
    <col min="2052" max="2052" width="6" style="557" customWidth="1"/>
    <col min="2053" max="2053" width="8.88671875" style="557" customWidth="1"/>
    <col min="2054" max="2273" width="11.44140625" style="557"/>
    <col min="2274" max="2274" width="6.44140625" style="557" customWidth="1"/>
    <col min="2275" max="2275" width="47.88671875" style="557" customWidth="1"/>
    <col min="2276" max="2277" width="5" style="557" customWidth="1"/>
    <col min="2278" max="2278" width="5.33203125" style="557" customWidth="1"/>
    <col min="2279" max="2279" width="4.88671875" style="557" customWidth="1"/>
    <col min="2280" max="2281" width="4.109375" style="557" customWidth="1"/>
    <col min="2282" max="2282" width="3.5546875" style="557" customWidth="1"/>
    <col min="2283" max="2283" width="5" style="557" customWidth="1"/>
    <col min="2284" max="2284" width="4" style="557" customWidth="1"/>
    <col min="2285" max="2286" width="4.5546875" style="557" customWidth="1"/>
    <col min="2287" max="2287" width="4.109375" style="557" customWidth="1"/>
    <col min="2288" max="2288" width="4" style="557" customWidth="1"/>
    <col min="2289" max="2289" width="3.88671875" style="557" customWidth="1"/>
    <col min="2290" max="2291" width="4.6640625" style="557" customWidth="1"/>
    <col min="2292" max="2292" width="4" style="557" customWidth="1"/>
    <col min="2293" max="2293" width="4.33203125" style="557" customWidth="1"/>
    <col min="2294" max="2294" width="4.109375" style="557" customWidth="1"/>
    <col min="2295" max="2295" width="3.88671875" style="557" customWidth="1"/>
    <col min="2296" max="2296" width="4.109375" style="557" customWidth="1"/>
    <col min="2297" max="2297" width="5.5546875" style="557" customWidth="1"/>
    <col min="2298" max="2298" width="3.5546875" style="557" customWidth="1"/>
    <col min="2299" max="2299" width="4" style="557" customWidth="1"/>
    <col min="2300" max="2300" width="4.5546875" style="557" customWidth="1"/>
    <col min="2301" max="2301" width="4.44140625" style="557" customWidth="1"/>
    <col min="2302" max="2303" width="4.33203125" style="557" customWidth="1"/>
    <col min="2304" max="2305" width="4.88671875" style="557" customWidth="1"/>
    <col min="2306" max="2306" width="4" style="557" customWidth="1"/>
    <col min="2307" max="2307" width="4.6640625" style="557" customWidth="1"/>
    <col min="2308" max="2308" width="6" style="557" customWidth="1"/>
    <col min="2309" max="2309" width="8.88671875" style="557" customWidth="1"/>
    <col min="2310" max="2529" width="11.44140625" style="557"/>
    <col min="2530" max="2530" width="6.44140625" style="557" customWidth="1"/>
    <col min="2531" max="2531" width="47.88671875" style="557" customWidth="1"/>
    <col min="2532" max="2533" width="5" style="557" customWidth="1"/>
    <col min="2534" max="2534" width="5.33203125" style="557" customWidth="1"/>
    <col min="2535" max="2535" width="4.88671875" style="557" customWidth="1"/>
    <col min="2536" max="2537" width="4.109375" style="557" customWidth="1"/>
    <col min="2538" max="2538" width="3.5546875" style="557" customWidth="1"/>
    <col min="2539" max="2539" width="5" style="557" customWidth="1"/>
    <col min="2540" max="2540" width="4" style="557" customWidth="1"/>
    <col min="2541" max="2542" width="4.5546875" style="557" customWidth="1"/>
    <col min="2543" max="2543" width="4.109375" style="557" customWidth="1"/>
    <col min="2544" max="2544" width="4" style="557" customWidth="1"/>
    <col min="2545" max="2545" width="3.88671875" style="557" customWidth="1"/>
    <col min="2546" max="2547" width="4.6640625" style="557" customWidth="1"/>
    <col min="2548" max="2548" width="4" style="557" customWidth="1"/>
    <col min="2549" max="2549" width="4.33203125" style="557" customWidth="1"/>
    <col min="2550" max="2550" width="4.109375" style="557" customWidth="1"/>
    <col min="2551" max="2551" width="3.88671875" style="557" customWidth="1"/>
    <col min="2552" max="2552" width="4.109375" style="557" customWidth="1"/>
    <col min="2553" max="2553" width="5.5546875" style="557" customWidth="1"/>
    <col min="2554" max="2554" width="3.5546875" style="557" customWidth="1"/>
    <col min="2555" max="2555" width="4" style="557" customWidth="1"/>
    <col min="2556" max="2556" width="4.5546875" style="557" customWidth="1"/>
    <col min="2557" max="2557" width="4.44140625" style="557" customWidth="1"/>
    <col min="2558" max="2559" width="4.33203125" style="557" customWidth="1"/>
    <col min="2560" max="2561" width="4.88671875" style="557" customWidth="1"/>
    <col min="2562" max="2562" width="4" style="557" customWidth="1"/>
    <col min="2563" max="2563" width="4.6640625" style="557" customWidth="1"/>
    <col min="2564" max="2564" width="6" style="557" customWidth="1"/>
    <col min="2565" max="2565" width="8.88671875" style="557" customWidth="1"/>
    <col min="2566" max="2785" width="11.44140625" style="557"/>
    <col min="2786" max="2786" width="6.44140625" style="557" customWidth="1"/>
    <col min="2787" max="2787" width="47.88671875" style="557" customWidth="1"/>
    <col min="2788" max="2789" width="5" style="557" customWidth="1"/>
    <col min="2790" max="2790" width="5.33203125" style="557" customWidth="1"/>
    <col min="2791" max="2791" width="4.88671875" style="557" customWidth="1"/>
    <col min="2792" max="2793" width="4.109375" style="557" customWidth="1"/>
    <col min="2794" max="2794" width="3.5546875" style="557" customWidth="1"/>
    <col min="2795" max="2795" width="5" style="557" customWidth="1"/>
    <col min="2796" max="2796" width="4" style="557" customWidth="1"/>
    <col min="2797" max="2798" width="4.5546875" style="557" customWidth="1"/>
    <col min="2799" max="2799" width="4.109375" style="557" customWidth="1"/>
    <col min="2800" max="2800" width="4" style="557" customWidth="1"/>
    <col min="2801" max="2801" width="3.88671875" style="557" customWidth="1"/>
    <col min="2802" max="2803" width="4.6640625" style="557" customWidth="1"/>
    <col min="2804" max="2804" width="4" style="557" customWidth="1"/>
    <col min="2805" max="2805" width="4.33203125" style="557" customWidth="1"/>
    <col min="2806" max="2806" width="4.109375" style="557" customWidth="1"/>
    <col min="2807" max="2807" width="3.88671875" style="557" customWidth="1"/>
    <col min="2808" max="2808" width="4.109375" style="557" customWidth="1"/>
    <col min="2809" max="2809" width="5.5546875" style="557" customWidth="1"/>
    <col min="2810" max="2810" width="3.5546875" style="557" customWidth="1"/>
    <col min="2811" max="2811" width="4" style="557" customWidth="1"/>
    <col min="2812" max="2812" width="4.5546875" style="557" customWidth="1"/>
    <col min="2813" max="2813" width="4.44140625" style="557" customWidth="1"/>
    <col min="2814" max="2815" width="4.33203125" style="557" customWidth="1"/>
    <col min="2816" max="2817" width="4.88671875" style="557" customWidth="1"/>
    <col min="2818" max="2818" width="4" style="557" customWidth="1"/>
    <col min="2819" max="2819" width="4.6640625" style="557" customWidth="1"/>
    <col min="2820" max="2820" width="6" style="557" customWidth="1"/>
    <col min="2821" max="2821" width="8.88671875" style="557" customWidth="1"/>
    <col min="2822" max="3041" width="11.44140625" style="557"/>
    <col min="3042" max="3042" width="6.44140625" style="557" customWidth="1"/>
    <col min="3043" max="3043" width="47.88671875" style="557" customWidth="1"/>
    <col min="3044" max="3045" width="5" style="557" customWidth="1"/>
    <col min="3046" max="3046" width="5.33203125" style="557" customWidth="1"/>
    <col min="3047" max="3047" width="4.88671875" style="557" customWidth="1"/>
    <col min="3048" max="3049" width="4.109375" style="557" customWidth="1"/>
    <col min="3050" max="3050" width="3.5546875" style="557" customWidth="1"/>
    <col min="3051" max="3051" width="5" style="557" customWidth="1"/>
    <col min="3052" max="3052" width="4" style="557" customWidth="1"/>
    <col min="3053" max="3054" width="4.5546875" style="557" customWidth="1"/>
    <col min="3055" max="3055" width="4.109375" style="557" customWidth="1"/>
    <col min="3056" max="3056" width="4" style="557" customWidth="1"/>
    <col min="3057" max="3057" width="3.88671875" style="557" customWidth="1"/>
    <col min="3058" max="3059" width="4.6640625" style="557" customWidth="1"/>
    <col min="3060" max="3060" width="4" style="557" customWidth="1"/>
    <col min="3061" max="3061" width="4.33203125" style="557" customWidth="1"/>
    <col min="3062" max="3062" width="4.109375" style="557" customWidth="1"/>
    <col min="3063" max="3063" width="3.88671875" style="557" customWidth="1"/>
    <col min="3064" max="3064" width="4.109375" style="557" customWidth="1"/>
    <col min="3065" max="3065" width="5.5546875" style="557" customWidth="1"/>
    <col min="3066" max="3066" width="3.5546875" style="557" customWidth="1"/>
    <col min="3067" max="3067" width="4" style="557" customWidth="1"/>
    <col min="3068" max="3068" width="4.5546875" style="557" customWidth="1"/>
    <col min="3069" max="3069" width="4.44140625" style="557" customWidth="1"/>
    <col min="3070" max="3071" width="4.33203125" style="557" customWidth="1"/>
    <col min="3072" max="3073" width="4.88671875" style="557" customWidth="1"/>
    <col min="3074" max="3074" width="4" style="557" customWidth="1"/>
    <col min="3075" max="3075" width="4.6640625" style="557" customWidth="1"/>
    <col min="3076" max="3076" width="6" style="557" customWidth="1"/>
    <col min="3077" max="3077" width="8.88671875" style="557" customWidth="1"/>
    <col min="3078" max="3297" width="11.44140625" style="557"/>
    <col min="3298" max="3298" width="6.44140625" style="557" customWidth="1"/>
    <col min="3299" max="3299" width="47.88671875" style="557" customWidth="1"/>
    <col min="3300" max="3301" width="5" style="557" customWidth="1"/>
    <col min="3302" max="3302" width="5.33203125" style="557" customWidth="1"/>
    <col min="3303" max="3303" width="4.88671875" style="557" customWidth="1"/>
    <col min="3304" max="3305" width="4.109375" style="557" customWidth="1"/>
    <col min="3306" max="3306" width="3.5546875" style="557" customWidth="1"/>
    <col min="3307" max="3307" width="5" style="557" customWidth="1"/>
    <col min="3308" max="3308" width="4" style="557" customWidth="1"/>
    <col min="3309" max="3310" width="4.5546875" style="557" customWidth="1"/>
    <col min="3311" max="3311" width="4.109375" style="557" customWidth="1"/>
    <col min="3312" max="3312" width="4" style="557" customWidth="1"/>
    <col min="3313" max="3313" width="3.88671875" style="557" customWidth="1"/>
    <col min="3314" max="3315" width="4.6640625" style="557" customWidth="1"/>
    <col min="3316" max="3316" width="4" style="557" customWidth="1"/>
    <col min="3317" max="3317" width="4.33203125" style="557" customWidth="1"/>
    <col min="3318" max="3318" width="4.109375" style="557" customWidth="1"/>
    <col min="3319" max="3319" width="3.88671875" style="557" customWidth="1"/>
    <col min="3320" max="3320" width="4.109375" style="557" customWidth="1"/>
    <col min="3321" max="3321" width="5.5546875" style="557" customWidth="1"/>
    <col min="3322" max="3322" width="3.5546875" style="557" customWidth="1"/>
    <col min="3323" max="3323" width="4" style="557" customWidth="1"/>
    <col min="3324" max="3324" width="4.5546875" style="557" customWidth="1"/>
    <col min="3325" max="3325" width="4.44140625" style="557" customWidth="1"/>
    <col min="3326" max="3327" width="4.33203125" style="557" customWidth="1"/>
    <col min="3328" max="3329" width="4.88671875" style="557" customWidth="1"/>
    <col min="3330" max="3330" width="4" style="557" customWidth="1"/>
    <col min="3331" max="3331" width="4.6640625" style="557" customWidth="1"/>
    <col min="3332" max="3332" width="6" style="557" customWidth="1"/>
    <col min="3333" max="3333" width="8.88671875" style="557" customWidth="1"/>
    <col min="3334" max="3553" width="11.44140625" style="557"/>
    <col min="3554" max="3554" width="6.44140625" style="557" customWidth="1"/>
    <col min="3555" max="3555" width="47.88671875" style="557" customWidth="1"/>
    <col min="3556" max="3557" width="5" style="557" customWidth="1"/>
    <col min="3558" max="3558" width="5.33203125" style="557" customWidth="1"/>
    <col min="3559" max="3559" width="4.88671875" style="557" customWidth="1"/>
    <col min="3560" max="3561" width="4.109375" style="557" customWidth="1"/>
    <col min="3562" max="3562" width="3.5546875" style="557" customWidth="1"/>
    <col min="3563" max="3563" width="5" style="557" customWidth="1"/>
    <col min="3564" max="3564" width="4" style="557" customWidth="1"/>
    <col min="3565" max="3566" width="4.5546875" style="557" customWidth="1"/>
    <col min="3567" max="3567" width="4.109375" style="557" customWidth="1"/>
    <col min="3568" max="3568" width="4" style="557" customWidth="1"/>
    <col min="3569" max="3569" width="3.88671875" style="557" customWidth="1"/>
    <col min="3570" max="3571" width="4.6640625" style="557" customWidth="1"/>
    <col min="3572" max="3572" width="4" style="557" customWidth="1"/>
    <col min="3573" max="3573" width="4.33203125" style="557" customWidth="1"/>
    <col min="3574" max="3574" width="4.109375" style="557" customWidth="1"/>
    <col min="3575" max="3575" width="3.88671875" style="557" customWidth="1"/>
    <col min="3576" max="3576" width="4.109375" style="557" customWidth="1"/>
    <col min="3577" max="3577" width="5.5546875" style="557" customWidth="1"/>
    <col min="3578" max="3578" width="3.5546875" style="557" customWidth="1"/>
    <col min="3579" max="3579" width="4" style="557" customWidth="1"/>
    <col min="3580" max="3580" width="4.5546875" style="557" customWidth="1"/>
    <col min="3581" max="3581" width="4.44140625" style="557" customWidth="1"/>
    <col min="3582" max="3583" width="4.33203125" style="557" customWidth="1"/>
    <col min="3584" max="3585" width="4.88671875" style="557" customWidth="1"/>
    <col min="3586" max="3586" width="4" style="557" customWidth="1"/>
    <col min="3587" max="3587" width="4.6640625" style="557" customWidth="1"/>
    <col min="3588" max="3588" width="6" style="557" customWidth="1"/>
    <col min="3589" max="3589" width="8.88671875" style="557" customWidth="1"/>
    <col min="3590" max="3809" width="11.44140625" style="557"/>
    <col min="3810" max="3810" width="6.44140625" style="557" customWidth="1"/>
    <col min="3811" max="3811" width="47.88671875" style="557" customWidth="1"/>
    <col min="3812" max="3813" width="5" style="557" customWidth="1"/>
    <col min="3814" max="3814" width="5.33203125" style="557" customWidth="1"/>
    <col min="3815" max="3815" width="4.88671875" style="557" customWidth="1"/>
    <col min="3816" max="3817" width="4.109375" style="557" customWidth="1"/>
    <col min="3818" max="3818" width="3.5546875" style="557" customWidth="1"/>
    <col min="3819" max="3819" width="5" style="557" customWidth="1"/>
    <col min="3820" max="3820" width="4" style="557" customWidth="1"/>
    <col min="3821" max="3822" width="4.5546875" style="557" customWidth="1"/>
    <col min="3823" max="3823" width="4.109375" style="557" customWidth="1"/>
    <col min="3824" max="3824" width="4" style="557" customWidth="1"/>
    <col min="3825" max="3825" width="3.88671875" style="557" customWidth="1"/>
    <col min="3826" max="3827" width="4.6640625" style="557" customWidth="1"/>
    <col min="3828" max="3828" width="4" style="557" customWidth="1"/>
    <col min="3829" max="3829" width="4.33203125" style="557" customWidth="1"/>
    <col min="3830" max="3830" width="4.109375" style="557" customWidth="1"/>
    <col min="3831" max="3831" width="3.88671875" style="557" customWidth="1"/>
    <col min="3832" max="3832" width="4.109375" style="557" customWidth="1"/>
    <col min="3833" max="3833" width="5.5546875" style="557" customWidth="1"/>
    <col min="3834" max="3834" width="3.5546875" style="557" customWidth="1"/>
    <col min="3835" max="3835" width="4" style="557" customWidth="1"/>
    <col min="3836" max="3836" width="4.5546875" style="557" customWidth="1"/>
    <col min="3837" max="3837" width="4.44140625" style="557" customWidth="1"/>
    <col min="3838" max="3839" width="4.33203125" style="557" customWidth="1"/>
    <col min="3840" max="3841" width="4.88671875" style="557" customWidth="1"/>
    <col min="3842" max="3842" width="4" style="557" customWidth="1"/>
    <col min="3843" max="3843" width="4.6640625" style="557" customWidth="1"/>
    <col min="3844" max="3844" width="6" style="557" customWidth="1"/>
    <col min="3845" max="3845" width="8.88671875" style="557" customWidth="1"/>
    <col min="3846" max="4065" width="11.44140625" style="557"/>
    <col min="4066" max="4066" width="6.44140625" style="557" customWidth="1"/>
    <col min="4067" max="4067" width="47.88671875" style="557" customWidth="1"/>
    <col min="4068" max="4069" width="5" style="557" customWidth="1"/>
    <col min="4070" max="4070" width="5.33203125" style="557" customWidth="1"/>
    <col min="4071" max="4071" width="4.88671875" style="557" customWidth="1"/>
    <col min="4072" max="4073" width="4.109375" style="557" customWidth="1"/>
    <col min="4074" max="4074" width="3.5546875" style="557" customWidth="1"/>
    <col min="4075" max="4075" width="5" style="557" customWidth="1"/>
    <col min="4076" max="4076" width="4" style="557" customWidth="1"/>
    <col min="4077" max="4078" width="4.5546875" style="557" customWidth="1"/>
    <col min="4079" max="4079" width="4.109375" style="557" customWidth="1"/>
    <col min="4080" max="4080" width="4" style="557" customWidth="1"/>
    <col min="4081" max="4081" width="3.88671875" style="557" customWidth="1"/>
    <col min="4082" max="4083" width="4.6640625" style="557" customWidth="1"/>
    <col min="4084" max="4084" width="4" style="557" customWidth="1"/>
    <col min="4085" max="4085" width="4.33203125" style="557" customWidth="1"/>
    <col min="4086" max="4086" width="4.109375" style="557" customWidth="1"/>
    <col min="4087" max="4087" width="3.88671875" style="557" customWidth="1"/>
    <col min="4088" max="4088" width="4.109375" style="557" customWidth="1"/>
    <col min="4089" max="4089" width="5.5546875" style="557" customWidth="1"/>
    <col min="4090" max="4090" width="3.5546875" style="557" customWidth="1"/>
    <col min="4091" max="4091" width="4" style="557" customWidth="1"/>
    <col min="4092" max="4092" width="4.5546875" style="557" customWidth="1"/>
    <col min="4093" max="4093" width="4.44140625" style="557" customWidth="1"/>
    <col min="4094" max="4095" width="4.33203125" style="557" customWidth="1"/>
    <col min="4096" max="4097" width="4.88671875" style="557" customWidth="1"/>
    <col min="4098" max="4098" width="4" style="557" customWidth="1"/>
    <col min="4099" max="4099" width="4.6640625" style="557" customWidth="1"/>
    <col min="4100" max="4100" width="6" style="557" customWidth="1"/>
    <col min="4101" max="4101" width="8.88671875" style="557" customWidth="1"/>
    <col min="4102" max="4321" width="11.44140625" style="557"/>
    <col min="4322" max="4322" width="6.44140625" style="557" customWidth="1"/>
    <col min="4323" max="4323" width="47.88671875" style="557" customWidth="1"/>
    <col min="4324" max="4325" width="5" style="557" customWidth="1"/>
    <col min="4326" max="4326" width="5.33203125" style="557" customWidth="1"/>
    <col min="4327" max="4327" width="4.88671875" style="557" customWidth="1"/>
    <col min="4328" max="4329" width="4.109375" style="557" customWidth="1"/>
    <col min="4330" max="4330" width="3.5546875" style="557" customWidth="1"/>
    <col min="4331" max="4331" width="5" style="557" customWidth="1"/>
    <col min="4332" max="4332" width="4" style="557" customWidth="1"/>
    <col min="4333" max="4334" width="4.5546875" style="557" customWidth="1"/>
    <col min="4335" max="4335" width="4.109375" style="557" customWidth="1"/>
    <col min="4336" max="4336" width="4" style="557" customWidth="1"/>
    <col min="4337" max="4337" width="3.88671875" style="557" customWidth="1"/>
    <col min="4338" max="4339" width="4.6640625" style="557" customWidth="1"/>
    <col min="4340" max="4340" width="4" style="557" customWidth="1"/>
    <col min="4341" max="4341" width="4.33203125" style="557" customWidth="1"/>
    <col min="4342" max="4342" width="4.109375" style="557" customWidth="1"/>
    <col min="4343" max="4343" width="3.88671875" style="557" customWidth="1"/>
    <col min="4344" max="4344" width="4.109375" style="557" customWidth="1"/>
    <col min="4345" max="4345" width="5.5546875" style="557" customWidth="1"/>
    <col min="4346" max="4346" width="3.5546875" style="557" customWidth="1"/>
    <col min="4347" max="4347" width="4" style="557" customWidth="1"/>
    <col min="4348" max="4348" width="4.5546875" style="557" customWidth="1"/>
    <col min="4349" max="4349" width="4.44140625" style="557" customWidth="1"/>
    <col min="4350" max="4351" width="4.33203125" style="557" customWidth="1"/>
    <col min="4352" max="4353" width="4.88671875" style="557" customWidth="1"/>
    <col min="4354" max="4354" width="4" style="557" customWidth="1"/>
    <col min="4355" max="4355" width="4.6640625" style="557" customWidth="1"/>
    <col min="4356" max="4356" width="6" style="557" customWidth="1"/>
    <col min="4357" max="4357" width="8.88671875" style="557" customWidth="1"/>
    <col min="4358" max="4577" width="11.44140625" style="557"/>
    <col min="4578" max="4578" width="6.44140625" style="557" customWidth="1"/>
    <col min="4579" max="4579" width="47.88671875" style="557" customWidth="1"/>
    <col min="4580" max="4581" width="5" style="557" customWidth="1"/>
    <col min="4582" max="4582" width="5.33203125" style="557" customWidth="1"/>
    <col min="4583" max="4583" width="4.88671875" style="557" customWidth="1"/>
    <col min="4584" max="4585" width="4.109375" style="557" customWidth="1"/>
    <col min="4586" max="4586" width="3.5546875" style="557" customWidth="1"/>
    <col min="4587" max="4587" width="5" style="557" customWidth="1"/>
    <col min="4588" max="4588" width="4" style="557" customWidth="1"/>
    <col min="4589" max="4590" width="4.5546875" style="557" customWidth="1"/>
    <col min="4591" max="4591" width="4.109375" style="557" customWidth="1"/>
    <col min="4592" max="4592" width="4" style="557" customWidth="1"/>
    <col min="4593" max="4593" width="3.88671875" style="557" customWidth="1"/>
    <col min="4594" max="4595" width="4.6640625" style="557" customWidth="1"/>
    <col min="4596" max="4596" width="4" style="557" customWidth="1"/>
    <col min="4597" max="4597" width="4.33203125" style="557" customWidth="1"/>
    <col min="4598" max="4598" width="4.109375" style="557" customWidth="1"/>
    <col min="4599" max="4599" width="3.88671875" style="557" customWidth="1"/>
    <col min="4600" max="4600" width="4.109375" style="557" customWidth="1"/>
    <col min="4601" max="4601" width="5.5546875" style="557" customWidth="1"/>
    <col min="4602" max="4602" width="3.5546875" style="557" customWidth="1"/>
    <col min="4603" max="4603" width="4" style="557" customWidth="1"/>
    <col min="4604" max="4604" width="4.5546875" style="557" customWidth="1"/>
    <col min="4605" max="4605" width="4.44140625" style="557" customWidth="1"/>
    <col min="4606" max="4607" width="4.33203125" style="557" customWidth="1"/>
    <col min="4608" max="4609" width="4.88671875" style="557" customWidth="1"/>
    <col min="4610" max="4610" width="4" style="557" customWidth="1"/>
    <col min="4611" max="4611" width="4.6640625" style="557" customWidth="1"/>
    <col min="4612" max="4612" width="6" style="557" customWidth="1"/>
    <col min="4613" max="4613" width="8.88671875" style="557" customWidth="1"/>
    <col min="4614" max="4833" width="11.44140625" style="557"/>
    <col min="4834" max="4834" width="6.44140625" style="557" customWidth="1"/>
    <col min="4835" max="4835" width="47.88671875" style="557" customWidth="1"/>
    <col min="4836" max="4837" width="5" style="557" customWidth="1"/>
    <col min="4838" max="4838" width="5.33203125" style="557" customWidth="1"/>
    <col min="4839" max="4839" width="4.88671875" style="557" customWidth="1"/>
    <col min="4840" max="4841" width="4.109375" style="557" customWidth="1"/>
    <col min="4842" max="4842" width="3.5546875" style="557" customWidth="1"/>
    <col min="4843" max="4843" width="5" style="557" customWidth="1"/>
    <col min="4844" max="4844" width="4" style="557" customWidth="1"/>
    <col min="4845" max="4846" width="4.5546875" style="557" customWidth="1"/>
    <col min="4847" max="4847" width="4.109375" style="557" customWidth="1"/>
    <col min="4848" max="4848" width="4" style="557" customWidth="1"/>
    <col min="4849" max="4849" width="3.88671875" style="557" customWidth="1"/>
    <col min="4850" max="4851" width="4.6640625" style="557" customWidth="1"/>
    <col min="4852" max="4852" width="4" style="557" customWidth="1"/>
    <col min="4853" max="4853" width="4.33203125" style="557" customWidth="1"/>
    <col min="4854" max="4854" width="4.109375" style="557" customWidth="1"/>
    <col min="4855" max="4855" width="3.88671875" style="557" customWidth="1"/>
    <col min="4856" max="4856" width="4.109375" style="557" customWidth="1"/>
    <col min="4857" max="4857" width="5.5546875" style="557" customWidth="1"/>
    <col min="4858" max="4858" width="3.5546875" style="557" customWidth="1"/>
    <col min="4859" max="4859" width="4" style="557" customWidth="1"/>
    <col min="4860" max="4860" width="4.5546875" style="557" customWidth="1"/>
    <col min="4861" max="4861" width="4.44140625" style="557" customWidth="1"/>
    <col min="4862" max="4863" width="4.33203125" style="557" customWidth="1"/>
    <col min="4864" max="4865" width="4.88671875" style="557" customWidth="1"/>
    <col min="4866" max="4866" width="4" style="557" customWidth="1"/>
    <col min="4867" max="4867" width="4.6640625" style="557" customWidth="1"/>
    <col min="4868" max="4868" width="6" style="557" customWidth="1"/>
    <col min="4869" max="4869" width="8.88671875" style="557" customWidth="1"/>
    <col min="4870" max="5089" width="11.44140625" style="557"/>
    <col min="5090" max="5090" width="6.44140625" style="557" customWidth="1"/>
    <col min="5091" max="5091" width="47.88671875" style="557" customWidth="1"/>
    <col min="5092" max="5093" width="5" style="557" customWidth="1"/>
    <col min="5094" max="5094" width="5.33203125" style="557" customWidth="1"/>
    <col min="5095" max="5095" width="4.88671875" style="557" customWidth="1"/>
    <col min="5096" max="5097" width="4.109375" style="557" customWidth="1"/>
    <col min="5098" max="5098" width="3.5546875" style="557" customWidth="1"/>
    <col min="5099" max="5099" width="5" style="557" customWidth="1"/>
    <col min="5100" max="5100" width="4" style="557" customWidth="1"/>
    <col min="5101" max="5102" width="4.5546875" style="557" customWidth="1"/>
    <col min="5103" max="5103" width="4.109375" style="557" customWidth="1"/>
    <col min="5104" max="5104" width="4" style="557" customWidth="1"/>
    <col min="5105" max="5105" width="3.88671875" style="557" customWidth="1"/>
    <col min="5106" max="5107" width="4.6640625" style="557" customWidth="1"/>
    <col min="5108" max="5108" width="4" style="557" customWidth="1"/>
    <col min="5109" max="5109" width="4.33203125" style="557" customWidth="1"/>
    <col min="5110" max="5110" width="4.109375" style="557" customWidth="1"/>
    <col min="5111" max="5111" width="3.88671875" style="557" customWidth="1"/>
    <col min="5112" max="5112" width="4.109375" style="557" customWidth="1"/>
    <col min="5113" max="5113" width="5.5546875" style="557" customWidth="1"/>
    <col min="5114" max="5114" width="3.5546875" style="557" customWidth="1"/>
    <col min="5115" max="5115" width="4" style="557" customWidth="1"/>
    <col min="5116" max="5116" width="4.5546875" style="557" customWidth="1"/>
    <col min="5117" max="5117" width="4.44140625" style="557" customWidth="1"/>
    <col min="5118" max="5119" width="4.33203125" style="557" customWidth="1"/>
    <col min="5120" max="5121" width="4.88671875" style="557" customWidth="1"/>
    <col min="5122" max="5122" width="4" style="557" customWidth="1"/>
    <col min="5123" max="5123" width="4.6640625" style="557" customWidth="1"/>
    <col min="5124" max="5124" width="6" style="557" customWidth="1"/>
    <col min="5125" max="5125" width="8.88671875" style="557" customWidth="1"/>
    <col min="5126" max="5345" width="11.44140625" style="557"/>
    <col min="5346" max="5346" width="6.44140625" style="557" customWidth="1"/>
    <col min="5347" max="5347" width="47.88671875" style="557" customWidth="1"/>
    <col min="5348" max="5349" width="5" style="557" customWidth="1"/>
    <col min="5350" max="5350" width="5.33203125" style="557" customWidth="1"/>
    <col min="5351" max="5351" width="4.88671875" style="557" customWidth="1"/>
    <col min="5352" max="5353" width="4.109375" style="557" customWidth="1"/>
    <col min="5354" max="5354" width="3.5546875" style="557" customWidth="1"/>
    <col min="5355" max="5355" width="5" style="557" customWidth="1"/>
    <col min="5356" max="5356" width="4" style="557" customWidth="1"/>
    <col min="5357" max="5358" width="4.5546875" style="557" customWidth="1"/>
    <col min="5359" max="5359" width="4.109375" style="557" customWidth="1"/>
    <col min="5360" max="5360" width="4" style="557" customWidth="1"/>
    <col min="5361" max="5361" width="3.88671875" style="557" customWidth="1"/>
    <col min="5362" max="5363" width="4.6640625" style="557" customWidth="1"/>
    <col min="5364" max="5364" width="4" style="557" customWidth="1"/>
    <col min="5365" max="5365" width="4.33203125" style="557" customWidth="1"/>
    <col min="5366" max="5366" width="4.109375" style="557" customWidth="1"/>
    <col min="5367" max="5367" width="3.88671875" style="557" customWidth="1"/>
    <col min="5368" max="5368" width="4.109375" style="557" customWidth="1"/>
    <col min="5369" max="5369" width="5.5546875" style="557" customWidth="1"/>
    <col min="5370" max="5370" width="3.5546875" style="557" customWidth="1"/>
    <col min="5371" max="5371" width="4" style="557" customWidth="1"/>
    <col min="5372" max="5372" width="4.5546875" style="557" customWidth="1"/>
    <col min="5373" max="5373" width="4.44140625" style="557" customWidth="1"/>
    <col min="5374" max="5375" width="4.33203125" style="557" customWidth="1"/>
    <col min="5376" max="5377" width="4.88671875" style="557" customWidth="1"/>
    <col min="5378" max="5378" width="4" style="557" customWidth="1"/>
    <col min="5379" max="5379" width="4.6640625" style="557" customWidth="1"/>
    <col min="5380" max="5380" width="6" style="557" customWidth="1"/>
    <col min="5381" max="5381" width="8.88671875" style="557" customWidth="1"/>
    <col min="5382" max="5601" width="11.44140625" style="557"/>
    <col min="5602" max="5602" width="6.44140625" style="557" customWidth="1"/>
    <col min="5603" max="5603" width="47.88671875" style="557" customWidth="1"/>
    <col min="5604" max="5605" width="5" style="557" customWidth="1"/>
    <col min="5606" max="5606" width="5.33203125" style="557" customWidth="1"/>
    <col min="5607" max="5607" width="4.88671875" style="557" customWidth="1"/>
    <col min="5608" max="5609" width="4.109375" style="557" customWidth="1"/>
    <col min="5610" max="5610" width="3.5546875" style="557" customWidth="1"/>
    <col min="5611" max="5611" width="5" style="557" customWidth="1"/>
    <col min="5612" max="5612" width="4" style="557" customWidth="1"/>
    <col min="5613" max="5614" width="4.5546875" style="557" customWidth="1"/>
    <col min="5615" max="5615" width="4.109375" style="557" customWidth="1"/>
    <col min="5616" max="5616" width="4" style="557" customWidth="1"/>
    <col min="5617" max="5617" width="3.88671875" style="557" customWidth="1"/>
    <col min="5618" max="5619" width="4.6640625" style="557" customWidth="1"/>
    <col min="5620" max="5620" width="4" style="557" customWidth="1"/>
    <col min="5621" max="5621" width="4.33203125" style="557" customWidth="1"/>
    <col min="5622" max="5622" width="4.109375" style="557" customWidth="1"/>
    <col min="5623" max="5623" width="3.88671875" style="557" customWidth="1"/>
    <col min="5624" max="5624" width="4.109375" style="557" customWidth="1"/>
    <col min="5625" max="5625" width="5.5546875" style="557" customWidth="1"/>
    <col min="5626" max="5626" width="3.5546875" style="557" customWidth="1"/>
    <col min="5627" max="5627" width="4" style="557" customWidth="1"/>
    <col min="5628" max="5628" width="4.5546875" style="557" customWidth="1"/>
    <col min="5629" max="5629" width="4.44140625" style="557" customWidth="1"/>
    <col min="5630" max="5631" width="4.33203125" style="557" customWidth="1"/>
    <col min="5632" max="5633" width="4.88671875" style="557" customWidth="1"/>
    <col min="5634" max="5634" width="4" style="557" customWidth="1"/>
    <col min="5635" max="5635" width="4.6640625" style="557" customWidth="1"/>
    <col min="5636" max="5636" width="6" style="557" customWidth="1"/>
    <col min="5637" max="5637" width="8.88671875" style="557" customWidth="1"/>
    <col min="5638" max="5857" width="11.44140625" style="557"/>
    <col min="5858" max="5858" width="6.44140625" style="557" customWidth="1"/>
    <col min="5859" max="5859" width="47.88671875" style="557" customWidth="1"/>
    <col min="5860" max="5861" width="5" style="557" customWidth="1"/>
    <col min="5862" max="5862" width="5.33203125" style="557" customWidth="1"/>
    <col min="5863" max="5863" width="4.88671875" style="557" customWidth="1"/>
    <col min="5864" max="5865" width="4.109375" style="557" customWidth="1"/>
    <col min="5866" max="5866" width="3.5546875" style="557" customWidth="1"/>
    <col min="5867" max="5867" width="5" style="557" customWidth="1"/>
    <col min="5868" max="5868" width="4" style="557" customWidth="1"/>
    <col min="5869" max="5870" width="4.5546875" style="557" customWidth="1"/>
    <col min="5871" max="5871" width="4.109375" style="557" customWidth="1"/>
    <col min="5872" max="5872" width="4" style="557" customWidth="1"/>
    <col min="5873" max="5873" width="3.88671875" style="557" customWidth="1"/>
    <col min="5874" max="5875" width="4.6640625" style="557" customWidth="1"/>
    <col min="5876" max="5876" width="4" style="557" customWidth="1"/>
    <col min="5877" max="5877" width="4.33203125" style="557" customWidth="1"/>
    <col min="5878" max="5878" width="4.109375" style="557" customWidth="1"/>
    <col min="5879" max="5879" width="3.88671875" style="557" customWidth="1"/>
    <col min="5880" max="5880" width="4.109375" style="557" customWidth="1"/>
    <col min="5881" max="5881" width="5.5546875" style="557" customWidth="1"/>
    <col min="5882" max="5882" width="3.5546875" style="557" customWidth="1"/>
    <col min="5883" max="5883" width="4" style="557" customWidth="1"/>
    <col min="5884" max="5884" width="4.5546875" style="557" customWidth="1"/>
    <col min="5885" max="5885" width="4.44140625" style="557" customWidth="1"/>
    <col min="5886" max="5887" width="4.33203125" style="557" customWidth="1"/>
    <col min="5888" max="5889" width="4.88671875" style="557" customWidth="1"/>
    <col min="5890" max="5890" width="4" style="557" customWidth="1"/>
    <col min="5891" max="5891" width="4.6640625" style="557" customWidth="1"/>
    <col min="5892" max="5892" width="6" style="557" customWidth="1"/>
    <col min="5893" max="5893" width="8.88671875" style="557" customWidth="1"/>
    <col min="5894" max="6113" width="11.44140625" style="557"/>
    <col min="6114" max="6114" width="6.44140625" style="557" customWidth="1"/>
    <col min="6115" max="6115" width="47.88671875" style="557" customWidth="1"/>
    <col min="6116" max="6117" width="5" style="557" customWidth="1"/>
    <col min="6118" max="6118" width="5.33203125" style="557" customWidth="1"/>
    <col min="6119" max="6119" width="4.88671875" style="557" customWidth="1"/>
    <col min="6120" max="6121" width="4.109375" style="557" customWidth="1"/>
    <col min="6122" max="6122" width="3.5546875" style="557" customWidth="1"/>
    <col min="6123" max="6123" width="5" style="557" customWidth="1"/>
    <col min="6124" max="6124" width="4" style="557" customWidth="1"/>
    <col min="6125" max="6126" width="4.5546875" style="557" customWidth="1"/>
    <col min="6127" max="6127" width="4.109375" style="557" customWidth="1"/>
    <col min="6128" max="6128" width="4" style="557" customWidth="1"/>
    <col min="6129" max="6129" width="3.88671875" style="557" customWidth="1"/>
    <col min="6130" max="6131" width="4.6640625" style="557" customWidth="1"/>
    <col min="6132" max="6132" width="4" style="557" customWidth="1"/>
    <col min="6133" max="6133" width="4.33203125" style="557" customWidth="1"/>
    <col min="6134" max="6134" width="4.109375" style="557" customWidth="1"/>
    <col min="6135" max="6135" width="3.88671875" style="557" customWidth="1"/>
    <col min="6136" max="6136" width="4.109375" style="557" customWidth="1"/>
    <col min="6137" max="6137" width="5.5546875" style="557" customWidth="1"/>
    <col min="6138" max="6138" width="3.5546875" style="557" customWidth="1"/>
    <col min="6139" max="6139" width="4" style="557" customWidth="1"/>
    <col min="6140" max="6140" width="4.5546875" style="557" customWidth="1"/>
    <col min="6141" max="6141" width="4.44140625" style="557" customWidth="1"/>
    <col min="6142" max="6143" width="4.33203125" style="557" customWidth="1"/>
    <col min="6144" max="6145" width="4.88671875" style="557" customWidth="1"/>
    <col min="6146" max="6146" width="4" style="557" customWidth="1"/>
    <col min="6147" max="6147" width="4.6640625" style="557" customWidth="1"/>
    <col min="6148" max="6148" width="6" style="557" customWidth="1"/>
    <col min="6149" max="6149" width="8.88671875" style="557" customWidth="1"/>
    <col min="6150" max="6369" width="11.44140625" style="557"/>
    <col min="6370" max="6370" width="6.44140625" style="557" customWidth="1"/>
    <col min="6371" max="6371" width="47.88671875" style="557" customWidth="1"/>
    <col min="6372" max="6373" width="5" style="557" customWidth="1"/>
    <col min="6374" max="6374" width="5.33203125" style="557" customWidth="1"/>
    <col min="6375" max="6375" width="4.88671875" style="557" customWidth="1"/>
    <col min="6376" max="6377" width="4.109375" style="557" customWidth="1"/>
    <col min="6378" max="6378" width="3.5546875" style="557" customWidth="1"/>
    <col min="6379" max="6379" width="5" style="557" customWidth="1"/>
    <col min="6380" max="6380" width="4" style="557" customWidth="1"/>
    <col min="6381" max="6382" width="4.5546875" style="557" customWidth="1"/>
    <col min="6383" max="6383" width="4.109375" style="557" customWidth="1"/>
    <col min="6384" max="6384" width="4" style="557" customWidth="1"/>
    <col min="6385" max="6385" width="3.88671875" style="557" customWidth="1"/>
    <col min="6386" max="6387" width="4.6640625" style="557" customWidth="1"/>
    <col min="6388" max="6388" width="4" style="557" customWidth="1"/>
    <col min="6389" max="6389" width="4.33203125" style="557" customWidth="1"/>
    <col min="6390" max="6390" width="4.109375" style="557" customWidth="1"/>
    <col min="6391" max="6391" width="3.88671875" style="557" customWidth="1"/>
    <col min="6392" max="6392" width="4.109375" style="557" customWidth="1"/>
    <col min="6393" max="6393" width="5.5546875" style="557" customWidth="1"/>
    <col min="6394" max="6394" width="3.5546875" style="557" customWidth="1"/>
    <col min="6395" max="6395" width="4" style="557" customWidth="1"/>
    <col min="6396" max="6396" width="4.5546875" style="557" customWidth="1"/>
    <col min="6397" max="6397" width="4.44140625" style="557" customWidth="1"/>
    <col min="6398" max="6399" width="4.33203125" style="557" customWidth="1"/>
    <col min="6400" max="6401" width="4.88671875" style="557" customWidth="1"/>
    <col min="6402" max="6402" width="4" style="557" customWidth="1"/>
    <col min="6403" max="6403" width="4.6640625" style="557" customWidth="1"/>
    <col min="6404" max="6404" width="6" style="557" customWidth="1"/>
    <col min="6405" max="6405" width="8.88671875" style="557" customWidth="1"/>
    <col min="6406" max="6625" width="11.44140625" style="557"/>
    <col min="6626" max="6626" width="6.44140625" style="557" customWidth="1"/>
    <col min="6627" max="6627" width="47.88671875" style="557" customWidth="1"/>
    <col min="6628" max="6629" width="5" style="557" customWidth="1"/>
    <col min="6630" max="6630" width="5.33203125" style="557" customWidth="1"/>
    <col min="6631" max="6631" width="4.88671875" style="557" customWidth="1"/>
    <col min="6632" max="6633" width="4.109375" style="557" customWidth="1"/>
    <col min="6634" max="6634" width="3.5546875" style="557" customWidth="1"/>
    <col min="6635" max="6635" width="5" style="557" customWidth="1"/>
    <col min="6636" max="6636" width="4" style="557" customWidth="1"/>
    <col min="6637" max="6638" width="4.5546875" style="557" customWidth="1"/>
    <col min="6639" max="6639" width="4.109375" style="557" customWidth="1"/>
    <col min="6640" max="6640" width="4" style="557" customWidth="1"/>
    <col min="6641" max="6641" width="3.88671875" style="557" customWidth="1"/>
    <col min="6642" max="6643" width="4.6640625" style="557" customWidth="1"/>
    <col min="6644" max="6644" width="4" style="557" customWidth="1"/>
    <col min="6645" max="6645" width="4.33203125" style="557" customWidth="1"/>
    <col min="6646" max="6646" width="4.109375" style="557" customWidth="1"/>
    <col min="6647" max="6647" width="3.88671875" style="557" customWidth="1"/>
    <col min="6648" max="6648" width="4.109375" style="557" customWidth="1"/>
    <col min="6649" max="6649" width="5.5546875" style="557" customWidth="1"/>
    <col min="6650" max="6650" width="3.5546875" style="557" customWidth="1"/>
    <col min="6651" max="6651" width="4" style="557" customWidth="1"/>
    <col min="6652" max="6652" width="4.5546875" style="557" customWidth="1"/>
    <col min="6653" max="6653" width="4.44140625" style="557" customWidth="1"/>
    <col min="6654" max="6655" width="4.33203125" style="557" customWidth="1"/>
    <col min="6656" max="6657" width="4.88671875" style="557" customWidth="1"/>
    <col min="6658" max="6658" width="4" style="557" customWidth="1"/>
    <col min="6659" max="6659" width="4.6640625" style="557" customWidth="1"/>
    <col min="6660" max="6660" width="6" style="557" customWidth="1"/>
    <col min="6661" max="6661" width="8.88671875" style="557" customWidth="1"/>
    <col min="6662" max="6881" width="11.44140625" style="557"/>
    <col min="6882" max="6882" width="6.44140625" style="557" customWidth="1"/>
    <col min="6883" max="6883" width="47.88671875" style="557" customWidth="1"/>
    <col min="6884" max="6885" width="5" style="557" customWidth="1"/>
    <col min="6886" max="6886" width="5.33203125" style="557" customWidth="1"/>
    <col min="6887" max="6887" width="4.88671875" style="557" customWidth="1"/>
    <col min="6888" max="6889" width="4.109375" style="557" customWidth="1"/>
    <col min="6890" max="6890" width="3.5546875" style="557" customWidth="1"/>
    <col min="6891" max="6891" width="5" style="557" customWidth="1"/>
    <col min="6892" max="6892" width="4" style="557" customWidth="1"/>
    <col min="6893" max="6894" width="4.5546875" style="557" customWidth="1"/>
    <col min="6895" max="6895" width="4.109375" style="557" customWidth="1"/>
    <col min="6896" max="6896" width="4" style="557" customWidth="1"/>
    <col min="6897" max="6897" width="3.88671875" style="557" customWidth="1"/>
    <col min="6898" max="6899" width="4.6640625" style="557" customWidth="1"/>
    <col min="6900" max="6900" width="4" style="557" customWidth="1"/>
    <col min="6901" max="6901" width="4.33203125" style="557" customWidth="1"/>
    <col min="6902" max="6902" width="4.109375" style="557" customWidth="1"/>
    <col min="6903" max="6903" width="3.88671875" style="557" customWidth="1"/>
    <col min="6904" max="6904" width="4.109375" style="557" customWidth="1"/>
    <col min="6905" max="6905" width="5.5546875" style="557" customWidth="1"/>
    <col min="6906" max="6906" width="3.5546875" style="557" customWidth="1"/>
    <col min="6907" max="6907" width="4" style="557" customWidth="1"/>
    <col min="6908" max="6908" width="4.5546875" style="557" customWidth="1"/>
    <col min="6909" max="6909" width="4.44140625" style="557" customWidth="1"/>
    <col min="6910" max="6911" width="4.33203125" style="557" customWidth="1"/>
    <col min="6912" max="6913" width="4.88671875" style="557" customWidth="1"/>
    <col min="6914" max="6914" width="4" style="557" customWidth="1"/>
    <col min="6915" max="6915" width="4.6640625" style="557" customWidth="1"/>
    <col min="6916" max="6916" width="6" style="557" customWidth="1"/>
    <col min="6917" max="6917" width="8.88671875" style="557" customWidth="1"/>
    <col min="6918" max="7137" width="11.44140625" style="557"/>
    <col min="7138" max="7138" width="6.44140625" style="557" customWidth="1"/>
    <col min="7139" max="7139" width="47.88671875" style="557" customWidth="1"/>
    <col min="7140" max="7141" width="5" style="557" customWidth="1"/>
    <col min="7142" max="7142" width="5.33203125" style="557" customWidth="1"/>
    <col min="7143" max="7143" width="4.88671875" style="557" customWidth="1"/>
    <col min="7144" max="7145" width="4.109375" style="557" customWidth="1"/>
    <col min="7146" max="7146" width="3.5546875" style="557" customWidth="1"/>
    <col min="7147" max="7147" width="5" style="557" customWidth="1"/>
    <col min="7148" max="7148" width="4" style="557" customWidth="1"/>
    <col min="7149" max="7150" width="4.5546875" style="557" customWidth="1"/>
    <col min="7151" max="7151" width="4.109375" style="557" customWidth="1"/>
    <col min="7152" max="7152" width="4" style="557" customWidth="1"/>
    <col min="7153" max="7153" width="3.88671875" style="557" customWidth="1"/>
    <col min="7154" max="7155" width="4.6640625" style="557" customWidth="1"/>
    <col min="7156" max="7156" width="4" style="557" customWidth="1"/>
    <col min="7157" max="7157" width="4.33203125" style="557" customWidth="1"/>
    <col min="7158" max="7158" width="4.109375" style="557" customWidth="1"/>
    <col min="7159" max="7159" width="3.88671875" style="557" customWidth="1"/>
    <col min="7160" max="7160" width="4.109375" style="557" customWidth="1"/>
    <col min="7161" max="7161" width="5.5546875" style="557" customWidth="1"/>
    <col min="7162" max="7162" width="3.5546875" style="557" customWidth="1"/>
    <col min="7163" max="7163" width="4" style="557" customWidth="1"/>
    <col min="7164" max="7164" width="4.5546875" style="557" customWidth="1"/>
    <col min="7165" max="7165" width="4.44140625" style="557" customWidth="1"/>
    <col min="7166" max="7167" width="4.33203125" style="557" customWidth="1"/>
    <col min="7168" max="7169" width="4.88671875" style="557" customWidth="1"/>
    <col min="7170" max="7170" width="4" style="557" customWidth="1"/>
    <col min="7171" max="7171" width="4.6640625" style="557" customWidth="1"/>
    <col min="7172" max="7172" width="6" style="557" customWidth="1"/>
    <col min="7173" max="7173" width="8.88671875" style="557" customWidth="1"/>
    <col min="7174" max="7393" width="11.44140625" style="557"/>
    <col min="7394" max="7394" width="6.44140625" style="557" customWidth="1"/>
    <col min="7395" max="7395" width="47.88671875" style="557" customWidth="1"/>
    <col min="7396" max="7397" width="5" style="557" customWidth="1"/>
    <col min="7398" max="7398" width="5.33203125" style="557" customWidth="1"/>
    <col min="7399" max="7399" width="4.88671875" style="557" customWidth="1"/>
    <col min="7400" max="7401" width="4.109375" style="557" customWidth="1"/>
    <col min="7402" max="7402" width="3.5546875" style="557" customWidth="1"/>
    <col min="7403" max="7403" width="5" style="557" customWidth="1"/>
    <col min="7404" max="7404" width="4" style="557" customWidth="1"/>
    <col min="7405" max="7406" width="4.5546875" style="557" customWidth="1"/>
    <col min="7407" max="7407" width="4.109375" style="557" customWidth="1"/>
    <col min="7408" max="7408" width="4" style="557" customWidth="1"/>
    <col min="7409" max="7409" width="3.88671875" style="557" customWidth="1"/>
    <col min="7410" max="7411" width="4.6640625" style="557" customWidth="1"/>
    <col min="7412" max="7412" width="4" style="557" customWidth="1"/>
    <col min="7413" max="7413" width="4.33203125" style="557" customWidth="1"/>
    <col min="7414" max="7414" width="4.109375" style="557" customWidth="1"/>
    <col min="7415" max="7415" width="3.88671875" style="557" customWidth="1"/>
    <col min="7416" max="7416" width="4.109375" style="557" customWidth="1"/>
    <col min="7417" max="7417" width="5.5546875" style="557" customWidth="1"/>
    <col min="7418" max="7418" width="3.5546875" style="557" customWidth="1"/>
    <col min="7419" max="7419" width="4" style="557" customWidth="1"/>
    <col min="7420" max="7420" width="4.5546875" style="557" customWidth="1"/>
    <col min="7421" max="7421" width="4.44140625" style="557" customWidth="1"/>
    <col min="7422" max="7423" width="4.33203125" style="557" customWidth="1"/>
    <col min="7424" max="7425" width="4.88671875" style="557" customWidth="1"/>
    <col min="7426" max="7426" width="4" style="557" customWidth="1"/>
    <col min="7427" max="7427" width="4.6640625" style="557" customWidth="1"/>
    <col min="7428" max="7428" width="6" style="557" customWidth="1"/>
    <col min="7429" max="7429" width="8.88671875" style="557" customWidth="1"/>
    <col min="7430" max="7649" width="11.44140625" style="557"/>
    <col min="7650" max="7650" width="6.44140625" style="557" customWidth="1"/>
    <col min="7651" max="7651" width="47.88671875" style="557" customWidth="1"/>
    <col min="7652" max="7653" width="5" style="557" customWidth="1"/>
    <col min="7654" max="7654" width="5.33203125" style="557" customWidth="1"/>
    <col min="7655" max="7655" width="4.88671875" style="557" customWidth="1"/>
    <col min="7656" max="7657" width="4.109375" style="557" customWidth="1"/>
    <col min="7658" max="7658" width="3.5546875" style="557" customWidth="1"/>
    <col min="7659" max="7659" width="5" style="557" customWidth="1"/>
    <col min="7660" max="7660" width="4" style="557" customWidth="1"/>
    <col min="7661" max="7662" width="4.5546875" style="557" customWidth="1"/>
    <col min="7663" max="7663" width="4.109375" style="557" customWidth="1"/>
    <col min="7664" max="7664" width="4" style="557" customWidth="1"/>
    <col min="7665" max="7665" width="3.88671875" style="557" customWidth="1"/>
    <col min="7666" max="7667" width="4.6640625" style="557" customWidth="1"/>
    <col min="7668" max="7668" width="4" style="557" customWidth="1"/>
    <col min="7669" max="7669" width="4.33203125" style="557" customWidth="1"/>
    <col min="7670" max="7670" width="4.109375" style="557" customWidth="1"/>
    <col min="7671" max="7671" width="3.88671875" style="557" customWidth="1"/>
    <col min="7672" max="7672" width="4.109375" style="557" customWidth="1"/>
    <col min="7673" max="7673" width="5.5546875" style="557" customWidth="1"/>
    <col min="7674" max="7674" width="3.5546875" style="557" customWidth="1"/>
    <col min="7675" max="7675" width="4" style="557" customWidth="1"/>
    <col min="7676" max="7676" width="4.5546875" style="557" customWidth="1"/>
    <col min="7677" max="7677" width="4.44140625" style="557" customWidth="1"/>
    <col min="7678" max="7679" width="4.33203125" style="557" customWidth="1"/>
    <col min="7680" max="7681" width="4.88671875" style="557" customWidth="1"/>
    <col min="7682" max="7682" width="4" style="557" customWidth="1"/>
    <col min="7683" max="7683" width="4.6640625" style="557" customWidth="1"/>
    <col min="7684" max="7684" width="6" style="557" customWidth="1"/>
    <col min="7685" max="7685" width="8.88671875" style="557" customWidth="1"/>
    <col min="7686" max="7905" width="11.44140625" style="557"/>
    <col min="7906" max="7906" width="6.44140625" style="557" customWidth="1"/>
    <col min="7907" max="7907" width="47.88671875" style="557" customWidth="1"/>
    <col min="7908" max="7909" width="5" style="557" customWidth="1"/>
    <col min="7910" max="7910" width="5.33203125" style="557" customWidth="1"/>
    <col min="7911" max="7911" width="4.88671875" style="557" customWidth="1"/>
    <col min="7912" max="7913" width="4.109375" style="557" customWidth="1"/>
    <col min="7914" max="7914" width="3.5546875" style="557" customWidth="1"/>
    <col min="7915" max="7915" width="5" style="557" customWidth="1"/>
    <col min="7916" max="7916" width="4" style="557" customWidth="1"/>
    <col min="7917" max="7918" width="4.5546875" style="557" customWidth="1"/>
    <col min="7919" max="7919" width="4.109375" style="557" customWidth="1"/>
    <col min="7920" max="7920" width="4" style="557" customWidth="1"/>
    <col min="7921" max="7921" width="3.88671875" style="557" customWidth="1"/>
    <col min="7922" max="7923" width="4.6640625" style="557" customWidth="1"/>
    <col min="7924" max="7924" width="4" style="557" customWidth="1"/>
    <col min="7925" max="7925" width="4.33203125" style="557" customWidth="1"/>
    <col min="7926" max="7926" width="4.109375" style="557" customWidth="1"/>
    <col min="7927" max="7927" width="3.88671875" style="557" customWidth="1"/>
    <col min="7928" max="7928" width="4.109375" style="557" customWidth="1"/>
    <col min="7929" max="7929" width="5.5546875" style="557" customWidth="1"/>
    <col min="7930" max="7930" width="3.5546875" style="557" customWidth="1"/>
    <col min="7931" max="7931" width="4" style="557" customWidth="1"/>
    <col min="7932" max="7932" width="4.5546875" style="557" customWidth="1"/>
    <col min="7933" max="7933" width="4.44140625" style="557" customWidth="1"/>
    <col min="7934" max="7935" width="4.33203125" style="557" customWidth="1"/>
    <col min="7936" max="7937" width="4.88671875" style="557" customWidth="1"/>
    <col min="7938" max="7938" width="4" style="557" customWidth="1"/>
    <col min="7939" max="7939" width="4.6640625" style="557" customWidth="1"/>
    <col min="7940" max="7940" width="6" style="557" customWidth="1"/>
    <col min="7941" max="7941" width="8.88671875" style="557" customWidth="1"/>
    <col min="7942" max="8161" width="11.44140625" style="557"/>
    <col min="8162" max="8162" width="6.44140625" style="557" customWidth="1"/>
    <col min="8163" max="8163" width="47.88671875" style="557" customWidth="1"/>
    <col min="8164" max="8165" width="5" style="557" customWidth="1"/>
    <col min="8166" max="8166" width="5.33203125" style="557" customWidth="1"/>
    <col min="8167" max="8167" width="4.88671875" style="557" customWidth="1"/>
    <col min="8168" max="8169" width="4.109375" style="557" customWidth="1"/>
    <col min="8170" max="8170" width="3.5546875" style="557" customWidth="1"/>
    <col min="8171" max="8171" width="5" style="557" customWidth="1"/>
    <col min="8172" max="8172" width="4" style="557" customWidth="1"/>
    <col min="8173" max="8174" width="4.5546875" style="557" customWidth="1"/>
    <col min="8175" max="8175" width="4.109375" style="557" customWidth="1"/>
    <col min="8176" max="8176" width="4" style="557" customWidth="1"/>
    <col min="8177" max="8177" width="3.88671875" style="557" customWidth="1"/>
    <col min="8178" max="8179" width="4.6640625" style="557" customWidth="1"/>
    <col min="8180" max="8180" width="4" style="557" customWidth="1"/>
    <col min="8181" max="8181" width="4.33203125" style="557" customWidth="1"/>
    <col min="8182" max="8182" width="4.109375" style="557" customWidth="1"/>
    <col min="8183" max="8183" width="3.88671875" style="557" customWidth="1"/>
    <col min="8184" max="8184" width="4.109375" style="557" customWidth="1"/>
    <col min="8185" max="8185" width="5.5546875" style="557" customWidth="1"/>
    <col min="8186" max="8186" width="3.5546875" style="557" customWidth="1"/>
    <col min="8187" max="8187" width="4" style="557" customWidth="1"/>
    <col min="8188" max="8188" width="4.5546875" style="557" customWidth="1"/>
    <col min="8189" max="8189" width="4.44140625" style="557" customWidth="1"/>
    <col min="8190" max="8191" width="4.33203125" style="557" customWidth="1"/>
    <col min="8192" max="8193" width="4.88671875" style="557" customWidth="1"/>
    <col min="8194" max="8194" width="4" style="557" customWidth="1"/>
    <col min="8195" max="8195" width="4.6640625" style="557" customWidth="1"/>
    <col min="8196" max="8196" width="6" style="557" customWidth="1"/>
    <col min="8197" max="8197" width="8.88671875" style="557" customWidth="1"/>
    <col min="8198" max="8417" width="11.44140625" style="557"/>
    <col min="8418" max="8418" width="6.44140625" style="557" customWidth="1"/>
    <col min="8419" max="8419" width="47.88671875" style="557" customWidth="1"/>
    <col min="8420" max="8421" width="5" style="557" customWidth="1"/>
    <col min="8422" max="8422" width="5.33203125" style="557" customWidth="1"/>
    <col min="8423" max="8423" width="4.88671875" style="557" customWidth="1"/>
    <col min="8424" max="8425" width="4.109375" style="557" customWidth="1"/>
    <col min="8426" max="8426" width="3.5546875" style="557" customWidth="1"/>
    <col min="8427" max="8427" width="5" style="557" customWidth="1"/>
    <col min="8428" max="8428" width="4" style="557" customWidth="1"/>
    <col min="8429" max="8430" width="4.5546875" style="557" customWidth="1"/>
    <col min="8431" max="8431" width="4.109375" style="557" customWidth="1"/>
    <col min="8432" max="8432" width="4" style="557" customWidth="1"/>
    <col min="8433" max="8433" width="3.88671875" style="557" customWidth="1"/>
    <col min="8434" max="8435" width="4.6640625" style="557" customWidth="1"/>
    <col min="8436" max="8436" width="4" style="557" customWidth="1"/>
    <col min="8437" max="8437" width="4.33203125" style="557" customWidth="1"/>
    <col min="8438" max="8438" width="4.109375" style="557" customWidth="1"/>
    <col min="8439" max="8439" width="3.88671875" style="557" customWidth="1"/>
    <col min="8440" max="8440" width="4.109375" style="557" customWidth="1"/>
    <col min="8441" max="8441" width="5.5546875" style="557" customWidth="1"/>
    <col min="8442" max="8442" width="3.5546875" style="557" customWidth="1"/>
    <col min="8443" max="8443" width="4" style="557" customWidth="1"/>
    <col min="8444" max="8444" width="4.5546875" style="557" customWidth="1"/>
    <col min="8445" max="8445" width="4.44140625" style="557" customWidth="1"/>
    <col min="8446" max="8447" width="4.33203125" style="557" customWidth="1"/>
    <col min="8448" max="8449" width="4.88671875" style="557" customWidth="1"/>
    <col min="8450" max="8450" width="4" style="557" customWidth="1"/>
    <col min="8451" max="8451" width="4.6640625" style="557" customWidth="1"/>
    <col min="8452" max="8452" width="6" style="557" customWidth="1"/>
    <col min="8453" max="8453" width="8.88671875" style="557" customWidth="1"/>
    <col min="8454" max="8673" width="11.44140625" style="557"/>
    <col min="8674" max="8674" width="6.44140625" style="557" customWidth="1"/>
    <col min="8675" max="8675" width="47.88671875" style="557" customWidth="1"/>
    <col min="8676" max="8677" width="5" style="557" customWidth="1"/>
    <col min="8678" max="8678" width="5.33203125" style="557" customWidth="1"/>
    <col min="8679" max="8679" width="4.88671875" style="557" customWidth="1"/>
    <col min="8680" max="8681" width="4.109375" style="557" customWidth="1"/>
    <col min="8682" max="8682" width="3.5546875" style="557" customWidth="1"/>
    <col min="8683" max="8683" width="5" style="557" customWidth="1"/>
    <col min="8684" max="8684" width="4" style="557" customWidth="1"/>
    <col min="8685" max="8686" width="4.5546875" style="557" customWidth="1"/>
    <col min="8687" max="8687" width="4.109375" style="557" customWidth="1"/>
    <col min="8688" max="8688" width="4" style="557" customWidth="1"/>
    <col min="8689" max="8689" width="3.88671875" style="557" customWidth="1"/>
    <col min="8690" max="8691" width="4.6640625" style="557" customWidth="1"/>
    <col min="8692" max="8692" width="4" style="557" customWidth="1"/>
    <col min="8693" max="8693" width="4.33203125" style="557" customWidth="1"/>
    <col min="8694" max="8694" width="4.109375" style="557" customWidth="1"/>
    <col min="8695" max="8695" width="3.88671875" style="557" customWidth="1"/>
    <col min="8696" max="8696" width="4.109375" style="557" customWidth="1"/>
    <col min="8697" max="8697" width="5.5546875" style="557" customWidth="1"/>
    <col min="8698" max="8698" width="3.5546875" style="557" customWidth="1"/>
    <col min="8699" max="8699" width="4" style="557" customWidth="1"/>
    <col min="8700" max="8700" width="4.5546875" style="557" customWidth="1"/>
    <col min="8701" max="8701" width="4.44140625" style="557" customWidth="1"/>
    <col min="8702" max="8703" width="4.33203125" style="557" customWidth="1"/>
    <col min="8704" max="8705" width="4.88671875" style="557" customWidth="1"/>
    <col min="8706" max="8706" width="4" style="557" customWidth="1"/>
    <col min="8707" max="8707" width="4.6640625" style="557" customWidth="1"/>
    <col min="8708" max="8708" width="6" style="557" customWidth="1"/>
    <col min="8709" max="8709" width="8.88671875" style="557" customWidth="1"/>
    <col min="8710" max="8929" width="11.44140625" style="557"/>
    <col min="8930" max="8930" width="6.44140625" style="557" customWidth="1"/>
    <col min="8931" max="8931" width="47.88671875" style="557" customWidth="1"/>
    <col min="8932" max="8933" width="5" style="557" customWidth="1"/>
    <col min="8934" max="8934" width="5.33203125" style="557" customWidth="1"/>
    <col min="8935" max="8935" width="4.88671875" style="557" customWidth="1"/>
    <col min="8936" max="8937" width="4.109375" style="557" customWidth="1"/>
    <col min="8938" max="8938" width="3.5546875" style="557" customWidth="1"/>
    <col min="8939" max="8939" width="5" style="557" customWidth="1"/>
    <col min="8940" max="8940" width="4" style="557" customWidth="1"/>
    <col min="8941" max="8942" width="4.5546875" style="557" customWidth="1"/>
    <col min="8943" max="8943" width="4.109375" style="557" customWidth="1"/>
    <col min="8944" max="8944" width="4" style="557" customWidth="1"/>
    <col min="8945" max="8945" width="3.88671875" style="557" customWidth="1"/>
    <col min="8946" max="8947" width="4.6640625" style="557" customWidth="1"/>
    <col min="8948" max="8948" width="4" style="557" customWidth="1"/>
    <col min="8949" max="8949" width="4.33203125" style="557" customWidth="1"/>
    <col min="8950" max="8950" width="4.109375" style="557" customWidth="1"/>
    <col min="8951" max="8951" width="3.88671875" style="557" customWidth="1"/>
    <col min="8952" max="8952" width="4.109375" style="557" customWidth="1"/>
    <col min="8953" max="8953" width="5.5546875" style="557" customWidth="1"/>
    <col min="8954" max="8954" width="3.5546875" style="557" customWidth="1"/>
    <col min="8955" max="8955" width="4" style="557" customWidth="1"/>
    <col min="8956" max="8956" width="4.5546875" style="557" customWidth="1"/>
    <col min="8957" max="8957" width="4.44140625" style="557" customWidth="1"/>
    <col min="8958" max="8959" width="4.33203125" style="557" customWidth="1"/>
    <col min="8960" max="8961" width="4.88671875" style="557" customWidth="1"/>
    <col min="8962" max="8962" width="4" style="557" customWidth="1"/>
    <col min="8963" max="8963" width="4.6640625" style="557" customWidth="1"/>
    <col min="8964" max="8964" width="6" style="557" customWidth="1"/>
    <col min="8965" max="8965" width="8.88671875" style="557" customWidth="1"/>
    <col min="8966" max="9185" width="11.44140625" style="557"/>
    <col min="9186" max="9186" width="6.44140625" style="557" customWidth="1"/>
    <col min="9187" max="9187" width="47.88671875" style="557" customWidth="1"/>
    <col min="9188" max="9189" width="5" style="557" customWidth="1"/>
    <col min="9190" max="9190" width="5.33203125" style="557" customWidth="1"/>
    <col min="9191" max="9191" width="4.88671875" style="557" customWidth="1"/>
    <col min="9192" max="9193" width="4.109375" style="557" customWidth="1"/>
    <col min="9194" max="9194" width="3.5546875" style="557" customWidth="1"/>
    <col min="9195" max="9195" width="5" style="557" customWidth="1"/>
    <col min="9196" max="9196" width="4" style="557" customWidth="1"/>
    <col min="9197" max="9198" width="4.5546875" style="557" customWidth="1"/>
    <col min="9199" max="9199" width="4.109375" style="557" customWidth="1"/>
    <col min="9200" max="9200" width="4" style="557" customWidth="1"/>
    <col min="9201" max="9201" width="3.88671875" style="557" customWidth="1"/>
    <col min="9202" max="9203" width="4.6640625" style="557" customWidth="1"/>
    <col min="9204" max="9204" width="4" style="557" customWidth="1"/>
    <col min="9205" max="9205" width="4.33203125" style="557" customWidth="1"/>
    <col min="9206" max="9206" width="4.109375" style="557" customWidth="1"/>
    <col min="9207" max="9207" width="3.88671875" style="557" customWidth="1"/>
    <col min="9208" max="9208" width="4.109375" style="557" customWidth="1"/>
    <col min="9209" max="9209" width="5.5546875" style="557" customWidth="1"/>
    <col min="9210" max="9210" width="3.5546875" style="557" customWidth="1"/>
    <col min="9211" max="9211" width="4" style="557" customWidth="1"/>
    <col min="9212" max="9212" width="4.5546875" style="557" customWidth="1"/>
    <col min="9213" max="9213" width="4.44140625" style="557" customWidth="1"/>
    <col min="9214" max="9215" width="4.33203125" style="557" customWidth="1"/>
    <col min="9216" max="9217" width="4.88671875" style="557" customWidth="1"/>
    <col min="9218" max="9218" width="4" style="557" customWidth="1"/>
    <col min="9219" max="9219" width="4.6640625" style="557" customWidth="1"/>
    <col min="9220" max="9220" width="6" style="557" customWidth="1"/>
    <col min="9221" max="9221" width="8.88671875" style="557" customWidth="1"/>
    <col min="9222" max="9441" width="11.44140625" style="557"/>
    <col min="9442" max="9442" width="6.44140625" style="557" customWidth="1"/>
    <col min="9443" max="9443" width="47.88671875" style="557" customWidth="1"/>
    <col min="9444" max="9445" width="5" style="557" customWidth="1"/>
    <col min="9446" max="9446" width="5.33203125" style="557" customWidth="1"/>
    <col min="9447" max="9447" width="4.88671875" style="557" customWidth="1"/>
    <col min="9448" max="9449" width="4.109375" style="557" customWidth="1"/>
    <col min="9450" max="9450" width="3.5546875" style="557" customWidth="1"/>
    <col min="9451" max="9451" width="5" style="557" customWidth="1"/>
    <col min="9452" max="9452" width="4" style="557" customWidth="1"/>
    <col min="9453" max="9454" width="4.5546875" style="557" customWidth="1"/>
    <col min="9455" max="9455" width="4.109375" style="557" customWidth="1"/>
    <col min="9456" max="9456" width="4" style="557" customWidth="1"/>
    <col min="9457" max="9457" width="3.88671875" style="557" customWidth="1"/>
    <col min="9458" max="9459" width="4.6640625" style="557" customWidth="1"/>
    <col min="9460" max="9460" width="4" style="557" customWidth="1"/>
    <col min="9461" max="9461" width="4.33203125" style="557" customWidth="1"/>
    <col min="9462" max="9462" width="4.109375" style="557" customWidth="1"/>
    <col min="9463" max="9463" width="3.88671875" style="557" customWidth="1"/>
    <col min="9464" max="9464" width="4.109375" style="557" customWidth="1"/>
    <col min="9465" max="9465" width="5.5546875" style="557" customWidth="1"/>
    <col min="9466" max="9466" width="3.5546875" style="557" customWidth="1"/>
    <col min="9467" max="9467" width="4" style="557" customWidth="1"/>
    <col min="9468" max="9468" width="4.5546875" style="557" customWidth="1"/>
    <col min="9469" max="9469" width="4.44140625" style="557" customWidth="1"/>
    <col min="9470" max="9471" width="4.33203125" style="557" customWidth="1"/>
    <col min="9472" max="9473" width="4.88671875" style="557" customWidth="1"/>
    <col min="9474" max="9474" width="4" style="557" customWidth="1"/>
    <col min="9475" max="9475" width="4.6640625" style="557" customWidth="1"/>
    <col min="9476" max="9476" width="6" style="557" customWidth="1"/>
    <col min="9477" max="9477" width="8.88671875" style="557" customWidth="1"/>
    <col min="9478" max="9697" width="11.44140625" style="557"/>
    <col min="9698" max="9698" width="6.44140625" style="557" customWidth="1"/>
    <col min="9699" max="9699" width="47.88671875" style="557" customWidth="1"/>
    <col min="9700" max="9701" width="5" style="557" customWidth="1"/>
    <col min="9702" max="9702" width="5.33203125" style="557" customWidth="1"/>
    <col min="9703" max="9703" width="4.88671875" style="557" customWidth="1"/>
    <col min="9704" max="9705" width="4.109375" style="557" customWidth="1"/>
    <col min="9706" max="9706" width="3.5546875" style="557" customWidth="1"/>
    <col min="9707" max="9707" width="5" style="557" customWidth="1"/>
    <col min="9708" max="9708" width="4" style="557" customWidth="1"/>
    <col min="9709" max="9710" width="4.5546875" style="557" customWidth="1"/>
    <col min="9711" max="9711" width="4.109375" style="557" customWidth="1"/>
    <col min="9712" max="9712" width="4" style="557" customWidth="1"/>
    <col min="9713" max="9713" width="3.88671875" style="557" customWidth="1"/>
    <col min="9714" max="9715" width="4.6640625" style="557" customWidth="1"/>
    <col min="9716" max="9716" width="4" style="557" customWidth="1"/>
    <col min="9717" max="9717" width="4.33203125" style="557" customWidth="1"/>
    <col min="9718" max="9718" width="4.109375" style="557" customWidth="1"/>
    <col min="9719" max="9719" width="3.88671875" style="557" customWidth="1"/>
    <col min="9720" max="9720" width="4.109375" style="557" customWidth="1"/>
    <col min="9721" max="9721" width="5.5546875" style="557" customWidth="1"/>
    <col min="9722" max="9722" width="3.5546875" style="557" customWidth="1"/>
    <col min="9723" max="9723" width="4" style="557" customWidth="1"/>
    <col min="9724" max="9724" width="4.5546875" style="557" customWidth="1"/>
    <col min="9725" max="9725" width="4.44140625" style="557" customWidth="1"/>
    <col min="9726" max="9727" width="4.33203125" style="557" customWidth="1"/>
    <col min="9728" max="9729" width="4.88671875" style="557" customWidth="1"/>
    <col min="9730" max="9730" width="4" style="557" customWidth="1"/>
    <col min="9731" max="9731" width="4.6640625" style="557" customWidth="1"/>
    <col min="9732" max="9732" width="6" style="557" customWidth="1"/>
    <col min="9733" max="9733" width="8.88671875" style="557" customWidth="1"/>
    <col min="9734" max="9953" width="11.44140625" style="557"/>
    <col min="9954" max="9954" width="6.44140625" style="557" customWidth="1"/>
    <col min="9955" max="9955" width="47.88671875" style="557" customWidth="1"/>
    <col min="9956" max="9957" width="5" style="557" customWidth="1"/>
    <col min="9958" max="9958" width="5.33203125" style="557" customWidth="1"/>
    <col min="9959" max="9959" width="4.88671875" style="557" customWidth="1"/>
    <col min="9960" max="9961" width="4.109375" style="557" customWidth="1"/>
    <col min="9962" max="9962" width="3.5546875" style="557" customWidth="1"/>
    <col min="9963" max="9963" width="5" style="557" customWidth="1"/>
    <col min="9964" max="9964" width="4" style="557" customWidth="1"/>
    <col min="9965" max="9966" width="4.5546875" style="557" customWidth="1"/>
    <col min="9967" max="9967" width="4.109375" style="557" customWidth="1"/>
    <col min="9968" max="9968" width="4" style="557" customWidth="1"/>
    <col min="9969" max="9969" width="3.88671875" style="557" customWidth="1"/>
    <col min="9970" max="9971" width="4.6640625" style="557" customWidth="1"/>
    <col min="9972" max="9972" width="4" style="557" customWidth="1"/>
    <col min="9973" max="9973" width="4.33203125" style="557" customWidth="1"/>
    <col min="9974" max="9974" width="4.109375" style="557" customWidth="1"/>
    <col min="9975" max="9975" width="3.88671875" style="557" customWidth="1"/>
    <col min="9976" max="9976" width="4.109375" style="557" customWidth="1"/>
    <col min="9977" max="9977" width="5.5546875" style="557" customWidth="1"/>
    <col min="9978" max="9978" width="3.5546875" style="557" customWidth="1"/>
    <col min="9979" max="9979" width="4" style="557" customWidth="1"/>
    <col min="9980" max="9980" width="4.5546875" style="557" customWidth="1"/>
    <col min="9981" max="9981" width="4.44140625" style="557" customWidth="1"/>
    <col min="9982" max="9983" width="4.33203125" style="557" customWidth="1"/>
    <col min="9984" max="9985" width="4.88671875" style="557" customWidth="1"/>
    <col min="9986" max="9986" width="4" style="557" customWidth="1"/>
    <col min="9987" max="9987" width="4.6640625" style="557" customWidth="1"/>
    <col min="9988" max="9988" width="6" style="557" customWidth="1"/>
    <col min="9989" max="9989" width="8.88671875" style="557" customWidth="1"/>
    <col min="9990" max="10209" width="11.44140625" style="557"/>
    <col min="10210" max="10210" width="6.44140625" style="557" customWidth="1"/>
    <col min="10211" max="10211" width="47.88671875" style="557" customWidth="1"/>
    <col min="10212" max="10213" width="5" style="557" customWidth="1"/>
    <col min="10214" max="10214" width="5.33203125" style="557" customWidth="1"/>
    <col min="10215" max="10215" width="4.88671875" style="557" customWidth="1"/>
    <col min="10216" max="10217" width="4.109375" style="557" customWidth="1"/>
    <col min="10218" max="10218" width="3.5546875" style="557" customWidth="1"/>
    <col min="10219" max="10219" width="5" style="557" customWidth="1"/>
    <col min="10220" max="10220" width="4" style="557" customWidth="1"/>
    <col min="10221" max="10222" width="4.5546875" style="557" customWidth="1"/>
    <col min="10223" max="10223" width="4.109375" style="557" customWidth="1"/>
    <col min="10224" max="10224" width="4" style="557" customWidth="1"/>
    <col min="10225" max="10225" width="3.88671875" style="557" customWidth="1"/>
    <col min="10226" max="10227" width="4.6640625" style="557" customWidth="1"/>
    <col min="10228" max="10228" width="4" style="557" customWidth="1"/>
    <col min="10229" max="10229" width="4.33203125" style="557" customWidth="1"/>
    <col min="10230" max="10230" width="4.109375" style="557" customWidth="1"/>
    <col min="10231" max="10231" width="3.88671875" style="557" customWidth="1"/>
    <col min="10232" max="10232" width="4.109375" style="557" customWidth="1"/>
    <col min="10233" max="10233" width="5.5546875" style="557" customWidth="1"/>
    <col min="10234" max="10234" width="3.5546875" style="557" customWidth="1"/>
    <col min="10235" max="10235" width="4" style="557" customWidth="1"/>
    <col min="10236" max="10236" width="4.5546875" style="557" customWidth="1"/>
    <col min="10237" max="10237" width="4.44140625" style="557" customWidth="1"/>
    <col min="10238" max="10239" width="4.33203125" style="557" customWidth="1"/>
    <col min="10240" max="10241" width="4.88671875" style="557" customWidth="1"/>
    <col min="10242" max="10242" width="4" style="557" customWidth="1"/>
    <col min="10243" max="10243" width="4.6640625" style="557" customWidth="1"/>
    <col min="10244" max="10244" width="6" style="557" customWidth="1"/>
    <col min="10245" max="10245" width="8.88671875" style="557" customWidth="1"/>
    <col min="10246" max="10465" width="11.44140625" style="557"/>
    <col min="10466" max="10466" width="6.44140625" style="557" customWidth="1"/>
    <col min="10467" max="10467" width="47.88671875" style="557" customWidth="1"/>
    <col min="10468" max="10469" width="5" style="557" customWidth="1"/>
    <col min="10470" max="10470" width="5.33203125" style="557" customWidth="1"/>
    <col min="10471" max="10471" width="4.88671875" style="557" customWidth="1"/>
    <col min="10472" max="10473" width="4.109375" style="557" customWidth="1"/>
    <col min="10474" max="10474" width="3.5546875" style="557" customWidth="1"/>
    <col min="10475" max="10475" width="5" style="557" customWidth="1"/>
    <col min="10476" max="10476" width="4" style="557" customWidth="1"/>
    <col min="10477" max="10478" width="4.5546875" style="557" customWidth="1"/>
    <col min="10479" max="10479" width="4.109375" style="557" customWidth="1"/>
    <col min="10480" max="10480" width="4" style="557" customWidth="1"/>
    <col min="10481" max="10481" width="3.88671875" style="557" customWidth="1"/>
    <col min="10482" max="10483" width="4.6640625" style="557" customWidth="1"/>
    <col min="10484" max="10484" width="4" style="557" customWidth="1"/>
    <col min="10485" max="10485" width="4.33203125" style="557" customWidth="1"/>
    <col min="10486" max="10486" width="4.109375" style="557" customWidth="1"/>
    <col min="10487" max="10487" width="3.88671875" style="557" customWidth="1"/>
    <col min="10488" max="10488" width="4.109375" style="557" customWidth="1"/>
    <col min="10489" max="10489" width="5.5546875" style="557" customWidth="1"/>
    <col min="10490" max="10490" width="3.5546875" style="557" customWidth="1"/>
    <col min="10491" max="10491" width="4" style="557" customWidth="1"/>
    <col min="10492" max="10492" width="4.5546875" style="557" customWidth="1"/>
    <col min="10493" max="10493" width="4.44140625" style="557" customWidth="1"/>
    <col min="10494" max="10495" width="4.33203125" style="557" customWidth="1"/>
    <col min="10496" max="10497" width="4.88671875" style="557" customWidth="1"/>
    <col min="10498" max="10498" width="4" style="557" customWidth="1"/>
    <col min="10499" max="10499" width="4.6640625" style="557" customWidth="1"/>
    <col min="10500" max="10500" width="6" style="557" customWidth="1"/>
    <col min="10501" max="10501" width="8.88671875" style="557" customWidth="1"/>
    <col min="10502" max="10721" width="11.44140625" style="557"/>
    <col min="10722" max="10722" width="6.44140625" style="557" customWidth="1"/>
    <col min="10723" max="10723" width="47.88671875" style="557" customWidth="1"/>
    <col min="10724" max="10725" width="5" style="557" customWidth="1"/>
    <col min="10726" max="10726" width="5.33203125" style="557" customWidth="1"/>
    <col min="10727" max="10727" width="4.88671875" style="557" customWidth="1"/>
    <col min="10728" max="10729" width="4.109375" style="557" customWidth="1"/>
    <col min="10730" max="10730" width="3.5546875" style="557" customWidth="1"/>
    <col min="10731" max="10731" width="5" style="557" customWidth="1"/>
    <col min="10732" max="10732" width="4" style="557" customWidth="1"/>
    <col min="10733" max="10734" width="4.5546875" style="557" customWidth="1"/>
    <col min="10735" max="10735" width="4.109375" style="557" customWidth="1"/>
    <col min="10736" max="10736" width="4" style="557" customWidth="1"/>
    <col min="10737" max="10737" width="3.88671875" style="557" customWidth="1"/>
    <col min="10738" max="10739" width="4.6640625" style="557" customWidth="1"/>
    <col min="10740" max="10740" width="4" style="557" customWidth="1"/>
    <col min="10741" max="10741" width="4.33203125" style="557" customWidth="1"/>
    <col min="10742" max="10742" width="4.109375" style="557" customWidth="1"/>
    <col min="10743" max="10743" width="3.88671875" style="557" customWidth="1"/>
    <col min="10744" max="10744" width="4.109375" style="557" customWidth="1"/>
    <col min="10745" max="10745" width="5.5546875" style="557" customWidth="1"/>
    <col min="10746" max="10746" width="3.5546875" style="557" customWidth="1"/>
    <col min="10747" max="10747" width="4" style="557" customWidth="1"/>
    <col min="10748" max="10748" width="4.5546875" style="557" customWidth="1"/>
    <col min="10749" max="10749" width="4.44140625" style="557" customWidth="1"/>
    <col min="10750" max="10751" width="4.33203125" style="557" customWidth="1"/>
    <col min="10752" max="10753" width="4.88671875" style="557" customWidth="1"/>
    <col min="10754" max="10754" width="4" style="557" customWidth="1"/>
    <col min="10755" max="10755" width="4.6640625" style="557" customWidth="1"/>
    <col min="10756" max="10756" width="6" style="557" customWidth="1"/>
    <col min="10757" max="10757" width="8.88671875" style="557" customWidth="1"/>
    <col min="10758" max="10977" width="11.44140625" style="557"/>
    <col min="10978" max="10978" width="6.44140625" style="557" customWidth="1"/>
    <col min="10979" max="10979" width="47.88671875" style="557" customWidth="1"/>
    <col min="10980" max="10981" width="5" style="557" customWidth="1"/>
    <col min="10982" max="10982" width="5.33203125" style="557" customWidth="1"/>
    <col min="10983" max="10983" width="4.88671875" style="557" customWidth="1"/>
    <col min="10984" max="10985" width="4.109375" style="557" customWidth="1"/>
    <col min="10986" max="10986" width="3.5546875" style="557" customWidth="1"/>
    <col min="10987" max="10987" width="5" style="557" customWidth="1"/>
    <col min="10988" max="10988" width="4" style="557" customWidth="1"/>
    <col min="10989" max="10990" width="4.5546875" style="557" customWidth="1"/>
    <col min="10991" max="10991" width="4.109375" style="557" customWidth="1"/>
    <col min="10992" max="10992" width="4" style="557" customWidth="1"/>
    <col min="10993" max="10993" width="3.88671875" style="557" customWidth="1"/>
    <col min="10994" max="10995" width="4.6640625" style="557" customWidth="1"/>
    <col min="10996" max="10996" width="4" style="557" customWidth="1"/>
    <col min="10997" max="10997" width="4.33203125" style="557" customWidth="1"/>
    <col min="10998" max="10998" width="4.109375" style="557" customWidth="1"/>
    <col min="10999" max="10999" width="3.88671875" style="557" customWidth="1"/>
    <col min="11000" max="11000" width="4.109375" style="557" customWidth="1"/>
    <col min="11001" max="11001" width="5.5546875" style="557" customWidth="1"/>
    <col min="11002" max="11002" width="3.5546875" style="557" customWidth="1"/>
    <col min="11003" max="11003" width="4" style="557" customWidth="1"/>
    <col min="11004" max="11004" width="4.5546875" style="557" customWidth="1"/>
    <col min="11005" max="11005" width="4.44140625" style="557" customWidth="1"/>
    <col min="11006" max="11007" width="4.33203125" style="557" customWidth="1"/>
    <col min="11008" max="11009" width="4.88671875" style="557" customWidth="1"/>
    <col min="11010" max="11010" width="4" style="557" customWidth="1"/>
    <col min="11011" max="11011" width="4.6640625" style="557" customWidth="1"/>
    <col min="11012" max="11012" width="6" style="557" customWidth="1"/>
    <col min="11013" max="11013" width="8.88671875" style="557" customWidth="1"/>
    <col min="11014" max="11233" width="11.44140625" style="557"/>
    <col min="11234" max="11234" width="6.44140625" style="557" customWidth="1"/>
    <col min="11235" max="11235" width="47.88671875" style="557" customWidth="1"/>
    <col min="11236" max="11237" width="5" style="557" customWidth="1"/>
    <col min="11238" max="11238" width="5.33203125" style="557" customWidth="1"/>
    <col min="11239" max="11239" width="4.88671875" style="557" customWidth="1"/>
    <col min="11240" max="11241" width="4.109375" style="557" customWidth="1"/>
    <col min="11242" max="11242" width="3.5546875" style="557" customWidth="1"/>
    <col min="11243" max="11243" width="5" style="557" customWidth="1"/>
    <col min="11244" max="11244" width="4" style="557" customWidth="1"/>
    <col min="11245" max="11246" width="4.5546875" style="557" customWidth="1"/>
    <col min="11247" max="11247" width="4.109375" style="557" customWidth="1"/>
    <col min="11248" max="11248" width="4" style="557" customWidth="1"/>
    <col min="11249" max="11249" width="3.88671875" style="557" customWidth="1"/>
    <col min="11250" max="11251" width="4.6640625" style="557" customWidth="1"/>
    <col min="11252" max="11252" width="4" style="557" customWidth="1"/>
    <col min="11253" max="11253" width="4.33203125" style="557" customWidth="1"/>
    <col min="11254" max="11254" width="4.109375" style="557" customWidth="1"/>
    <col min="11255" max="11255" width="3.88671875" style="557" customWidth="1"/>
    <col min="11256" max="11256" width="4.109375" style="557" customWidth="1"/>
    <col min="11257" max="11257" width="5.5546875" style="557" customWidth="1"/>
    <col min="11258" max="11258" width="3.5546875" style="557" customWidth="1"/>
    <col min="11259" max="11259" width="4" style="557" customWidth="1"/>
    <col min="11260" max="11260" width="4.5546875" style="557" customWidth="1"/>
    <col min="11261" max="11261" width="4.44140625" style="557" customWidth="1"/>
    <col min="11262" max="11263" width="4.33203125" style="557" customWidth="1"/>
    <col min="11264" max="11265" width="4.88671875" style="557" customWidth="1"/>
    <col min="11266" max="11266" width="4" style="557" customWidth="1"/>
    <col min="11267" max="11267" width="4.6640625" style="557" customWidth="1"/>
    <col min="11268" max="11268" width="6" style="557" customWidth="1"/>
    <col min="11269" max="11269" width="8.88671875" style="557" customWidth="1"/>
    <col min="11270" max="11489" width="11.44140625" style="557"/>
    <col min="11490" max="11490" width="6.44140625" style="557" customWidth="1"/>
    <col min="11491" max="11491" width="47.88671875" style="557" customWidth="1"/>
    <col min="11492" max="11493" width="5" style="557" customWidth="1"/>
    <col min="11494" max="11494" width="5.33203125" style="557" customWidth="1"/>
    <col min="11495" max="11495" width="4.88671875" style="557" customWidth="1"/>
    <col min="11496" max="11497" width="4.109375" style="557" customWidth="1"/>
    <col min="11498" max="11498" width="3.5546875" style="557" customWidth="1"/>
    <col min="11499" max="11499" width="5" style="557" customWidth="1"/>
    <col min="11500" max="11500" width="4" style="557" customWidth="1"/>
    <col min="11501" max="11502" width="4.5546875" style="557" customWidth="1"/>
    <col min="11503" max="11503" width="4.109375" style="557" customWidth="1"/>
    <col min="11504" max="11504" width="4" style="557" customWidth="1"/>
    <col min="11505" max="11505" width="3.88671875" style="557" customWidth="1"/>
    <col min="11506" max="11507" width="4.6640625" style="557" customWidth="1"/>
    <col min="11508" max="11508" width="4" style="557" customWidth="1"/>
    <col min="11509" max="11509" width="4.33203125" style="557" customWidth="1"/>
    <col min="11510" max="11510" width="4.109375" style="557" customWidth="1"/>
    <col min="11511" max="11511" width="3.88671875" style="557" customWidth="1"/>
    <col min="11512" max="11512" width="4.109375" style="557" customWidth="1"/>
    <col min="11513" max="11513" width="5.5546875" style="557" customWidth="1"/>
    <col min="11514" max="11514" width="3.5546875" style="557" customWidth="1"/>
    <col min="11515" max="11515" width="4" style="557" customWidth="1"/>
    <col min="11516" max="11516" width="4.5546875" style="557" customWidth="1"/>
    <col min="11517" max="11517" width="4.44140625" style="557" customWidth="1"/>
    <col min="11518" max="11519" width="4.33203125" style="557" customWidth="1"/>
    <col min="11520" max="11521" width="4.88671875" style="557" customWidth="1"/>
    <col min="11522" max="11522" width="4" style="557" customWidth="1"/>
    <col min="11523" max="11523" width="4.6640625" style="557" customWidth="1"/>
    <col min="11524" max="11524" width="6" style="557" customWidth="1"/>
    <col min="11525" max="11525" width="8.88671875" style="557" customWidth="1"/>
    <col min="11526" max="11745" width="11.44140625" style="557"/>
    <col min="11746" max="11746" width="6.44140625" style="557" customWidth="1"/>
    <col min="11747" max="11747" width="47.88671875" style="557" customWidth="1"/>
    <col min="11748" max="11749" width="5" style="557" customWidth="1"/>
    <col min="11750" max="11750" width="5.33203125" style="557" customWidth="1"/>
    <col min="11751" max="11751" width="4.88671875" style="557" customWidth="1"/>
    <col min="11752" max="11753" width="4.109375" style="557" customWidth="1"/>
    <col min="11754" max="11754" width="3.5546875" style="557" customWidth="1"/>
    <col min="11755" max="11755" width="5" style="557" customWidth="1"/>
    <col min="11756" max="11756" width="4" style="557" customWidth="1"/>
    <col min="11757" max="11758" width="4.5546875" style="557" customWidth="1"/>
    <col min="11759" max="11759" width="4.109375" style="557" customWidth="1"/>
    <col min="11760" max="11760" width="4" style="557" customWidth="1"/>
    <col min="11761" max="11761" width="3.88671875" style="557" customWidth="1"/>
    <col min="11762" max="11763" width="4.6640625" style="557" customWidth="1"/>
    <col min="11764" max="11764" width="4" style="557" customWidth="1"/>
    <col min="11765" max="11765" width="4.33203125" style="557" customWidth="1"/>
    <col min="11766" max="11766" width="4.109375" style="557" customWidth="1"/>
    <col min="11767" max="11767" width="3.88671875" style="557" customWidth="1"/>
    <col min="11768" max="11768" width="4.109375" style="557" customWidth="1"/>
    <col min="11769" max="11769" width="5.5546875" style="557" customWidth="1"/>
    <col min="11770" max="11770" width="3.5546875" style="557" customWidth="1"/>
    <col min="11771" max="11771" width="4" style="557" customWidth="1"/>
    <col min="11772" max="11772" width="4.5546875" style="557" customWidth="1"/>
    <col min="11773" max="11773" width="4.44140625" style="557" customWidth="1"/>
    <col min="11774" max="11775" width="4.33203125" style="557" customWidth="1"/>
    <col min="11776" max="11777" width="4.88671875" style="557" customWidth="1"/>
    <col min="11778" max="11778" width="4" style="557" customWidth="1"/>
    <col min="11779" max="11779" width="4.6640625" style="557" customWidth="1"/>
    <col min="11780" max="11780" width="6" style="557" customWidth="1"/>
    <col min="11781" max="11781" width="8.88671875" style="557" customWidth="1"/>
    <col min="11782" max="12001" width="11.44140625" style="557"/>
    <col min="12002" max="12002" width="6.44140625" style="557" customWidth="1"/>
    <col min="12003" max="12003" width="47.88671875" style="557" customWidth="1"/>
    <col min="12004" max="12005" width="5" style="557" customWidth="1"/>
    <col min="12006" max="12006" width="5.33203125" style="557" customWidth="1"/>
    <col min="12007" max="12007" width="4.88671875" style="557" customWidth="1"/>
    <col min="12008" max="12009" width="4.109375" style="557" customWidth="1"/>
    <col min="12010" max="12010" width="3.5546875" style="557" customWidth="1"/>
    <col min="12011" max="12011" width="5" style="557" customWidth="1"/>
    <col min="12012" max="12012" width="4" style="557" customWidth="1"/>
    <col min="12013" max="12014" width="4.5546875" style="557" customWidth="1"/>
    <col min="12015" max="12015" width="4.109375" style="557" customWidth="1"/>
    <col min="12016" max="12016" width="4" style="557" customWidth="1"/>
    <col min="12017" max="12017" width="3.88671875" style="557" customWidth="1"/>
    <col min="12018" max="12019" width="4.6640625" style="557" customWidth="1"/>
    <col min="12020" max="12020" width="4" style="557" customWidth="1"/>
    <col min="12021" max="12021" width="4.33203125" style="557" customWidth="1"/>
    <col min="12022" max="12022" width="4.109375" style="557" customWidth="1"/>
    <col min="12023" max="12023" width="3.88671875" style="557" customWidth="1"/>
    <col min="12024" max="12024" width="4.109375" style="557" customWidth="1"/>
    <col min="12025" max="12025" width="5.5546875" style="557" customWidth="1"/>
    <col min="12026" max="12026" width="3.5546875" style="557" customWidth="1"/>
    <col min="12027" max="12027" width="4" style="557" customWidth="1"/>
    <col min="12028" max="12028" width="4.5546875" style="557" customWidth="1"/>
    <col min="12029" max="12029" width="4.44140625" style="557" customWidth="1"/>
    <col min="12030" max="12031" width="4.33203125" style="557" customWidth="1"/>
    <col min="12032" max="12033" width="4.88671875" style="557" customWidth="1"/>
    <col min="12034" max="12034" width="4" style="557" customWidth="1"/>
    <col min="12035" max="12035" width="4.6640625" style="557" customWidth="1"/>
    <col min="12036" max="12036" width="6" style="557" customWidth="1"/>
    <col min="12037" max="12037" width="8.88671875" style="557" customWidth="1"/>
    <col min="12038" max="12257" width="11.44140625" style="557"/>
    <col min="12258" max="12258" width="6.44140625" style="557" customWidth="1"/>
    <col min="12259" max="12259" width="47.88671875" style="557" customWidth="1"/>
    <col min="12260" max="12261" width="5" style="557" customWidth="1"/>
    <col min="12262" max="12262" width="5.33203125" style="557" customWidth="1"/>
    <col min="12263" max="12263" width="4.88671875" style="557" customWidth="1"/>
    <col min="12264" max="12265" width="4.109375" style="557" customWidth="1"/>
    <col min="12266" max="12266" width="3.5546875" style="557" customWidth="1"/>
    <col min="12267" max="12267" width="5" style="557" customWidth="1"/>
    <col min="12268" max="12268" width="4" style="557" customWidth="1"/>
    <col min="12269" max="12270" width="4.5546875" style="557" customWidth="1"/>
    <col min="12271" max="12271" width="4.109375" style="557" customWidth="1"/>
    <col min="12272" max="12272" width="4" style="557" customWidth="1"/>
    <col min="12273" max="12273" width="3.88671875" style="557" customWidth="1"/>
    <col min="12274" max="12275" width="4.6640625" style="557" customWidth="1"/>
    <col min="12276" max="12276" width="4" style="557" customWidth="1"/>
    <col min="12277" max="12277" width="4.33203125" style="557" customWidth="1"/>
    <col min="12278" max="12278" width="4.109375" style="557" customWidth="1"/>
    <col min="12279" max="12279" width="3.88671875" style="557" customWidth="1"/>
    <col min="12280" max="12280" width="4.109375" style="557" customWidth="1"/>
    <col min="12281" max="12281" width="5.5546875" style="557" customWidth="1"/>
    <col min="12282" max="12282" width="3.5546875" style="557" customWidth="1"/>
    <col min="12283" max="12283" width="4" style="557" customWidth="1"/>
    <col min="12284" max="12284" width="4.5546875" style="557" customWidth="1"/>
    <col min="12285" max="12285" width="4.44140625" style="557" customWidth="1"/>
    <col min="12286" max="12287" width="4.33203125" style="557" customWidth="1"/>
    <col min="12288" max="12289" width="4.88671875" style="557" customWidth="1"/>
    <col min="12290" max="12290" width="4" style="557" customWidth="1"/>
    <col min="12291" max="12291" width="4.6640625" style="557" customWidth="1"/>
    <col min="12292" max="12292" width="6" style="557" customWidth="1"/>
    <col min="12293" max="12293" width="8.88671875" style="557" customWidth="1"/>
    <col min="12294" max="12513" width="11.44140625" style="557"/>
    <col min="12514" max="12514" width="6.44140625" style="557" customWidth="1"/>
    <col min="12515" max="12515" width="47.88671875" style="557" customWidth="1"/>
    <col min="12516" max="12517" width="5" style="557" customWidth="1"/>
    <col min="12518" max="12518" width="5.33203125" style="557" customWidth="1"/>
    <col min="12519" max="12519" width="4.88671875" style="557" customWidth="1"/>
    <col min="12520" max="12521" width="4.109375" style="557" customWidth="1"/>
    <col min="12522" max="12522" width="3.5546875" style="557" customWidth="1"/>
    <col min="12523" max="12523" width="5" style="557" customWidth="1"/>
    <col min="12524" max="12524" width="4" style="557" customWidth="1"/>
    <col min="12525" max="12526" width="4.5546875" style="557" customWidth="1"/>
    <col min="12527" max="12527" width="4.109375" style="557" customWidth="1"/>
    <col min="12528" max="12528" width="4" style="557" customWidth="1"/>
    <col min="12529" max="12529" width="3.88671875" style="557" customWidth="1"/>
    <col min="12530" max="12531" width="4.6640625" style="557" customWidth="1"/>
    <col min="12532" max="12532" width="4" style="557" customWidth="1"/>
    <col min="12533" max="12533" width="4.33203125" style="557" customWidth="1"/>
    <col min="12534" max="12534" width="4.109375" style="557" customWidth="1"/>
    <col min="12535" max="12535" width="3.88671875" style="557" customWidth="1"/>
    <col min="12536" max="12536" width="4.109375" style="557" customWidth="1"/>
    <col min="12537" max="12537" width="5.5546875" style="557" customWidth="1"/>
    <col min="12538" max="12538" width="3.5546875" style="557" customWidth="1"/>
    <col min="12539" max="12539" width="4" style="557" customWidth="1"/>
    <col min="12540" max="12540" width="4.5546875" style="557" customWidth="1"/>
    <col min="12541" max="12541" width="4.44140625" style="557" customWidth="1"/>
    <col min="12542" max="12543" width="4.33203125" style="557" customWidth="1"/>
    <col min="12544" max="12545" width="4.88671875" style="557" customWidth="1"/>
    <col min="12546" max="12546" width="4" style="557" customWidth="1"/>
    <col min="12547" max="12547" width="4.6640625" style="557" customWidth="1"/>
    <col min="12548" max="12548" width="6" style="557" customWidth="1"/>
    <col min="12549" max="12549" width="8.88671875" style="557" customWidth="1"/>
    <col min="12550" max="12769" width="11.44140625" style="557"/>
    <col min="12770" max="12770" width="6.44140625" style="557" customWidth="1"/>
    <col min="12771" max="12771" width="47.88671875" style="557" customWidth="1"/>
    <col min="12772" max="12773" width="5" style="557" customWidth="1"/>
    <col min="12774" max="12774" width="5.33203125" style="557" customWidth="1"/>
    <col min="12775" max="12775" width="4.88671875" style="557" customWidth="1"/>
    <col min="12776" max="12777" width="4.109375" style="557" customWidth="1"/>
    <col min="12778" max="12778" width="3.5546875" style="557" customWidth="1"/>
    <col min="12779" max="12779" width="5" style="557" customWidth="1"/>
    <col min="12780" max="12780" width="4" style="557" customWidth="1"/>
    <col min="12781" max="12782" width="4.5546875" style="557" customWidth="1"/>
    <col min="12783" max="12783" width="4.109375" style="557" customWidth="1"/>
    <col min="12784" max="12784" width="4" style="557" customWidth="1"/>
    <col min="12785" max="12785" width="3.88671875" style="557" customWidth="1"/>
    <col min="12786" max="12787" width="4.6640625" style="557" customWidth="1"/>
    <col min="12788" max="12788" width="4" style="557" customWidth="1"/>
    <col min="12789" max="12789" width="4.33203125" style="557" customWidth="1"/>
    <col min="12790" max="12790" width="4.109375" style="557" customWidth="1"/>
    <col min="12791" max="12791" width="3.88671875" style="557" customWidth="1"/>
    <col min="12792" max="12792" width="4.109375" style="557" customWidth="1"/>
    <col min="12793" max="12793" width="5.5546875" style="557" customWidth="1"/>
    <col min="12794" max="12794" width="3.5546875" style="557" customWidth="1"/>
    <col min="12795" max="12795" width="4" style="557" customWidth="1"/>
    <col min="12796" max="12796" width="4.5546875" style="557" customWidth="1"/>
    <col min="12797" max="12797" width="4.44140625" style="557" customWidth="1"/>
    <col min="12798" max="12799" width="4.33203125" style="557" customWidth="1"/>
    <col min="12800" max="12801" width="4.88671875" style="557" customWidth="1"/>
    <col min="12802" max="12802" width="4" style="557" customWidth="1"/>
    <col min="12803" max="12803" width="4.6640625" style="557" customWidth="1"/>
    <col min="12804" max="12804" width="6" style="557" customWidth="1"/>
    <col min="12805" max="12805" width="8.88671875" style="557" customWidth="1"/>
    <col min="12806" max="13025" width="11.44140625" style="557"/>
    <col min="13026" max="13026" width="6.44140625" style="557" customWidth="1"/>
    <col min="13027" max="13027" width="47.88671875" style="557" customWidth="1"/>
    <col min="13028" max="13029" width="5" style="557" customWidth="1"/>
    <col min="13030" max="13030" width="5.33203125" style="557" customWidth="1"/>
    <col min="13031" max="13031" width="4.88671875" style="557" customWidth="1"/>
    <col min="13032" max="13033" width="4.109375" style="557" customWidth="1"/>
    <col min="13034" max="13034" width="3.5546875" style="557" customWidth="1"/>
    <col min="13035" max="13035" width="5" style="557" customWidth="1"/>
    <col min="13036" max="13036" width="4" style="557" customWidth="1"/>
    <col min="13037" max="13038" width="4.5546875" style="557" customWidth="1"/>
    <col min="13039" max="13039" width="4.109375" style="557" customWidth="1"/>
    <col min="13040" max="13040" width="4" style="557" customWidth="1"/>
    <col min="13041" max="13041" width="3.88671875" style="557" customWidth="1"/>
    <col min="13042" max="13043" width="4.6640625" style="557" customWidth="1"/>
    <col min="13044" max="13044" width="4" style="557" customWidth="1"/>
    <col min="13045" max="13045" width="4.33203125" style="557" customWidth="1"/>
    <col min="13046" max="13046" width="4.109375" style="557" customWidth="1"/>
    <col min="13047" max="13047" width="3.88671875" style="557" customWidth="1"/>
    <col min="13048" max="13048" width="4.109375" style="557" customWidth="1"/>
    <col min="13049" max="13049" width="5.5546875" style="557" customWidth="1"/>
    <col min="13050" max="13050" width="3.5546875" style="557" customWidth="1"/>
    <col min="13051" max="13051" width="4" style="557" customWidth="1"/>
    <col min="13052" max="13052" width="4.5546875" style="557" customWidth="1"/>
    <col min="13053" max="13053" width="4.44140625" style="557" customWidth="1"/>
    <col min="13054" max="13055" width="4.33203125" style="557" customWidth="1"/>
    <col min="13056" max="13057" width="4.88671875" style="557" customWidth="1"/>
    <col min="13058" max="13058" width="4" style="557" customWidth="1"/>
    <col min="13059" max="13059" width="4.6640625" style="557" customWidth="1"/>
    <col min="13060" max="13060" width="6" style="557" customWidth="1"/>
    <col min="13061" max="13061" width="8.88671875" style="557" customWidth="1"/>
    <col min="13062" max="13281" width="11.44140625" style="557"/>
    <col min="13282" max="13282" width="6.44140625" style="557" customWidth="1"/>
    <col min="13283" max="13283" width="47.88671875" style="557" customWidth="1"/>
    <col min="13284" max="13285" width="5" style="557" customWidth="1"/>
    <col min="13286" max="13286" width="5.33203125" style="557" customWidth="1"/>
    <col min="13287" max="13287" width="4.88671875" style="557" customWidth="1"/>
    <col min="13288" max="13289" width="4.109375" style="557" customWidth="1"/>
    <col min="13290" max="13290" width="3.5546875" style="557" customWidth="1"/>
    <col min="13291" max="13291" width="5" style="557" customWidth="1"/>
    <col min="13292" max="13292" width="4" style="557" customWidth="1"/>
    <col min="13293" max="13294" width="4.5546875" style="557" customWidth="1"/>
    <col min="13295" max="13295" width="4.109375" style="557" customWidth="1"/>
    <col min="13296" max="13296" width="4" style="557" customWidth="1"/>
    <col min="13297" max="13297" width="3.88671875" style="557" customWidth="1"/>
    <col min="13298" max="13299" width="4.6640625" style="557" customWidth="1"/>
    <col min="13300" max="13300" width="4" style="557" customWidth="1"/>
    <col min="13301" max="13301" width="4.33203125" style="557" customWidth="1"/>
    <col min="13302" max="13302" width="4.109375" style="557" customWidth="1"/>
    <col min="13303" max="13303" width="3.88671875" style="557" customWidth="1"/>
    <col min="13304" max="13304" width="4.109375" style="557" customWidth="1"/>
    <col min="13305" max="13305" width="5.5546875" style="557" customWidth="1"/>
    <col min="13306" max="13306" width="3.5546875" style="557" customWidth="1"/>
    <col min="13307" max="13307" width="4" style="557" customWidth="1"/>
    <col min="13308" max="13308" width="4.5546875" style="557" customWidth="1"/>
    <col min="13309" max="13309" width="4.44140625" style="557" customWidth="1"/>
    <col min="13310" max="13311" width="4.33203125" style="557" customWidth="1"/>
    <col min="13312" max="13313" width="4.88671875" style="557" customWidth="1"/>
    <col min="13314" max="13314" width="4" style="557" customWidth="1"/>
    <col min="13315" max="13315" width="4.6640625" style="557" customWidth="1"/>
    <col min="13316" max="13316" width="6" style="557" customWidth="1"/>
    <col min="13317" max="13317" width="8.88671875" style="557" customWidth="1"/>
    <col min="13318" max="13537" width="11.44140625" style="557"/>
    <col min="13538" max="13538" width="6.44140625" style="557" customWidth="1"/>
    <col min="13539" max="13539" width="47.88671875" style="557" customWidth="1"/>
    <col min="13540" max="13541" width="5" style="557" customWidth="1"/>
    <col min="13542" max="13542" width="5.33203125" style="557" customWidth="1"/>
    <col min="13543" max="13543" width="4.88671875" style="557" customWidth="1"/>
    <col min="13544" max="13545" width="4.109375" style="557" customWidth="1"/>
    <col min="13546" max="13546" width="3.5546875" style="557" customWidth="1"/>
    <col min="13547" max="13547" width="5" style="557" customWidth="1"/>
    <col min="13548" max="13548" width="4" style="557" customWidth="1"/>
    <col min="13549" max="13550" width="4.5546875" style="557" customWidth="1"/>
    <col min="13551" max="13551" width="4.109375" style="557" customWidth="1"/>
    <col min="13552" max="13552" width="4" style="557" customWidth="1"/>
    <col min="13553" max="13553" width="3.88671875" style="557" customWidth="1"/>
    <col min="13554" max="13555" width="4.6640625" style="557" customWidth="1"/>
    <col min="13556" max="13556" width="4" style="557" customWidth="1"/>
    <col min="13557" max="13557" width="4.33203125" style="557" customWidth="1"/>
    <col min="13558" max="13558" width="4.109375" style="557" customWidth="1"/>
    <col min="13559" max="13559" width="3.88671875" style="557" customWidth="1"/>
    <col min="13560" max="13560" width="4.109375" style="557" customWidth="1"/>
    <col min="13561" max="13561" width="5.5546875" style="557" customWidth="1"/>
    <col min="13562" max="13562" width="3.5546875" style="557" customWidth="1"/>
    <col min="13563" max="13563" width="4" style="557" customWidth="1"/>
    <col min="13564" max="13564" width="4.5546875" style="557" customWidth="1"/>
    <col min="13565" max="13565" width="4.44140625" style="557" customWidth="1"/>
    <col min="13566" max="13567" width="4.33203125" style="557" customWidth="1"/>
    <col min="13568" max="13569" width="4.88671875" style="557" customWidth="1"/>
    <col min="13570" max="13570" width="4" style="557" customWidth="1"/>
    <col min="13571" max="13571" width="4.6640625" style="557" customWidth="1"/>
    <col min="13572" max="13572" width="6" style="557" customWidth="1"/>
    <col min="13573" max="13573" width="8.88671875" style="557" customWidth="1"/>
    <col min="13574" max="13793" width="11.44140625" style="557"/>
    <col min="13794" max="13794" width="6.44140625" style="557" customWidth="1"/>
    <col min="13795" max="13795" width="47.88671875" style="557" customWidth="1"/>
    <col min="13796" max="13797" width="5" style="557" customWidth="1"/>
    <col min="13798" max="13798" width="5.33203125" style="557" customWidth="1"/>
    <col min="13799" max="13799" width="4.88671875" style="557" customWidth="1"/>
    <col min="13800" max="13801" width="4.109375" style="557" customWidth="1"/>
    <col min="13802" max="13802" width="3.5546875" style="557" customWidth="1"/>
    <col min="13803" max="13803" width="5" style="557" customWidth="1"/>
    <col min="13804" max="13804" width="4" style="557" customWidth="1"/>
    <col min="13805" max="13806" width="4.5546875" style="557" customWidth="1"/>
    <col min="13807" max="13807" width="4.109375" style="557" customWidth="1"/>
    <col min="13808" max="13808" width="4" style="557" customWidth="1"/>
    <col min="13809" max="13809" width="3.88671875" style="557" customWidth="1"/>
    <col min="13810" max="13811" width="4.6640625" style="557" customWidth="1"/>
    <col min="13812" max="13812" width="4" style="557" customWidth="1"/>
    <col min="13813" max="13813" width="4.33203125" style="557" customWidth="1"/>
    <col min="13814" max="13814" width="4.109375" style="557" customWidth="1"/>
    <col min="13815" max="13815" width="3.88671875" style="557" customWidth="1"/>
    <col min="13816" max="13816" width="4.109375" style="557" customWidth="1"/>
    <col min="13817" max="13817" width="5.5546875" style="557" customWidth="1"/>
    <col min="13818" max="13818" width="3.5546875" style="557" customWidth="1"/>
    <col min="13819" max="13819" width="4" style="557" customWidth="1"/>
    <col min="13820" max="13820" width="4.5546875" style="557" customWidth="1"/>
    <col min="13821" max="13821" width="4.44140625" style="557" customWidth="1"/>
    <col min="13822" max="13823" width="4.33203125" style="557" customWidth="1"/>
    <col min="13824" max="13825" width="4.88671875" style="557" customWidth="1"/>
    <col min="13826" max="13826" width="4" style="557" customWidth="1"/>
    <col min="13827" max="13827" width="4.6640625" style="557" customWidth="1"/>
    <col min="13828" max="13828" width="6" style="557" customWidth="1"/>
    <col min="13829" max="13829" width="8.88671875" style="557" customWidth="1"/>
    <col min="13830" max="14049" width="11.44140625" style="557"/>
    <col min="14050" max="14050" width="6.44140625" style="557" customWidth="1"/>
    <col min="14051" max="14051" width="47.88671875" style="557" customWidth="1"/>
    <col min="14052" max="14053" width="5" style="557" customWidth="1"/>
    <col min="14054" max="14054" width="5.33203125" style="557" customWidth="1"/>
    <col min="14055" max="14055" width="4.88671875" style="557" customWidth="1"/>
    <col min="14056" max="14057" width="4.109375" style="557" customWidth="1"/>
    <col min="14058" max="14058" width="3.5546875" style="557" customWidth="1"/>
    <col min="14059" max="14059" width="5" style="557" customWidth="1"/>
    <col min="14060" max="14060" width="4" style="557" customWidth="1"/>
    <col min="14061" max="14062" width="4.5546875" style="557" customWidth="1"/>
    <col min="14063" max="14063" width="4.109375" style="557" customWidth="1"/>
    <col min="14064" max="14064" width="4" style="557" customWidth="1"/>
    <col min="14065" max="14065" width="3.88671875" style="557" customWidth="1"/>
    <col min="14066" max="14067" width="4.6640625" style="557" customWidth="1"/>
    <col min="14068" max="14068" width="4" style="557" customWidth="1"/>
    <col min="14069" max="14069" width="4.33203125" style="557" customWidth="1"/>
    <col min="14070" max="14070" width="4.109375" style="557" customWidth="1"/>
    <col min="14071" max="14071" width="3.88671875" style="557" customWidth="1"/>
    <col min="14072" max="14072" width="4.109375" style="557" customWidth="1"/>
    <col min="14073" max="14073" width="5.5546875" style="557" customWidth="1"/>
    <col min="14074" max="14074" width="3.5546875" style="557" customWidth="1"/>
    <col min="14075" max="14075" width="4" style="557" customWidth="1"/>
    <col min="14076" max="14076" width="4.5546875" style="557" customWidth="1"/>
    <col min="14077" max="14077" width="4.44140625" style="557" customWidth="1"/>
    <col min="14078" max="14079" width="4.33203125" style="557" customWidth="1"/>
    <col min="14080" max="14081" width="4.88671875" style="557" customWidth="1"/>
    <col min="14082" max="14082" width="4" style="557" customWidth="1"/>
    <col min="14083" max="14083" width="4.6640625" style="557" customWidth="1"/>
    <col min="14084" max="14084" width="6" style="557" customWidth="1"/>
    <col min="14085" max="14085" width="8.88671875" style="557" customWidth="1"/>
    <col min="14086" max="14305" width="11.44140625" style="557"/>
    <col min="14306" max="14306" width="6.44140625" style="557" customWidth="1"/>
    <col min="14307" max="14307" width="47.88671875" style="557" customWidth="1"/>
    <col min="14308" max="14309" width="5" style="557" customWidth="1"/>
    <col min="14310" max="14310" width="5.33203125" style="557" customWidth="1"/>
    <col min="14311" max="14311" width="4.88671875" style="557" customWidth="1"/>
    <col min="14312" max="14313" width="4.109375" style="557" customWidth="1"/>
    <col min="14314" max="14314" width="3.5546875" style="557" customWidth="1"/>
    <col min="14315" max="14315" width="5" style="557" customWidth="1"/>
    <col min="14316" max="14316" width="4" style="557" customWidth="1"/>
    <col min="14317" max="14318" width="4.5546875" style="557" customWidth="1"/>
    <col min="14319" max="14319" width="4.109375" style="557" customWidth="1"/>
    <col min="14320" max="14320" width="4" style="557" customWidth="1"/>
    <col min="14321" max="14321" width="3.88671875" style="557" customWidth="1"/>
    <col min="14322" max="14323" width="4.6640625" style="557" customWidth="1"/>
    <col min="14324" max="14324" width="4" style="557" customWidth="1"/>
    <col min="14325" max="14325" width="4.33203125" style="557" customWidth="1"/>
    <col min="14326" max="14326" width="4.109375" style="557" customWidth="1"/>
    <col min="14327" max="14327" width="3.88671875" style="557" customWidth="1"/>
    <col min="14328" max="14328" width="4.109375" style="557" customWidth="1"/>
    <col min="14329" max="14329" width="5.5546875" style="557" customWidth="1"/>
    <col min="14330" max="14330" width="3.5546875" style="557" customWidth="1"/>
    <col min="14331" max="14331" width="4" style="557" customWidth="1"/>
    <col min="14332" max="14332" width="4.5546875" style="557" customWidth="1"/>
    <col min="14333" max="14333" width="4.44140625" style="557" customWidth="1"/>
    <col min="14334" max="14335" width="4.33203125" style="557" customWidth="1"/>
    <col min="14336" max="14337" width="4.88671875" style="557" customWidth="1"/>
    <col min="14338" max="14338" width="4" style="557" customWidth="1"/>
    <col min="14339" max="14339" width="4.6640625" style="557" customWidth="1"/>
    <col min="14340" max="14340" width="6" style="557" customWidth="1"/>
    <col min="14341" max="14341" width="8.88671875" style="557" customWidth="1"/>
    <col min="14342" max="14561" width="11.44140625" style="557"/>
    <col min="14562" max="14562" width="6.44140625" style="557" customWidth="1"/>
    <col min="14563" max="14563" width="47.88671875" style="557" customWidth="1"/>
    <col min="14564" max="14565" width="5" style="557" customWidth="1"/>
    <col min="14566" max="14566" width="5.33203125" style="557" customWidth="1"/>
    <col min="14567" max="14567" width="4.88671875" style="557" customWidth="1"/>
    <col min="14568" max="14569" width="4.109375" style="557" customWidth="1"/>
    <col min="14570" max="14570" width="3.5546875" style="557" customWidth="1"/>
    <col min="14571" max="14571" width="5" style="557" customWidth="1"/>
    <col min="14572" max="14572" width="4" style="557" customWidth="1"/>
    <col min="14573" max="14574" width="4.5546875" style="557" customWidth="1"/>
    <col min="14575" max="14575" width="4.109375" style="557" customWidth="1"/>
    <col min="14576" max="14576" width="4" style="557" customWidth="1"/>
    <col min="14577" max="14577" width="3.88671875" style="557" customWidth="1"/>
    <col min="14578" max="14579" width="4.6640625" style="557" customWidth="1"/>
    <col min="14580" max="14580" width="4" style="557" customWidth="1"/>
    <col min="14581" max="14581" width="4.33203125" style="557" customWidth="1"/>
    <col min="14582" max="14582" width="4.109375" style="557" customWidth="1"/>
    <col min="14583" max="14583" width="3.88671875" style="557" customWidth="1"/>
    <col min="14584" max="14584" width="4.109375" style="557" customWidth="1"/>
    <col min="14585" max="14585" width="5.5546875" style="557" customWidth="1"/>
    <col min="14586" max="14586" width="3.5546875" style="557" customWidth="1"/>
    <col min="14587" max="14587" width="4" style="557" customWidth="1"/>
    <col min="14588" max="14588" width="4.5546875" style="557" customWidth="1"/>
    <col min="14589" max="14589" width="4.44140625" style="557" customWidth="1"/>
    <col min="14590" max="14591" width="4.33203125" style="557" customWidth="1"/>
    <col min="14592" max="14593" width="4.88671875" style="557" customWidth="1"/>
    <col min="14594" max="14594" width="4" style="557" customWidth="1"/>
    <col min="14595" max="14595" width="4.6640625" style="557" customWidth="1"/>
    <col min="14596" max="14596" width="6" style="557" customWidth="1"/>
    <col min="14597" max="14597" width="8.88671875" style="557" customWidth="1"/>
    <col min="14598" max="14817" width="11.44140625" style="557"/>
    <col min="14818" max="14818" width="6.44140625" style="557" customWidth="1"/>
    <col min="14819" max="14819" width="47.88671875" style="557" customWidth="1"/>
    <col min="14820" max="14821" width="5" style="557" customWidth="1"/>
    <col min="14822" max="14822" width="5.33203125" style="557" customWidth="1"/>
    <col min="14823" max="14823" width="4.88671875" style="557" customWidth="1"/>
    <col min="14824" max="14825" width="4.109375" style="557" customWidth="1"/>
    <col min="14826" max="14826" width="3.5546875" style="557" customWidth="1"/>
    <col min="14827" max="14827" width="5" style="557" customWidth="1"/>
    <col min="14828" max="14828" width="4" style="557" customWidth="1"/>
    <col min="14829" max="14830" width="4.5546875" style="557" customWidth="1"/>
    <col min="14831" max="14831" width="4.109375" style="557" customWidth="1"/>
    <col min="14832" max="14832" width="4" style="557" customWidth="1"/>
    <col min="14833" max="14833" width="3.88671875" style="557" customWidth="1"/>
    <col min="14834" max="14835" width="4.6640625" style="557" customWidth="1"/>
    <col min="14836" max="14836" width="4" style="557" customWidth="1"/>
    <col min="14837" max="14837" width="4.33203125" style="557" customWidth="1"/>
    <col min="14838" max="14838" width="4.109375" style="557" customWidth="1"/>
    <col min="14839" max="14839" width="3.88671875" style="557" customWidth="1"/>
    <col min="14840" max="14840" width="4.109375" style="557" customWidth="1"/>
    <col min="14841" max="14841" width="5.5546875" style="557" customWidth="1"/>
    <col min="14842" max="14842" width="3.5546875" style="557" customWidth="1"/>
    <col min="14843" max="14843" width="4" style="557" customWidth="1"/>
    <col min="14844" max="14844" width="4.5546875" style="557" customWidth="1"/>
    <col min="14845" max="14845" width="4.44140625" style="557" customWidth="1"/>
    <col min="14846" max="14847" width="4.33203125" style="557" customWidth="1"/>
    <col min="14848" max="14849" width="4.88671875" style="557" customWidth="1"/>
    <col min="14850" max="14850" width="4" style="557" customWidth="1"/>
    <col min="14851" max="14851" width="4.6640625" style="557" customWidth="1"/>
    <col min="14852" max="14852" width="6" style="557" customWidth="1"/>
    <col min="14853" max="14853" width="8.88671875" style="557" customWidth="1"/>
    <col min="14854" max="15073" width="11.44140625" style="557"/>
    <col min="15074" max="15074" width="6.44140625" style="557" customWidth="1"/>
    <col min="15075" max="15075" width="47.88671875" style="557" customWidth="1"/>
    <col min="15076" max="15077" width="5" style="557" customWidth="1"/>
    <col min="15078" max="15078" width="5.33203125" style="557" customWidth="1"/>
    <col min="15079" max="15079" width="4.88671875" style="557" customWidth="1"/>
    <col min="15080" max="15081" width="4.109375" style="557" customWidth="1"/>
    <col min="15082" max="15082" width="3.5546875" style="557" customWidth="1"/>
    <col min="15083" max="15083" width="5" style="557" customWidth="1"/>
    <col min="15084" max="15084" width="4" style="557" customWidth="1"/>
    <col min="15085" max="15086" width="4.5546875" style="557" customWidth="1"/>
    <col min="15087" max="15087" width="4.109375" style="557" customWidth="1"/>
    <col min="15088" max="15088" width="4" style="557" customWidth="1"/>
    <col min="15089" max="15089" width="3.88671875" style="557" customWidth="1"/>
    <col min="15090" max="15091" width="4.6640625" style="557" customWidth="1"/>
    <col min="15092" max="15092" width="4" style="557" customWidth="1"/>
    <col min="15093" max="15093" width="4.33203125" style="557" customWidth="1"/>
    <col min="15094" max="15094" width="4.109375" style="557" customWidth="1"/>
    <col min="15095" max="15095" width="3.88671875" style="557" customWidth="1"/>
    <col min="15096" max="15096" width="4.109375" style="557" customWidth="1"/>
    <col min="15097" max="15097" width="5.5546875" style="557" customWidth="1"/>
    <col min="15098" max="15098" width="3.5546875" style="557" customWidth="1"/>
    <col min="15099" max="15099" width="4" style="557" customWidth="1"/>
    <col min="15100" max="15100" width="4.5546875" style="557" customWidth="1"/>
    <col min="15101" max="15101" width="4.44140625" style="557" customWidth="1"/>
    <col min="15102" max="15103" width="4.33203125" style="557" customWidth="1"/>
    <col min="15104" max="15105" width="4.88671875" style="557" customWidth="1"/>
    <col min="15106" max="15106" width="4" style="557" customWidth="1"/>
    <col min="15107" max="15107" width="4.6640625" style="557" customWidth="1"/>
    <col min="15108" max="15108" width="6" style="557" customWidth="1"/>
    <col min="15109" max="15109" width="8.88671875" style="557" customWidth="1"/>
    <col min="15110" max="15329" width="11.44140625" style="557"/>
    <col min="15330" max="15330" width="6.44140625" style="557" customWidth="1"/>
    <col min="15331" max="15331" width="47.88671875" style="557" customWidth="1"/>
    <col min="15332" max="15333" width="5" style="557" customWidth="1"/>
    <col min="15334" max="15334" width="5.33203125" style="557" customWidth="1"/>
    <col min="15335" max="15335" width="4.88671875" style="557" customWidth="1"/>
    <col min="15336" max="15337" width="4.109375" style="557" customWidth="1"/>
    <col min="15338" max="15338" width="3.5546875" style="557" customWidth="1"/>
    <col min="15339" max="15339" width="5" style="557" customWidth="1"/>
    <col min="15340" max="15340" width="4" style="557" customWidth="1"/>
    <col min="15341" max="15342" width="4.5546875" style="557" customWidth="1"/>
    <col min="15343" max="15343" width="4.109375" style="557" customWidth="1"/>
    <col min="15344" max="15344" width="4" style="557" customWidth="1"/>
    <col min="15345" max="15345" width="3.88671875" style="557" customWidth="1"/>
    <col min="15346" max="15347" width="4.6640625" style="557" customWidth="1"/>
    <col min="15348" max="15348" width="4" style="557" customWidth="1"/>
    <col min="15349" max="15349" width="4.33203125" style="557" customWidth="1"/>
    <col min="15350" max="15350" width="4.109375" style="557" customWidth="1"/>
    <col min="15351" max="15351" width="3.88671875" style="557" customWidth="1"/>
    <col min="15352" max="15352" width="4.109375" style="557" customWidth="1"/>
    <col min="15353" max="15353" width="5.5546875" style="557" customWidth="1"/>
    <col min="15354" max="15354" width="3.5546875" style="557" customWidth="1"/>
    <col min="15355" max="15355" width="4" style="557" customWidth="1"/>
    <col min="15356" max="15356" width="4.5546875" style="557" customWidth="1"/>
    <col min="15357" max="15357" width="4.44140625" style="557" customWidth="1"/>
    <col min="15358" max="15359" width="4.33203125" style="557" customWidth="1"/>
    <col min="15360" max="15361" width="4.88671875" style="557" customWidth="1"/>
    <col min="15362" max="15362" width="4" style="557" customWidth="1"/>
    <col min="15363" max="15363" width="4.6640625" style="557" customWidth="1"/>
    <col min="15364" max="15364" width="6" style="557" customWidth="1"/>
    <col min="15365" max="15365" width="8.88671875" style="557" customWidth="1"/>
    <col min="15366" max="15585" width="11.44140625" style="557"/>
    <col min="15586" max="15586" width="6.44140625" style="557" customWidth="1"/>
    <col min="15587" max="15587" width="47.88671875" style="557" customWidth="1"/>
    <col min="15588" max="15589" width="5" style="557" customWidth="1"/>
    <col min="15590" max="15590" width="5.33203125" style="557" customWidth="1"/>
    <col min="15591" max="15591" width="4.88671875" style="557" customWidth="1"/>
    <col min="15592" max="15593" width="4.109375" style="557" customWidth="1"/>
    <col min="15594" max="15594" width="3.5546875" style="557" customWidth="1"/>
    <col min="15595" max="15595" width="5" style="557" customWidth="1"/>
    <col min="15596" max="15596" width="4" style="557" customWidth="1"/>
    <col min="15597" max="15598" width="4.5546875" style="557" customWidth="1"/>
    <col min="15599" max="15599" width="4.109375" style="557" customWidth="1"/>
    <col min="15600" max="15600" width="4" style="557" customWidth="1"/>
    <col min="15601" max="15601" width="3.88671875" style="557" customWidth="1"/>
    <col min="15602" max="15603" width="4.6640625" style="557" customWidth="1"/>
    <col min="15604" max="15604" width="4" style="557" customWidth="1"/>
    <col min="15605" max="15605" width="4.33203125" style="557" customWidth="1"/>
    <col min="15606" max="15606" width="4.109375" style="557" customWidth="1"/>
    <col min="15607" max="15607" width="3.88671875" style="557" customWidth="1"/>
    <col min="15608" max="15608" width="4.109375" style="557" customWidth="1"/>
    <col min="15609" max="15609" width="5.5546875" style="557" customWidth="1"/>
    <col min="15610" max="15610" width="3.5546875" style="557" customWidth="1"/>
    <col min="15611" max="15611" width="4" style="557" customWidth="1"/>
    <col min="15612" max="15612" width="4.5546875" style="557" customWidth="1"/>
    <col min="15613" max="15613" width="4.44140625" style="557" customWidth="1"/>
    <col min="15614" max="15615" width="4.33203125" style="557" customWidth="1"/>
    <col min="15616" max="15617" width="4.88671875" style="557" customWidth="1"/>
    <col min="15618" max="15618" width="4" style="557" customWidth="1"/>
    <col min="15619" max="15619" width="4.6640625" style="557" customWidth="1"/>
    <col min="15620" max="15620" width="6" style="557" customWidth="1"/>
    <col min="15621" max="15621" width="8.88671875" style="557" customWidth="1"/>
    <col min="15622" max="15841" width="11.44140625" style="557"/>
    <col min="15842" max="15842" width="6.44140625" style="557" customWidth="1"/>
    <col min="15843" max="15843" width="47.88671875" style="557" customWidth="1"/>
    <col min="15844" max="15845" width="5" style="557" customWidth="1"/>
    <col min="15846" max="15846" width="5.33203125" style="557" customWidth="1"/>
    <col min="15847" max="15847" width="4.88671875" style="557" customWidth="1"/>
    <col min="15848" max="15849" width="4.109375" style="557" customWidth="1"/>
    <col min="15850" max="15850" width="3.5546875" style="557" customWidth="1"/>
    <col min="15851" max="15851" width="5" style="557" customWidth="1"/>
    <col min="15852" max="15852" width="4" style="557" customWidth="1"/>
    <col min="15853" max="15854" width="4.5546875" style="557" customWidth="1"/>
    <col min="15855" max="15855" width="4.109375" style="557" customWidth="1"/>
    <col min="15856" max="15856" width="4" style="557" customWidth="1"/>
    <col min="15857" max="15857" width="3.88671875" style="557" customWidth="1"/>
    <col min="15858" max="15859" width="4.6640625" style="557" customWidth="1"/>
    <col min="15860" max="15860" width="4" style="557" customWidth="1"/>
    <col min="15861" max="15861" width="4.33203125" style="557" customWidth="1"/>
    <col min="15862" max="15862" width="4.109375" style="557" customWidth="1"/>
    <col min="15863" max="15863" width="3.88671875" style="557" customWidth="1"/>
    <col min="15864" max="15864" width="4.109375" style="557" customWidth="1"/>
    <col min="15865" max="15865" width="5.5546875" style="557" customWidth="1"/>
    <col min="15866" max="15866" width="3.5546875" style="557" customWidth="1"/>
    <col min="15867" max="15867" width="4" style="557" customWidth="1"/>
    <col min="15868" max="15868" width="4.5546875" style="557" customWidth="1"/>
    <col min="15869" max="15869" width="4.44140625" style="557" customWidth="1"/>
    <col min="15870" max="15871" width="4.33203125" style="557" customWidth="1"/>
    <col min="15872" max="15873" width="4.88671875" style="557" customWidth="1"/>
    <col min="15874" max="15874" width="4" style="557" customWidth="1"/>
    <col min="15875" max="15875" width="4.6640625" style="557" customWidth="1"/>
    <col min="15876" max="15876" width="6" style="557" customWidth="1"/>
    <col min="15877" max="15877" width="8.88671875" style="557" customWidth="1"/>
    <col min="15878" max="16097" width="11.44140625" style="557"/>
    <col min="16098" max="16098" width="6.44140625" style="557" customWidth="1"/>
    <col min="16099" max="16099" width="47.88671875" style="557" customWidth="1"/>
    <col min="16100" max="16101" width="5" style="557" customWidth="1"/>
    <col min="16102" max="16102" width="5.33203125" style="557" customWidth="1"/>
    <col min="16103" max="16103" width="4.88671875" style="557" customWidth="1"/>
    <col min="16104" max="16105" width="4.109375" style="557" customWidth="1"/>
    <col min="16106" max="16106" width="3.5546875" style="557" customWidth="1"/>
    <col min="16107" max="16107" width="5" style="557" customWidth="1"/>
    <col min="16108" max="16108" width="4" style="557" customWidth="1"/>
    <col min="16109" max="16110" width="4.5546875" style="557" customWidth="1"/>
    <col min="16111" max="16111" width="4.109375" style="557" customWidth="1"/>
    <col min="16112" max="16112" width="4" style="557" customWidth="1"/>
    <col min="16113" max="16113" width="3.88671875" style="557" customWidth="1"/>
    <col min="16114" max="16115" width="4.6640625" style="557" customWidth="1"/>
    <col min="16116" max="16116" width="4" style="557" customWidth="1"/>
    <col min="16117" max="16117" width="4.33203125" style="557" customWidth="1"/>
    <col min="16118" max="16118" width="4.109375" style="557" customWidth="1"/>
    <col min="16119" max="16119" width="3.88671875" style="557" customWidth="1"/>
    <col min="16120" max="16120" width="4.109375" style="557" customWidth="1"/>
    <col min="16121" max="16121" width="5.5546875" style="557" customWidth="1"/>
    <col min="16122" max="16122" width="3.5546875" style="557" customWidth="1"/>
    <col min="16123" max="16123" width="4" style="557" customWidth="1"/>
    <col min="16124" max="16124" width="4.5546875" style="557" customWidth="1"/>
    <col min="16125" max="16125" width="4.44140625" style="557" customWidth="1"/>
    <col min="16126" max="16127" width="4.33203125" style="557" customWidth="1"/>
    <col min="16128" max="16129" width="4.88671875" style="557" customWidth="1"/>
    <col min="16130" max="16130" width="4" style="557" customWidth="1"/>
    <col min="16131" max="16131" width="4.6640625" style="557" customWidth="1"/>
    <col min="16132" max="16132" width="6" style="557" customWidth="1"/>
    <col min="16133" max="16133" width="8.88671875" style="557" customWidth="1"/>
    <col min="16134" max="16384" width="11.44140625" style="557"/>
  </cols>
  <sheetData>
    <row r="1" spans="1:9">
      <c r="A1" s="1538" t="s">
        <v>282</v>
      </c>
      <c r="B1" s="1538"/>
      <c r="C1" s="1538"/>
    </row>
    <row r="2" spans="1:9">
      <c r="A2" s="1539" t="s">
        <v>1788</v>
      </c>
      <c r="B2" s="1539"/>
      <c r="C2" s="1539"/>
    </row>
    <row r="3" spans="1:9">
      <c r="A3" s="615"/>
    </row>
    <row r="4" spans="1:9">
      <c r="A4" s="617"/>
      <c r="B4" s="1540" t="s">
        <v>1786</v>
      </c>
      <c r="C4" s="1540"/>
    </row>
    <row r="5" spans="1:9" ht="12.75" customHeight="1">
      <c r="A5" s="617"/>
      <c r="B5" s="1541" t="e">
        <v>#REF!</v>
      </c>
      <c r="C5" s="1542"/>
    </row>
    <row r="6" spans="1:9" ht="13.5" customHeight="1">
      <c r="B6" s="619"/>
      <c r="C6" s="561"/>
    </row>
    <row r="7" spans="1:9" ht="13.5" customHeight="1">
      <c r="B7" s="619"/>
      <c r="C7" s="561"/>
    </row>
    <row r="8" spans="1:9" ht="13.5" customHeight="1" thickBot="1">
      <c r="B8" s="619"/>
      <c r="C8" s="561"/>
      <c r="D8" s="1019"/>
    </row>
    <row r="9" spans="1:9" ht="13.8" thickBot="1">
      <c r="A9" s="1543" t="s">
        <v>284</v>
      </c>
      <c r="B9" s="1543" t="s">
        <v>19</v>
      </c>
      <c r="C9" s="562"/>
      <c r="D9" s="565" t="s">
        <v>345</v>
      </c>
      <c r="E9" s="746" t="s">
        <v>25</v>
      </c>
      <c r="F9" s="745" t="s">
        <v>1808</v>
      </c>
      <c r="G9" s="745" t="s">
        <v>1807</v>
      </c>
      <c r="H9" s="566" t="s">
        <v>24</v>
      </c>
      <c r="I9" s="557" t="s">
        <v>1</v>
      </c>
    </row>
    <row r="10" spans="1:9" ht="13.8" thickBot="1">
      <c r="A10" s="1544"/>
      <c r="B10" s="1544"/>
      <c r="C10" s="567" t="s">
        <v>285</v>
      </c>
      <c r="D10" s="1020" t="s">
        <v>286</v>
      </c>
      <c r="E10" s="742" t="s">
        <v>286</v>
      </c>
      <c r="F10" s="745"/>
      <c r="G10" s="745"/>
      <c r="H10" s="566"/>
    </row>
    <row r="11" spans="1:9" s="579" customFormat="1" ht="13.8" hidden="1" thickBot="1">
      <c r="A11" s="767" t="s">
        <v>32</v>
      </c>
      <c r="B11" s="768" t="s">
        <v>1118</v>
      </c>
      <c r="C11" s="625"/>
      <c r="D11" s="1013">
        <v>0</v>
      </c>
      <c r="E11" s="949"/>
      <c r="F11" s="581"/>
      <c r="G11" s="747"/>
      <c r="H11" s="744"/>
    </row>
    <row r="12" spans="1:9" s="560" customFormat="1" ht="13.8" hidden="1" thickBot="1">
      <c r="A12" s="604" t="s">
        <v>34</v>
      </c>
      <c r="B12" s="314" t="s">
        <v>1119</v>
      </c>
      <c r="C12" s="590"/>
      <c r="D12" s="1013">
        <v>0</v>
      </c>
      <c r="E12" s="949"/>
      <c r="F12" s="581"/>
      <c r="G12" s="746"/>
      <c r="H12" s="741"/>
    </row>
    <row r="13" spans="1:9" s="560" customFormat="1" ht="14.4" hidden="1" thickBot="1">
      <c r="A13" s="604" t="s">
        <v>523</v>
      </c>
      <c r="B13" s="319" t="s">
        <v>1120</v>
      </c>
      <c r="C13" s="1101" t="s">
        <v>63</v>
      </c>
      <c r="D13" s="1013">
        <v>0</v>
      </c>
      <c r="E13" s="949">
        <v>0</v>
      </c>
      <c r="F13" s="581">
        <v>0</v>
      </c>
      <c r="G13" s="746" t="s">
        <v>1441</v>
      </c>
      <c r="H13" s="743">
        <v>1</v>
      </c>
    </row>
    <row r="14" spans="1:9" s="560" customFormat="1" ht="14.4" hidden="1" thickBot="1">
      <c r="A14" s="604" t="s">
        <v>524</v>
      </c>
      <c r="B14" s="320" t="s">
        <v>1121</v>
      </c>
      <c r="C14" s="1101" t="s">
        <v>63</v>
      </c>
      <c r="D14" s="1013">
        <v>0</v>
      </c>
      <c r="E14" s="949">
        <v>0</v>
      </c>
      <c r="F14" s="581">
        <v>0</v>
      </c>
      <c r="G14" s="746" t="s">
        <v>1441</v>
      </c>
      <c r="H14" s="743">
        <v>1</v>
      </c>
    </row>
    <row r="15" spans="1:9" s="560" customFormat="1" ht="13.8" hidden="1" thickBot="1">
      <c r="A15" s="604" t="s">
        <v>525</v>
      </c>
      <c r="B15" s="319" t="s">
        <v>1122</v>
      </c>
      <c r="C15" s="590" t="s">
        <v>63</v>
      </c>
      <c r="D15" s="1013">
        <v>0</v>
      </c>
      <c r="E15" s="949">
        <v>0</v>
      </c>
      <c r="F15" s="581">
        <v>0</v>
      </c>
      <c r="G15" s="746" t="s">
        <v>1441</v>
      </c>
      <c r="H15" s="743">
        <v>1</v>
      </c>
    </row>
    <row r="16" spans="1:9" s="560" customFormat="1" ht="14.4" hidden="1" thickBot="1">
      <c r="A16" s="604" t="s">
        <v>526</v>
      </c>
      <c r="B16" s="320" t="s">
        <v>1123</v>
      </c>
      <c r="C16" s="1101" t="s">
        <v>63</v>
      </c>
      <c r="D16" s="1013">
        <v>0</v>
      </c>
      <c r="E16" s="949">
        <v>0</v>
      </c>
      <c r="F16" s="581">
        <v>0</v>
      </c>
      <c r="G16" s="746" t="s">
        <v>1441</v>
      </c>
      <c r="H16" s="743">
        <v>1</v>
      </c>
    </row>
    <row r="17" spans="1:14" s="560" customFormat="1" ht="14.4" hidden="1" thickBot="1">
      <c r="A17" s="604" t="s">
        <v>527</v>
      </c>
      <c r="B17" s="320" t="s">
        <v>1124</v>
      </c>
      <c r="C17" s="1101" t="s">
        <v>1436</v>
      </c>
      <c r="D17" s="1013">
        <v>0</v>
      </c>
      <c r="E17" s="949">
        <v>1</v>
      </c>
      <c r="F17" s="581">
        <v>1</v>
      </c>
      <c r="G17" s="737" t="s">
        <v>1441</v>
      </c>
      <c r="H17" s="743">
        <v>0</v>
      </c>
      <c r="I17" s="740"/>
      <c r="J17" s="737"/>
      <c r="K17" s="737"/>
      <c r="L17" s="737"/>
      <c r="M17" s="737"/>
      <c r="N17" s="737"/>
    </row>
    <row r="18" spans="1:14" s="555" customFormat="1" ht="11.25" hidden="1" customHeight="1">
      <c r="A18" s="492" t="s">
        <v>38</v>
      </c>
      <c r="B18" s="608" t="s">
        <v>33</v>
      </c>
      <c r="C18" s="679"/>
      <c r="D18" s="1013">
        <v>0</v>
      </c>
    </row>
    <row r="19" spans="1:14" s="782" customFormat="1" ht="14.4" hidden="1" thickBot="1">
      <c r="A19" s="772" t="s">
        <v>529</v>
      </c>
      <c r="B19" s="733" t="s">
        <v>1126</v>
      </c>
      <c r="C19" s="734" t="s">
        <v>39</v>
      </c>
      <c r="D19" s="1013">
        <v>0</v>
      </c>
      <c r="E19" s="949">
        <v>963.6</v>
      </c>
      <c r="F19" s="581">
        <v>963.6</v>
      </c>
      <c r="G19" s="793" t="s">
        <v>1443</v>
      </c>
      <c r="H19" s="781">
        <v>60.399999999999977</v>
      </c>
      <c r="I19" s="879">
        <v>1024</v>
      </c>
      <c r="J19" s="793">
        <v>-416.4</v>
      </c>
      <c r="K19" s="793"/>
      <c r="L19" s="793"/>
      <c r="M19" s="793"/>
      <c r="N19" s="793"/>
    </row>
    <row r="20" spans="1:14" s="560" customFormat="1" ht="13.8" hidden="1" thickBot="1">
      <c r="A20" s="604" t="s">
        <v>530</v>
      </c>
      <c r="B20" s="610" t="s">
        <v>1127</v>
      </c>
      <c r="C20" s="530" t="s">
        <v>39</v>
      </c>
      <c r="D20" s="1013">
        <v>0</v>
      </c>
      <c r="E20" s="949">
        <v>0</v>
      </c>
      <c r="F20" s="581">
        <v>0</v>
      </c>
      <c r="G20" s="746" t="s">
        <v>1444</v>
      </c>
      <c r="H20" s="743">
        <v>759.49</v>
      </c>
      <c r="J20" s="578">
        <v>60.399999999999977</v>
      </c>
      <c r="K20" s="560">
        <v>-13.879999999999999</v>
      </c>
    </row>
    <row r="21" spans="1:14" s="560" customFormat="1" ht="13.8" hidden="1" thickBot="1">
      <c r="A21" s="492" t="s">
        <v>531</v>
      </c>
      <c r="B21" s="608" t="s">
        <v>1128</v>
      </c>
      <c r="C21" s="679"/>
      <c r="D21" s="1013">
        <v>0</v>
      </c>
      <c r="E21" s="949">
        <v>0</v>
      </c>
      <c r="F21" s="581">
        <v>0</v>
      </c>
      <c r="G21" s="746"/>
      <c r="H21" s="743">
        <v>0</v>
      </c>
    </row>
    <row r="22" spans="1:14" s="560" customFormat="1" ht="13.8" hidden="1" thickBot="1">
      <c r="A22" s="604" t="s">
        <v>532</v>
      </c>
      <c r="B22" s="604" t="s">
        <v>1128</v>
      </c>
      <c r="C22" s="530" t="s">
        <v>63</v>
      </c>
      <c r="D22" s="1013">
        <v>0</v>
      </c>
      <c r="E22" s="949">
        <v>0</v>
      </c>
      <c r="F22" s="581">
        <v>0</v>
      </c>
      <c r="G22" s="747" t="s">
        <v>1441</v>
      </c>
      <c r="H22" s="743">
        <v>1</v>
      </c>
    </row>
    <row r="23" spans="1:14" s="560" customFormat="1" ht="13.8" hidden="1" thickBot="1">
      <c r="A23" s="604" t="s">
        <v>533</v>
      </c>
      <c r="B23" s="610" t="s">
        <v>1130</v>
      </c>
      <c r="C23" s="530" t="s">
        <v>63</v>
      </c>
      <c r="D23" s="1013">
        <v>0</v>
      </c>
      <c r="E23" s="949">
        <v>0</v>
      </c>
      <c r="F23" s="581">
        <v>0</v>
      </c>
      <c r="G23" s="746" t="s">
        <v>1441</v>
      </c>
      <c r="H23" s="743">
        <v>1</v>
      </c>
    </row>
    <row r="24" spans="1:14" s="560" customFormat="1" ht="13.8" hidden="1" thickBot="1">
      <c r="A24" s="492" t="s">
        <v>534</v>
      </c>
      <c r="B24" s="608" t="s">
        <v>1131</v>
      </c>
      <c r="C24" s="679"/>
      <c r="D24" s="1013">
        <v>0</v>
      </c>
      <c r="E24" s="949">
        <v>0</v>
      </c>
      <c r="F24" s="581">
        <v>0</v>
      </c>
      <c r="G24" s="746"/>
      <c r="H24" s="743">
        <v>0</v>
      </c>
    </row>
    <row r="25" spans="1:14" s="560" customFormat="1" ht="13.8" hidden="1" thickBot="1">
      <c r="A25" s="604" t="s">
        <v>535</v>
      </c>
      <c r="B25" s="604" t="s">
        <v>1132</v>
      </c>
      <c r="C25" s="530" t="s">
        <v>36</v>
      </c>
      <c r="D25" s="1013">
        <v>0</v>
      </c>
      <c r="E25" s="949">
        <v>656.8</v>
      </c>
      <c r="F25" s="581">
        <v>656.8</v>
      </c>
      <c r="G25" s="746" t="s">
        <v>1442</v>
      </c>
      <c r="H25" s="743">
        <v>0</v>
      </c>
    </row>
    <row r="26" spans="1:14" s="560" customFormat="1" ht="13.8" hidden="1" thickBot="1">
      <c r="A26" s="604" t="s">
        <v>536</v>
      </c>
      <c r="B26" s="604" t="s">
        <v>1805</v>
      </c>
      <c r="C26" s="530" t="s">
        <v>36</v>
      </c>
      <c r="D26" s="1013">
        <v>0</v>
      </c>
      <c r="E26" s="949">
        <v>154.35</v>
      </c>
      <c r="F26" s="581">
        <v>154.35</v>
      </c>
      <c r="G26" s="746" t="s">
        <v>1442</v>
      </c>
      <c r="H26" s="743">
        <v>502.44999999999993</v>
      </c>
      <c r="J26" s="560">
        <v>4.0266666666666655</v>
      </c>
    </row>
    <row r="27" spans="1:14" s="579" customFormat="1" ht="13.8" hidden="1" thickBot="1">
      <c r="A27" s="492" t="s">
        <v>537</v>
      </c>
      <c r="B27" s="608" t="s">
        <v>1133</v>
      </c>
      <c r="C27" s="679"/>
      <c r="D27" s="1013">
        <v>0</v>
      </c>
      <c r="E27" s="949">
        <v>0</v>
      </c>
      <c r="F27" s="581">
        <v>0</v>
      </c>
      <c r="G27" s="746"/>
      <c r="H27" s="743">
        <v>0</v>
      </c>
    </row>
    <row r="28" spans="1:14" s="560" customFormat="1" ht="13.8" hidden="1" thickBot="1">
      <c r="A28" s="604" t="s">
        <v>538</v>
      </c>
      <c r="B28" s="610" t="s">
        <v>1134</v>
      </c>
      <c r="C28" s="530" t="s">
        <v>63</v>
      </c>
      <c r="D28" s="1013">
        <v>0</v>
      </c>
      <c r="E28" s="949">
        <v>0</v>
      </c>
      <c r="F28" s="581">
        <v>0</v>
      </c>
      <c r="G28" s="746" t="s">
        <v>1441</v>
      </c>
      <c r="H28" s="743">
        <v>1</v>
      </c>
    </row>
    <row r="29" spans="1:14" s="560" customFormat="1" ht="13.8" hidden="1" thickBot="1">
      <c r="A29" s="604" t="s">
        <v>539</v>
      </c>
      <c r="B29" s="610" t="s">
        <v>1135</v>
      </c>
      <c r="C29" s="530" t="s">
        <v>35</v>
      </c>
      <c r="D29" s="1013">
        <v>0</v>
      </c>
      <c r="E29" s="949">
        <v>0</v>
      </c>
      <c r="F29" s="581">
        <v>0</v>
      </c>
      <c r="G29" s="746" t="s">
        <v>1445</v>
      </c>
      <c r="H29" s="743">
        <v>30</v>
      </c>
    </row>
    <row r="30" spans="1:14" s="579" customFormat="1" ht="13.8" hidden="1" thickBot="1">
      <c r="A30" s="604" t="s">
        <v>540</v>
      </c>
      <c r="B30" s="610" t="s">
        <v>1136</v>
      </c>
      <c r="C30" s="530" t="s">
        <v>63</v>
      </c>
      <c r="D30" s="1013">
        <v>0</v>
      </c>
      <c r="E30" s="949">
        <v>0</v>
      </c>
      <c r="F30" s="581">
        <v>0</v>
      </c>
      <c r="G30" s="746" t="s">
        <v>1441</v>
      </c>
      <c r="H30" s="743">
        <v>1</v>
      </c>
    </row>
    <row r="31" spans="1:14" s="560" customFormat="1" ht="13.8" hidden="1" thickBot="1">
      <c r="A31" s="604" t="s">
        <v>541</v>
      </c>
      <c r="B31" s="610" t="s">
        <v>1137</v>
      </c>
      <c r="C31" s="530" t="s">
        <v>63</v>
      </c>
      <c r="D31" s="1013">
        <v>0</v>
      </c>
      <c r="E31" s="949">
        <v>0</v>
      </c>
      <c r="F31" s="581">
        <v>0</v>
      </c>
      <c r="G31" s="746" t="s">
        <v>1441</v>
      </c>
      <c r="H31" s="743">
        <v>1</v>
      </c>
    </row>
    <row r="32" spans="1:14" s="560" customFormat="1" ht="13.8" hidden="1" thickBot="1">
      <c r="A32" s="604" t="s">
        <v>542</v>
      </c>
      <c r="B32" s="610" t="s">
        <v>1138</v>
      </c>
      <c r="C32" s="530" t="s">
        <v>63</v>
      </c>
      <c r="D32" s="1013">
        <v>0</v>
      </c>
      <c r="E32" s="949">
        <v>0</v>
      </c>
      <c r="F32" s="581">
        <v>0</v>
      </c>
      <c r="G32" s="746" t="s">
        <v>1441</v>
      </c>
      <c r="H32" s="743">
        <v>1</v>
      </c>
    </row>
    <row r="33" spans="1:8" s="560" customFormat="1" ht="13.8" hidden="1" thickBot="1">
      <c r="A33" s="604" t="s">
        <v>543</v>
      </c>
      <c r="B33" s="610" t="s">
        <v>1139</v>
      </c>
      <c r="C33" s="530" t="s">
        <v>63</v>
      </c>
      <c r="D33" s="1013">
        <v>0</v>
      </c>
      <c r="E33" s="949">
        <v>0</v>
      </c>
      <c r="F33" s="581">
        <v>0</v>
      </c>
      <c r="G33" s="747" t="s">
        <v>1441</v>
      </c>
      <c r="H33" s="743">
        <v>1</v>
      </c>
    </row>
    <row r="34" spans="1:8" s="560" customFormat="1">
      <c r="A34" s="606" t="s">
        <v>41</v>
      </c>
      <c r="B34" s="606" t="s">
        <v>1140</v>
      </c>
      <c r="C34" s="679"/>
      <c r="D34" s="1013">
        <v>0</v>
      </c>
      <c r="E34" s="949">
        <v>0</v>
      </c>
      <c r="F34" s="581">
        <v>0</v>
      </c>
      <c r="G34" s="746"/>
      <c r="H34" s="743">
        <v>0</v>
      </c>
    </row>
    <row r="35" spans="1:8" s="579" customFormat="1">
      <c r="A35" s="492" t="s">
        <v>42</v>
      </c>
      <c r="B35" s="608" t="s">
        <v>1141</v>
      </c>
      <c r="C35" s="679"/>
      <c r="D35" s="1013">
        <v>0</v>
      </c>
      <c r="E35" s="949">
        <v>0</v>
      </c>
      <c r="F35" s="581">
        <v>0</v>
      </c>
      <c r="G35" s="746"/>
      <c r="H35" s="743">
        <v>0</v>
      </c>
    </row>
    <row r="36" spans="1:8" s="579" customFormat="1" hidden="1">
      <c r="A36" s="607" t="s">
        <v>52</v>
      </c>
      <c r="B36" s="607" t="s">
        <v>45</v>
      </c>
      <c r="C36" s="679"/>
      <c r="D36" s="1013">
        <v>0</v>
      </c>
      <c r="E36" s="949"/>
      <c r="F36" s="581"/>
      <c r="G36" s="746"/>
      <c r="H36" s="743"/>
    </row>
    <row r="37" spans="1:8" s="579" customFormat="1" hidden="1">
      <c r="A37" s="604" t="s">
        <v>544</v>
      </c>
      <c r="B37" s="604" t="s">
        <v>1142</v>
      </c>
      <c r="C37" s="530" t="s">
        <v>39</v>
      </c>
      <c r="D37" s="1013">
        <v>0</v>
      </c>
      <c r="E37" s="949"/>
      <c r="F37" s="581"/>
      <c r="G37" s="746"/>
      <c r="H37" s="743"/>
    </row>
    <row r="38" spans="1:8" s="579" customFormat="1" hidden="1">
      <c r="A38" s="604" t="s">
        <v>545</v>
      </c>
      <c r="B38" s="604" t="s">
        <v>1143</v>
      </c>
      <c r="C38" s="530" t="s">
        <v>39</v>
      </c>
      <c r="D38" s="1013">
        <v>0</v>
      </c>
      <c r="E38" s="949"/>
      <c r="F38" s="581"/>
      <c r="G38" s="746"/>
      <c r="H38" s="743"/>
    </row>
    <row r="39" spans="1:8" s="579" customFormat="1" hidden="1">
      <c r="A39" s="604" t="s">
        <v>546</v>
      </c>
      <c r="B39" s="604" t="s">
        <v>1144</v>
      </c>
      <c r="C39" s="530" t="s">
        <v>39</v>
      </c>
      <c r="D39" s="1013">
        <v>0</v>
      </c>
      <c r="E39" s="949"/>
      <c r="F39" s="581"/>
      <c r="G39" s="746"/>
      <c r="H39" s="743"/>
    </row>
    <row r="40" spans="1:8" s="560" customFormat="1" hidden="1">
      <c r="A40" s="604" t="s">
        <v>547</v>
      </c>
      <c r="B40" s="604" t="s">
        <v>1145</v>
      </c>
      <c r="C40" s="530" t="s">
        <v>36</v>
      </c>
      <c r="D40" s="1013">
        <v>0</v>
      </c>
      <c r="E40" s="949">
        <v>0</v>
      </c>
      <c r="F40" s="581">
        <v>0</v>
      </c>
      <c r="G40" s="746" t="s">
        <v>1449</v>
      </c>
      <c r="H40" s="743">
        <v>26.03</v>
      </c>
    </row>
    <row r="41" spans="1:8" s="560" customFormat="1" hidden="1">
      <c r="A41" s="604" t="s">
        <v>548</v>
      </c>
      <c r="B41" s="604" t="s">
        <v>1146</v>
      </c>
      <c r="C41" s="530" t="s">
        <v>39</v>
      </c>
      <c r="D41" s="1013">
        <v>0</v>
      </c>
      <c r="E41" s="949">
        <v>0</v>
      </c>
      <c r="F41" s="581">
        <v>0</v>
      </c>
      <c r="G41" s="747" t="s">
        <v>1450</v>
      </c>
      <c r="H41" s="743">
        <v>27.56</v>
      </c>
    </row>
    <row r="42" spans="1:8" s="560" customFormat="1" hidden="1">
      <c r="A42" s="604" t="s">
        <v>549</v>
      </c>
      <c r="B42" s="604" t="s">
        <v>1147</v>
      </c>
      <c r="C42" s="614" t="s">
        <v>39</v>
      </c>
      <c r="D42" s="1013">
        <v>0</v>
      </c>
      <c r="E42" s="949">
        <v>0</v>
      </c>
      <c r="F42" s="581">
        <v>0</v>
      </c>
      <c r="G42" s="746" t="s">
        <v>1450</v>
      </c>
      <c r="H42" s="743">
        <v>27.56</v>
      </c>
    </row>
    <row r="43" spans="1:8" s="560" customFormat="1" hidden="1">
      <c r="A43" s="607" t="s">
        <v>550</v>
      </c>
      <c r="B43" s="607" t="s">
        <v>1148</v>
      </c>
      <c r="C43" s="679"/>
      <c r="D43" s="1013">
        <v>0</v>
      </c>
      <c r="E43" s="949">
        <v>0</v>
      </c>
      <c r="F43" s="581">
        <v>0</v>
      </c>
      <c r="G43" s="746"/>
      <c r="H43" s="743">
        <v>0</v>
      </c>
    </row>
    <row r="44" spans="1:8" s="560" customFormat="1" hidden="1">
      <c r="A44" s="604" t="s">
        <v>551</v>
      </c>
      <c r="B44" s="604" t="s">
        <v>1149</v>
      </c>
      <c r="C44" s="530" t="s">
        <v>39</v>
      </c>
      <c r="D44" s="1013">
        <v>0</v>
      </c>
      <c r="E44" s="949">
        <v>0</v>
      </c>
      <c r="F44" s="581">
        <v>0</v>
      </c>
      <c r="G44" s="746" t="s">
        <v>1451</v>
      </c>
      <c r="H44" s="743">
        <v>7.7</v>
      </c>
    </row>
    <row r="45" spans="1:8" s="560" customFormat="1" hidden="1">
      <c r="A45" s="604" t="s">
        <v>552</v>
      </c>
      <c r="B45" s="604" t="s">
        <v>1150</v>
      </c>
      <c r="C45" s="530" t="s">
        <v>36</v>
      </c>
      <c r="D45" s="1013">
        <v>0</v>
      </c>
      <c r="E45" s="949">
        <v>0</v>
      </c>
      <c r="F45" s="581">
        <v>0</v>
      </c>
      <c r="G45" s="746" t="s">
        <v>1452</v>
      </c>
      <c r="H45" s="743">
        <v>13.46</v>
      </c>
    </row>
    <row r="46" spans="1:8" s="560" customFormat="1" hidden="1">
      <c r="A46" s="604" t="s">
        <v>553</v>
      </c>
      <c r="B46" s="604" t="s">
        <v>1151</v>
      </c>
      <c r="C46" s="530" t="s">
        <v>39</v>
      </c>
      <c r="D46" s="1013">
        <v>0</v>
      </c>
      <c r="E46" s="949">
        <v>0</v>
      </c>
      <c r="F46" s="581">
        <v>0</v>
      </c>
      <c r="G46" s="746" t="s">
        <v>1453</v>
      </c>
      <c r="H46" s="743">
        <v>2.97</v>
      </c>
    </row>
    <row r="47" spans="1:8" s="560" customFormat="1" hidden="1">
      <c r="A47" s="604" t="s">
        <v>554</v>
      </c>
      <c r="B47" s="604" t="s">
        <v>1152</v>
      </c>
      <c r="C47" s="530" t="s">
        <v>39</v>
      </c>
      <c r="D47" s="1013">
        <v>0</v>
      </c>
      <c r="E47" s="949">
        <v>0</v>
      </c>
      <c r="F47" s="581">
        <v>0</v>
      </c>
      <c r="G47" s="746" t="s">
        <v>1454</v>
      </c>
      <c r="H47" s="743">
        <v>0.84</v>
      </c>
    </row>
    <row r="48" spans="1:8" s="560" customFormat="1" hidden="1">
      <c r="A48" s="604" t="s">
        <v>555</v>
      </c>
      <c r="B48" s="604" t="s">
        <v>1153</v>
      </c>
      <c r="C48" s="530" t="s">
        <v>36</v>
      </c>
      <c r="D48" s="1013">
        <v>0</v>
      </c>
      <c r="E48" s="949">
        <v>0</v>
      </c>
      <c r="F48" s="581">
        <v>0</v>
      </c>
      <c r="G48" s="746" t="s">
        <v>1455</v>
      </c>
      <c r="H48" s="743">
        <v>23.65</v>
      </c>
    </row>
    <row r="49" spans="1:8" s="560" customFormat="1" hidden="1">
      <c r="A49" s="604" t="s">
        <v>556</v>
      </c>
      <c r="B49" s="604" t="s">
        <v>1154</v>
      </c>
      <c r="C49" s="530" t="s">
        <v>36</v>
      </c>
      <c r="D49" s="1013">
        <v>0</v>
      </c>
      <c r="E49" s="949">
        <v>0</v>
      </c>
      <c r="F49" s="581">
        <v>0</v>
      </c>
      <c r="G49" s="746" t="s">
        <v>1449</v>
      </c>
      <c r="H49" s="743">
        <v>26.03</v>
      </c>
    </row>
    <row r="50" spans="1:8" s="560" customFormat="1">
      <c r="A50" s="607" t="s">
        <v>557</v>
      </c>
      <c r="B50" s="607" t="s">
        <v>1155</v>
      </c>
      <c r="C50" s="679"/>
      <c r="D50" s="1013">
        <v>0</v>
      </c>
      <c r="E50" s="949">
        <v>0</v>
      </c>
      <c r="F50" s="581">
        <v>0</v>
      </c>
      <c r="G50" s="746"/>
      <c r="H50" s="743">
        <v>0</v>
      </c>
    </row>
    <row r="51" spans="1:8" s="560" customFormat="1" hidden="1">
      <c r="A51" s="604" t="s">
        <v>558</v>
      </c>
      <c r="B51" s="604" t="s">
        <v>1156</v>
      </c>
      <c r="C51" s="679"/>
      <c r="D51" s="1013">
        <v>0</v>
      </c>
      <c r="E51" s="949">
        <v>0</v>
      </c>
      <c r="F51" s="581">
        <v>0</v>
      </c>
      <c r="G51" s="746"/>
      <c r="H51" s="743">
        <v>0</v>
      </c>
    </row>
    <row r="52" spans="1:8" s="560" customFormat="1" hidden="1">
      <c r="A52" s="604" t="s">
        <v>559</v>
      </c>
      <c r="B52" s="604" t="s">
        <v>1157</v>
      </c>
      <c r="C52" s="530" t="s">
        <v>39</v>
      </c>
      <c r="D52" s="1013">
        <v>0</v>
      </c>
      <c r="E52" s="949">
        <v>0</v>
      </c>
      <c r="F52" s="581">
        <v>0</v>
      </c>
      <c r="G52" s="746" t="s">
        <v>1456</v>
      </c>
      <c r="H52" s="743">
        <v>4.6100000000000003</v>
      </c>
    </row>
    <row r="53" spans="1:8" s="560" customFormat="1" hidden="1">
      <c r="A53" s="604" t="s">
        <v>560</v>
      </c>
      <c r="B53" s="604" t="s">
        <v>1158</v>
      </c>
      <c r="C53" s="530" t="s">
        <v>47</v>
      </c>
      <c r="D53" s="1013">
        <v>0</v>
      </c>
      <c r="E53" s="949">
        <v>0</v>
      </c>
      <c r="F53" s="581">
        <v>0</v>
      </c>
      <c r="G53" s="746" t="s">
        <v>1457</v>
      </c>
      <c r="H53" s="743">
        <v>192.7</v>
      </c>
    </row>
    <row r="54" spans="1:8" s="560" customFormat="1" hidden="1">
      <c r="A54" s="604" t="s">
        <v>561</v>
      </c>
      <c r="B54" s="604" t="s">
        <v>1159</v>
      </c>
      <c r="C54" s="679"/>
      <c r="D54" s="1013">
        <v>0</v>
      </c>
      <c r="E54" s="949">
        <v>0</v>
      </c>
      <c r="F54" s="581">
        <v>0</v>
      </c>
      <c r="G54" s="746"/>
      <c r="H54" s="743">
        <v>0</v>
      </c>
    </row>
    <row r="55" spans="1:8" s="560" customFormat="1" hidden="1">
      <c r="A55" s="604" t="s">
        <v>562</v>
      </c>
      <c r="B55" s="604" t="s">
        <v>1160</v>
      </c>
      <c r="C55" s="530" t="s">
        <v>39</v>
      </c>
      <c r="D55" s="1013">
        <v>0</v>
      </c>
      <c r="E55" s="949">
        <v>0</v>
      </c>
      <c r="F55" s="581">
        <v>0</v>
      </c>
      <c r="G55" s="746" t="s">
        <v>1458</v>
      </c>
      <c r="H55" s="743">
        <v>1.93</v>
      </c>
    </row>
    <row r="56" spans="1:8" s="560" customFormat="1" hidden="1">
      <c r="A56" s="604" t="s">
        <v>563</v>
      </c>
      <c r="B56" s="604" t="s">
        <v>1161</v>
      </c>
      <c r="C56" s="530" t="s">
        <v>36</v>
      </c>
      <c r="D56" s="1013">
        <v>0</v>
      </c>
      <c r="E56" s="949">
        <v>0</v>
      </c>
      <c r="F56" s="581">
        <v>0</v>
      </c>
      <c r="G56" s="746" t="s">
        <v>1459</v>
      </c>
      <c r="H56" s="743">
        <v>15.42</v>
      </c>
    </row>
    <row r="57" spans="1:8" s="560" customFormat="1" hidden="1">
      <c r="A57" s="604" t="s">
        <v>564</v>
      </c>
      <c r="B57" s="604" t="s">
        <v>1162</v>
      </c>
      <c r="C57" s="530" t="s">
        <v>47</v>
      </c>
      <c r="D57" s="1013">
        <v>0</v>
      </c>
      <c r="E57" s="949">
        <v>0</v>
      </c>
      <c r="F57" s="581">
        <v>0</v>
      </c>
      <c r="G57" s="747" t="s">
        <v>1460</v>
      </c>
      <c r="H57" s="743">
        <v>275.55</v>
      </c>
    </row>
    <row r="58" spans="1:8" s="560" customFormat="1" hidden="1">
      <c r="A58" s="604" t="s">
        <v>565</v>
      </c>
      <c r="B58" s="604" t="s">
        <v>1163</v>
      </c>
      <c r="C58" s="679"/>
      <c r="D58" s="1013">
        <v>0</v>
      </c>
      <c r="E58" s="949">
        <v>0</v>
      </c>
      <c r="F58" s="581">
        <v>0</v>
      </c>
      <c r="G58" s="747"/>
      <c r="H58" s="743">
        <v>0</v>
      </c>
    </row>
    <row r="59" spans="1:8" s="560" customFormat="1" hidden="1">
      <c r="A59" s="604" t="s">
        <v>566</v>
      </c>
      <c r="B59" s="604" t="s">
        <v>1164</v>
      </c>
      <c r="C59" s="530" t="s">
        <v>39</v>
      </c>
      <c r="D59" s="1013">
        <v>0</v>
      </c>
      <c r="E59" s="949">
        <v>0</v>
      </c>
      <c r="F59" s="581">
        <v>0</v>
      </c>
      <c r="G59" s="746" t="s">
        <v>1461</v>
      </c>
      <c r="H59" s="743">
        <v>2.83</v>
      </c>
    </row>
    <row r="60" spans="1:8" s="560" customFormat="1" hidden="1">
      <c r="A60" s="604" t="s">
        <v>567</v>
      </c>
      <c r="B60" s="604" t="s">
        <v>1165</v>
      </c>
      <c r="C60" s="530" t="s">
        <v>36</v>
      </c>
      <c r="D60" s="1013">
        <v>0</v>
      </c>
      <c r="E60" s="949">
        <v>0</v>
      </c>
      <c r="F60" s="581">
        <v>0</v>
      </c>
      <c r="G60" s="746" t="s">
        <v>1462</v>
      </c>
      <c r="H60" s="743">
        <v>40.020000000000003</v>
      </c>
    </row>
    <row r="61" spans="1:8" s="560" customFormat="1" hidden="1">
      <c r="A61" s="604" t="s">
        <v>568</v>
      </c>
      <c r="B61" s="604" t="s">
        <v>1166</v>
      </c>
      <c r="C61" s="530" t="s">
        <v>47</v>
      </c>
      <c r="D61" s="1013">
        <v>0</v>
      </c>
      <c r="E61" s="949">
        <v>0</v>
      </c>
      <c r="F61" s="581">
        <v>0</v>
      </c>
      <c r="G61" s="746" t="s">
        <v>1463</v>
      </c>
      <c r="H61" s="743">
        <v>444.48</v>
      </c>
    </row>
    <row r="62" spans="1:8" s="560" customFormat="1">
      <c r="A62" s="604" t="s">
        <v>569</v>
      </c>
      <c r="B62" s="604" t="s">
        <v>1167</v>
      </c>
      <c r="C62" s="679"/>
      <c r="D62" s="1013">
        <v>0</v>
      </c>
      <c r="E62" s="949">
        <v>0</v>
      </c>
      <c r="F62" s="581">
        <v>0</v>
      </c>
      <c r="G62" s="746"/>
      <c r="H62" s="743">
        <v>0</v>
      </c>
    </row>
    <row r="63" spans="1:8" s="560" customFormat="1">
      <c r="A63" s="604" t="s">
        <v>570</v>
      </c>
      <c r="B63" s="604" t="s">
        <v>1168</v>
      </c>
      <c r="C63" s="530" t="s">
        <v>39</v>
      </c>
      <c r="D63" s="1059">
        <v>0.85</v>
      </c>
      <c r="E63" s="949">
        <v>0</v>
      </c>
      <c r="F63" s="581">
        <v>0.85</v>
      </c>
      <c r="G63" s="746" t="s">
        <v>1464</v>
      </c>
      <c r="H63" s="743">
        <v>0.64</v>
      </c>
    </row>
    <row r="64" spans="1:8" s="560" customFormat="1">
      <c r="A64" s="604" t="s">
        <v>571</v>
      </c>
      <c r="B64" s="604" t="s">
        <v>1169</v>
      </c>
      <c r="C64" s="614" t="s">
        <v>36</v>
      </c>
      <c r="D64" s="1059">
        <v>8.9600000000000009</v>
      </c>
      <c r="E64" s="949">
        <v>0</v>
      </c>
      <c r="F64" s="581">
        <v>8.9600000000000009</v>
      </c>
      <c r="G64" s="746" t="s">
        <v>1465</v>
      </c>
      <c r="H64" s="743">
        <v>10.75</v>
      </c>
    </row>
    <row r="65" spans="1:8" s="560" customFormat="1" hidden="1">
      <c r="A65" s="604" t="s">
        <v>572</v>
      </c>
      <c r="B65" s="604" t="s">
        <v>1170</v>
      </c>
      <c r="C65" s="530" t="s">
        <v>47</v>
      </c>
      <c r="D65" s="1013">
        <v>0</v>
      </c>
      <c r="E65" s="949">
        <v>0</v>
      </c>
      <c r="F65" s="581">
        <v>0</v>
      </c>
      <c r="G65" s="746" t="s">
        <v>1466</v>
      </c>
      <c r="H65" s="743">
        <v>659.98</v>
      </c>
    </row>
    <row r="66" spans="1:8" s="560" customFormat="1" hidden="1">
      <c r="A66" s="604" t="s">
        <v>573</v>
      </c>
      <c r="B66" s="604" t="s">
        <v>1171</v>
      </c>
      <c r="C66" s="679"/>
      <c r="D66" s="1013">
        <v>0</v>
      </c>
      <c r="E66" s="949">
        <v>0</v>
      </c>
      <c r="F66" s="581">
        <v>0</v>
      </c>
      <c r="G66" s="746"/>
      <c r="H66" s="743">
        <v>0</v>
      </c>
    </row>
    <row r="67" spans="1:8" s="560" customFormat="1" hidden="1">
      <c r="A67" s="604" t="s">
        <v>574</v>
      </c>
      <c r="B67" s="604" t="s">
        <v>1172</v>
      </c>
      <c r="C67" s="530" t="s">
        <v>39</v>
      </c>
      <c r="D67" s="1013">
        <v>0</v>
      </c>
      <c r="E67" s="949">
        <v>0</v>
      </c>
      <c r="F67" s="581">
        <v>0</v>
      </c>
      <c r="G67" s="746" t="s">
        <v>1467</v>
      </c>
      <c r="H67" s="743">
        <v>4.54</v>
      </c>
    </row>
    <row r="68" spans="1:8" s="560" customFormat="1" hidden="1">
      <c r="A68" s="604" t="s">
        <v>575</v>
      </c>
      <c r="B68" s="604" t="s">
        <v>1173</v>
      </c>
      <c r="C68" s="530" t="s">
        <v>36</v>
      </c>
      <c r="D68" s="1013">
        <v>0</v>
      </c>
      <c r="E68" s="949">
        <v>0</v>
      </c>
      <c r="F68" s="581">
        <v>0</v>
      </c>
      <c r="G68" s="746" t="s">
        <v>1468</v>
      </c>
      <c r="H68" s="743">
        <v>38.93</v>
      </c>
    </row>
    <row r="69" spans="1:8" s="560" customFormat="1" hidden="1">
      <c r="A69" s="604" t="s">
        <v>576</v>
      </c>
      <c r="B69" s="604" t="s">
        <v>1174</v>
      </c>
      <c r="C69" s="530" t="s">
        <v>47</v>
      </c>
      <c r="D69" s="1013">
        <v>0</v>
      </c>
      <c r="E69" s="949">
        <v>0</v>
      </c>
      <c r="F69" s="581">
        <v>0</v>
      </c>
      <c r="G69" s="746" t="s">
        <v>1469</v>
      </c>
      <c r="H69" s="743">
        <v>563.80999999999995</v>
      </c>
    </row>
    <row r="70" spans="1:8" s="560" customFormat="1" hidden="1">
      <c r="A70" s="604" t="s">
        <v>577</v>
      </c>
      <c r="B70" s="604" t="s">
        <v>1175</v>
      </c>
      <c r="C70" s="679"/>
      <c r="D70" s="1013">
        <v>0</v>
      </c>
      <c r="E70" s="949">
        <v>0</v>
      </c>
      <c r="F70" s="581">
        <v>0</v>
      </c>
      <c r="G70" s="747"/>
      <c r="H70" s="743">
        <v>0</v>
      </c>
    </row>
    <row r="71" spans="1:8" s="560" customFormat="1" hidden="1">
      <c r="A71" s="604" t="s">
        <v>578</v>
      </c>
      <c r="B71" s="604" t="s">
        <v>1176</v>
      </c>
      <c r="C71" s="530" t="s">
        <v>39</v>
      </c>
      <c r="D71" s="1013">
        <v>0</v>
      </c>
      <c r="E71" s="949">
        <v>0</v>
      </c>
      <c r="F71" s="581">
        <v>0</v>
      </c>
      <c r="G71" s="746" t="s">
        <v>1470</v>
      </c>
      <c r="H71" s="743">
        <v>3.65</v>
      </c>
    </row>
    <row r="72" spans="1:8" s="560" customFormat="1" hidden="1">
      <c r="A72" s="604" t="s">
        <v>579</v>
      </c>
      <c r="B72" s="604" t="s">
        <v>1177</v>
      </c>
      <c r="C72" s="530" t="s">
        <v>36</v>
      </c>
      <c r="D72" s="1013">
        <v>0</v>
      </c>
      <c r="E72" s="949">
        <v>0</v>
      </c>
      <c r="F72" s="581">
        <v>0</v>
      </c>
      <c r="G72" s="746" t="s">
        <v>1471</v>
      </c>
      <c r="H72" s="743">
        <v>41.77</v>
      </c>
    </row>
    <row r="73" spans="1:8" s="560" customFormat="1" hidden="1">
      <c r="A73" s="604" t="s">
        <v>580</v>
      </c>
      <c r="B73" s="604" t="s">
        <v>1178</v>
      </c>
      <c r="C73" s="530" t="s">
        <v>47</v>
      </c>
      <c r="D73" s="1013">
        <v>0</v>
      </c>
      <c r="E73" s="949">
        <v>0</v>
      </c>
      <c r="F73" s="581">
        <v>0</v>
      </c>
      <c r="G73" s="746" t="s">
        <v>1472</v>
      </c>
      <c r="H73" s="743">
        <v>298.24</v>
      </c>
    </row>
    <row r="74" spans="1:8" s="560" customFormat="1" hidden="1">
      <c r="A74" s="604" t="s">
        <v>581</v>
      </c>
      <c r="B74" s="604" t="s">
        <v>1179</v>
      </c>
      <c r="C74" s="614" t="s">
        <v>1436</v>
      </c>
      <c r="D74" s="1013">
        <v>0</v>
      </c>
      <c r="E74" s="949">
        <v>0</v>
      </c>
      <c r="F74" s="581">
        <v>0</v>
      </c>
      <c r="G74" s="746" t="s">
        <v>1473</v>
      </c>
      <c r="H74" s="743">
        <v>347.95</v>
      </c>
    </row>
    <row r="75" spans="1:8" s="560" customFormat="1" hidden="1">
      <c r="A75" s="604" t="s">
        <v>582</v>
      </c>
      <c r="B75" s="604" t="s">
        <v>1180</v>
      </c>
      <c r="C75" s="679"/>
      <c r="D75" s="1013">
        <v>0</v>
      </c>
      <c r="E75" s="949">
        <v>0</v>
      </c>
      <c r="F75" s="581">
        <v>0</v>
      </c>
      <c r="G75" s="746"/>
      <c r="H75" s="743">
        <v>0</v>
      </c>
    </row>
    <row r="76" spans="1:8" s="560" customFormat="1" hidden="1">
      <c r="A76" s="604" t="s">
        <v>583</v>
      </c>
      <c r="B76" s="604" t="s">
        <v>1181</v>
      </c>
      <c r="C76" s="530" t="s">
        <v>39</v>
      </c>
      <c r="D76" s="1013">
        <v>0</v>
      </c>
      <c r="E76" s="949">
        <v>0</v>
      </c>
      <c r="F76" s="581">
        <v>0</v>
      </c>
      <c r="G76" s="746" t="s">
        <v>1474</v>
      </c>
      <c r="H76" s="743">
        <v>1.2</v>
      </c>
    </row>
    <row r="77" spans="1:8" s="560" customFormat="1" hidden="1">
      <c r="A77" s="604" t="s">
        <v>584</v>
      </c>
      <c r="B77" s="604" t="s">
        <v>1182</v>
      </c>
      <c r="C77" s="530" t="s">
        <v>36</v>
      </c>
      <c r="D77" s="1013">
        <v>0</v>
      </c>
      <c r="E77" s="949">
        <v>0</v>
      </c>
      <c r="F77" s="581">
        <v>0</v>
      </c>
      <c r="G77" s="746" t="s">
        <v>1475</v>
      </c>
      <c r="H77" s="743">
        <v>16</v>
      </c>
    </row>
    <row r="78" spans="1:8" s="560" customFormat="1" hidden="1">
      <c r="A78" s="604" t="s">
        <v>585</v>
      </c>
      <c r="B78" s="604" t="s">
        <v>1183</v>
      </c>
      <c r="C78" s="530" t="s">
        <v>47</v>
      </c>
      <c r="D78" s="1013">
        <v>0</v>
      </c>
      <c r="E78" s="949">
        <v>0</v>
      </c>
      <c r="F78" s="581">
        <v>0</v>
      </c>
      <c r="G78" s="746" t="s">
        <v>1476</v>
      </c>
      <c r="H78" s="743">
        <v>124.05</v>
      </c>
    </row>
    <row r="79" spans="1:8" s="560" customFormat="1" hidden="1">
      <c r="A79" s="607" t="s">
        <v>586</v>
      </c>
      <c r="B79" s="607" t="s">
        <v>1184</v>
      </c>
      <c r="C79" s="679"/>
      <c r="D79" s="1013">
        <v>0</v>
      </c>
      <c r="E79" s="949">
        <v>0</v>
      </c>
      <c r="F79" s="581">
        <v>0</v>
      </c>
      <c r="G79" s="746"/>
      <c r="H79" s="743">
        <v>0</v>
      </c>
    </row>
    <row r="80" spans="1:8" s="560" customFormat="1" hidden="1">
      <c r="A80" s="604" t="s">
        <v>587</v>
      </c>
      <c r="B80" s="604" t="s">
        <v>1185</v>
      </c>
      <c r="C80" s="530" t="s">
        <v>37</v>
      </c>
      <c r="D80" s="1013">
        <v>0</v>
      </c>
      <c r="E80" s="949">
        <v>0</v>
      </c>
      <c r="F80" s="581">
        <v>0</v>
      </c>
      <c r="G80" s="746" t="s">
        <v>1477</v>
      </c>
      <c r="H80" s="743">
        <v>59.04</v>
      </c>
    </row>
    <row r="81" spans="1:8" s="560" customFormat="1" hidden="1">
      <c r="A81" s="607" t="s">
        <v>588</v>
      </c>
      <c r="B81" s="607" t="s">
        <v>1186</v>
      </c>
      <c r="C81" s="690"/>
      <c r="D81" s="1013">
        <v>0</v>
      </c>
      <c r="E81" s="949">
        <v>0</v>
      </c>
      <c r="F81" s="581">
        <v>0</v>
      </c>
      <c r="G81" s="746"/>
      <c r="H81" s="743">
        <v>0</v>
      </c>
    </row>
    <row r="82" spans="1:8" s="560" customFormat="1" hidden="1">
      <c r="A82" s="604" t="s">
        <v>589</v>
      </c>
      <c r="B82" s="604" t="s">
        <v>1187</v>
      </c>
      <c r="C82" s="530" t="s">
        <v>37</v>
      </c>
      <c r="D82" s="1013">
        <v>0</v>
      </c>
      <c r="E82" s="949">
        <v>0</v>
      </c>
      <c r="F82" s="581">
        <v>0</v>
      </c>
      <c r="G82" s="746" t="s">
        <v>1478</v>
      </c>
      <c r="H82" s="743">
        <v>100.3</v>
      </c>
    </row>
    <row r="83" spans="1:8" s="560" customFormat="1" hidden="1">
      <c r="A83" s="604" t="s">
        <v>590</v>
      </c>
      <c r="B83" s="604" t="s">
        <v>224</v>
      </c>
      <c r="C83" s="530" t="s">
        <v>1436</v>
      </c>
      <c r="D83" s="1013">
        <v>0</v>
      </c>
      <c r="E83" s="949">
        <v>0</v>
      </c>
      <c r="F83" s="581">
        <v>0</v>
      </c>
      <c r="G83" s="747" t="s">
        <v>1479</v>
      </c>
      <c r="H83" s="743">
        <v>15</v>
      </c>
    </row>
    <row r="84" spans="1:8" s="560" customFormat="1">
      <c r="A84" s="492" t="s">
        <v>43</v>
      </c>
      <c r="B84" s="608" t="s">
        <v>1188</v>
      </c>
      <c r="C84" s="679"/>
      <c r="D84" s="1013">
        <v>0</v>
      </c>
      <c r="E84" s="949">
        <v>0</v>
      </c>
      <c r="F84" s="581">
        <v>0</v>
      </c>
      <c r="G84" s="746"/>
      <c r="H84" s="743">
        <v>0</v>
      </c>
    </row>
    <row r="85" spans="1:8" s="560" customFormat="1" hidden="1">
      <c r="A85" s="607" t="s">
        <v>53</v>
      </c>
      <c r="B85" s="607" t="s">
        <v>45</v>
      </c>
      <c r="C85" s="679"/>
      <c r="D85" s="1013">
        <v>0</v>
      </c>
      <c r="E85" s="949">
        <v>0</v>
      </c>
      <c r="F85" s="581">
        <v>0</v>
      </c>
      <c r="G85" s="746"/>
      <c r="H85" s="743">
        <v>0</v>
      </c>
    </row>
    <row r="86" spans="1:8" s="560" customFormat="1" hidden="1">
      <c r="A86" s="604" t="s">
        <v>591</v>
      </c>
      <c r="B86" s="604" t="s">
        <v>1142</v>
      </c>
      <c r="C86" s="530" t="s">
        <v>39</v>
      </c>
      <c r="D86" s="1013">
        <v>0</v>
      </c>
      <c r="E86" s="949">
        <v>0</v>
      </c>
      <c r="F86" s="581">
        <v>0</v>
      </c>
      <c r="G86" s="746" t="s">
        <v>1480</v>
      </c>
      <c r="H86" s="743">
        <v>34.270000000000003</v>
      </c>
    </row>
    <row r="87" spans="1:8" s="560" customFormat="1" hidden="1">
      <c r="A87" s="604" t="s">
        <v>592</v>
      </c>
      <c r="B87" s="604" t="s">
        <v>1143</v>
      </c>
      <c r="C87" s="530" t="s">
        <v>39</v>
      </c>
      <c r="D87" s="1013">
        <v>0</v>
      </c>
      <c r="E87" s="949">
        <v>0</v>
      </c>
      <c r="F87" s="581">
        <v>0</v>
      </c>
      <c r="G87" s="746" t="s">
        <v>1481</v>
      </c>
      <c r="H87" s="743">
        <v>16.989999999999998</v>
      </c>
    </row>
    <row r="88" spans="1:8" s="560" customFormat="1" hidden="1">
      <c r="A88" s="604" t="s">
        <v>593</v>
      </c>
      <c r="B88" s="604" t="s">
        <v>1144</v>
      </c>
      <c r="C88" s="614" t="s">
        <v>39</v>
      </c>
      <c r="D88" s="1013">
        <v>0</v>
      </c>
      <c r="E88" s="949">
        <v>0</v>
      </c>
      <c r="F88" s="581">
        <v>0</v>
      </c>
      <c r="G88" s="746" t="s">
        <v>1482</v>
      </c>
      <c r="H88" s="743">
        <v>28.37</v>
      </c>
    </row>
    <row r="89" spans="1:8" s="560" customFormat="1" hidden="1">
      <c r="A89" s="604" t="s">
        <v>594</v>
      </c>
      <c r="B89" s="604" t="s">
        <v>1145</v>
      </c>
      <c r="C89" s="530" t="s">
        <v>36</v>
      </c>
      <c r="D89" s="1013">
        <v>0</v>
      </c>
      <c r="E89" s="949">
        <v>0</v>
      </c>
      <c r="F89" s="581">
        <v>0</v>
      </c>
      <c r="G89" s="746" t="s">
        <v>1483</v>
      </c>
      <c r="H89" s="743">
        <v>57.19</v>
      </c>
    </row>
    <row r="90" spans="1:8" s="560" customFormat="1" hidden="1">
      <c r="A90" s="604" t="s">
        <v>595</v>
      </c>
      <c r="B90" s="604" t="s">
        <v>1146</v>
      </c>
      <c r="C90" s="530" t="s">
        <v>39</v>
      </c>
      <c r="D90" s="1013">
        <v>0</v>
      </c>
      <c r="E90" s="949">
        <v>0</v>
      </c>
      <c r="F90" s="581">
        <v>0</v>
      </c>
      <c r="G90" s="746" t="s">
        <v>1484</v>
      </c>
      <c r="H90" s="743">
        <v>28.61</v>
      </c>
    </row>
    <row r="91" spans="1:8" s="560" customFormat="1" hidden="1">
      <c r="A91" s="604" t="s">
        <v>596</v>
      </c>
      <c r="B91" s="604" t="s">
        <v>1147</v>
      </c>
      <c r="C91" s="530" t="s">
        <v>39</v>
      </c>
      <c r="D91" s="1013">
        <v>0</v>
      </c>
      <c r="E91" s="949">
        <v>0</v>
      </c>
      <c r="F91" s="581">
        <v>0</v>
      </c>
      <c r="G91" s="746" t="s">
        <v>1484</v>
      </c>
      <c r="H91" s="743">
        <v>28.61</v>
      </c>
    </row>
    <row r="92" spans="1:8" s="560" customFormat="1" hidden="1">
      <c r="A92" s="607" t="s">
        <v>54</v>
      </c>
      <c r="B92" s="607" t="s">
        <v>1148</v>
      </c>
      <c r="C92" s="679"/>
      <c r="D92" s="1013">
        <v>0</v>
      </c>
      <c r="E92" s="949">
        <v>0</v>
      </c>
      <c r="F92" s="581">
        <v>0</v>
      </c>
      <c r="G92" s="746"/>
      <c r="H92" s="743">
        <v>0</v>
      </c>
    </row>
    <row r="93" spans="1:8" s="560" customFormat="1" hidden="1">
      <c r="A93" s="604" t="s">
        <v>597</v>
      </c>
      <c r="B93" s="604" t="s">
        <v>1189</v>
      </c>
      <c r="C93" s="530" t="s">
        <v>36</v>
      </c>
      <c r="D93" s="1013">
        <v>0</v>
      </c>
      <c r="E93" s="949">
        <v>0</v>
      </c>
      <c r="F93" s="581">
        <v>0</v>
      </c>
      <c r="G93" s="746" t="s">
        <v>1485</v>
      </c>
      <c r="H93" s="743">
        <v>26.55</v>
      </c>
    </row>
    <row r="94" spans="1:8" s="897" customFormat="1" hidden="1">
      <c r="A94" s="886" t="s">
        <v>598</v>
      </c>
      <c r="B94" s="886" t="s">
        <v>1190</v>
      </c>
      <c r="C94" s="887" t="s">
        <v>39</v>
      </c>
      <c r="D94" s="1013">
        <v>0</v>
      </c>
      <c r="E94" s="949">
        <v>0</v>
      </c>
      <c r="F94" s="581">
        <v>0</v>
      </c>
      <c r="G94" s="895" t="s">
        <v>1486</v>
      </c>
      <c r="H94" s="896">
        <v>12.87</v>
      </c>
    </row>
    <row r="95" spans="1:8" s="897" customFormat="1" hidden="1">
      <c r="A95" s="886" t="s">
        <v>599</v>
      </c>
      <c r="B95" s="886" t="s">
        <v>1191</v>
      </c>
      <c r="C95" s="887" t="s">
        <v>39</v>
      </c>
      <c r="D95" s="1013">
        <v>0</v>
      </c>
      <c r="E95" s="949">
        <v>0</v>
      </c>
      <c r="F95" s="581">
        <v>0</v>
      </c>
      <c r="G95" s="895" t="s">
        <v>1487</v>
      </c>
      <c r="H95" s="896">
        <v>2.68</v>
      </c>
    </row>
    <row r="96" spans="1:8" s="897" customFormat="1" hidden="1">
      <c r="A96" s="886" t="s">
        <v>600</v>
      </c>
      <c r="B96" s="886" t="s">
        <v>1153</v>
      </c>
      <c r="C96" s="900" t="s">
        <v>36</v>
      </c>
      <c r="D96" s="1013">
        <v>0</v>
      </c>
      <c r="E96" s="949">
        <v>0</v>
      </c>
      <c r="F96" s="581">
        <v>0</v>
      </c>
      <c r="G96" s="895" t="s">
        <v>1488</v>
      </c>
      <c r="H96" s="896">
        <v>96.66</v>
      </c>
    </row>
    <row r="97" spans="1:8" s="560" customFormat="1" hidden="1">
      <c r="A97" s="604" t="s">
        <v>601</v>
      </c>
      <c r="B97" s="604" t="s">
        <v>1154</v>
      </c>
      <c r="C97" s="530" t="s">
        <v>36</v>
      </c>
      <c r="D97" s="1013">
        <v>0</v>
      </c>
      <c r="E97" s="949">
        <v>0</v>
      </c>
      <c r="F97" s="581">
        <v>0</v>
      </c>
      <c r="G97" s="746" t="s">
        <v>1483</v>
      </c>
      <c r="H97" s="743">
        <v>57.19</v>
      </c>
    </row>
    <row r="98" spans="1:8" s="560" customFormat="1">
      <c r="A98" s="607" t="s">
        <v>602</v>
      </c>
      <c r="B98" s="607" t="s">
        <v>1155</v>
      </c>
      <c r="C98" s="679"/>
      <c r="D98" s="1013">
        <v>0</v>
      </c>
      <c r="E98" s="949">
        <v>0</v>
      </c>
      <c r="F98" s="581">
        <v>0</v>
      </c>
      <c r="G98" s="746"/>
      <c r="H98" s="743">
        <v>0</v>
      </c>
    </row>
    <row r="99" spans="1:8" s="560" customFormat="1" hidden="1">
      <c r="A99" s="604" t="s">
        <v>603</v>
      </c>
      <c r="B99" s="604" t="s">
        <v>1156</v>
      </c>
      <c r="C99" s="679"/>
      <c r="D99" s="1013">
        <v>0</v>
      </c>
      <c r="E99" s="949">
        <v>0</v>
      </c>
      <c r="F99" s="581">
        <v>0</v>
      </c>
      <c r="G99" s="746"/>
      <c r="H99" s="743">
        <v>0</v>
      </c>
    </row>
    <row r="100" spans="1:8" s="560" customFormat="1" hidden="1">
      <c r="A100" s="604" t="s">
        <v>604</v>
      </c>
      <c r="B100" s="604" t="s">
        <v>1192</v>
      </c>
      <c r="C100" s="530" t="s">
        <v>39</v>
      </c>
      <c r="D100" s="1013">
        <v>0</v>
      </c>
      <c r="E100" s="949">
        <v>0</v>
      </c>
      <c r="F100" s="581">
        <v>0</v>
      </c>
      <c r="G100" s="746" t="s">
        <v>1489</v>
      </c>
      <c r="H100" s="743">
        <v>8.06</v>
      </c>
    </row>
    <row r="101" spans="1:8" s="560" customFormat="1" hidden="1">
      <c r="A101" s="604" t="s">
        <v>605</v>
      </c>
      <c r="B101" s="604" t="s">
        <v>1158</v>
      </c>
      <c r="C101" s="530" t="s">
        <v>47</v>
      </c>
      <c r="D101" s="1013">
        <v>0</v>
      </c>
      <c r="E101" s="949">
        <v>0</v>
      </c>
      <c r="F101" s="581">
        <v>0</v>
      </c>
      <c r="G101" s="746" t="s">
        <v>1490</v>
      </c>
      <c r="H101" s="743">
        <v>337.22</v>
      </c>
    </row>
    <row r="102" spans="1:8" s="560" customFormat="1" hidden="1">
      <c r="A102" s="604" t="s">
        <v>606</v>
      </c>
      <c r="B102" s="604" t="s">
        <v>1159</v>
      </c>
      <c r="C102" s="679"/>
      <c r="D102" s="1013">
        <v>0</v>
      </c>
      <c r="E102" s="949">
        <v>0</v>
      </c>
      <c r="F102" s="581">
        <v>0</v>
      </c>
      <c r="G102" s="746"/>
      <c r="H102" s="743">
        <v>0</v>
      </c>
    </row>
    <row r="103" spans="1:8" s="560" customFormat="1" hidden="1">
      <c r="A103" s="604" t="s">
        <v>607</v>
      </c>
      <c r="B103" s="604" t="s">
        <v>1193</v>
      </c>
      <c r="C103" s="530" t="s">
        <v>39</v>
      </c>
      <c r="D103" s="1013">
        <v>0</v>
      </c>
      <c r="E103" s="949">
        <v>0</v>
      </c>
      <c r="F103" s="581">
        <v>0</v>
      </c>
      <c r="G103" s="746" t="s">
        <v>1491</v>
      </c>
      <c r="H103" s="743">
        <v>3.81</v>
      </c>
    </row>
    <row r="104" spans="1:8" s="560" customFormat="1" hidden="1">
      <c r="A104" s="604" t="s">
        <v>608</v>
      </c>
      <c r="B104" s="604" t="s">
        <v>1161</v>
      </c>
      <c r="C104" s="614" t="s">
        <v>36</v>
      </c>
      <c r="D104" s="1013">
        <v>0</v>
      </c>
      <c r="E104" s="949">
        <v>0</v>
      </c>
      <c r="F104" s="581">
        <v>0</v>
      </c>
      <c r="G104" s="746" t="s">
        <v>1492</v>
      </c>
      <c r="H104" s="743">
        <v>30.45</v>
      </c>
    </row>
    <row r="105" spans="1:8" s="560" customFormat="1" hidden="1">
      <c r="A105" s="604" t="s">
        <v>609</v>
      </c>
      <c r="B105" s="604" t="s">
        <v>1162</v>
      </c>
      <c r="C105" s="530" t="s">
        <v>47</v>
      </c>
      <c r="D105" s="1013">
        <v>0</v>
      </c>
      <c r="E105" s="949">
        <v>0</v>
      </c>
      <c r="F105" s="581">
        <v>0</v>
      </c>
      <c r="G105" s="746" t="s">
        <v>1493</v>
      </c>
      <c r="H105" s="743">
        <v>322.07</v>
      </c>
    </row>
    <row r="106" spans="1:8" s="560" customFormat="1" hidden="1">
      <c r="A106" s="604" t="s">
        <v>610</v>
      </c>
      <c r="B106" s="604" t="s">
        <v>1163</v>
      </c>
      <c r="C106" s="679"/>
      <c r="D106" s="1013">
        <v>0</v>
      </c>
      <c r="E106" s="949">
        <v>0</v>
      </c>
      <c r="F106" s="581">
        <v>0</v>
      </c>
      <c r="G106" s="746"/>
      <c r="H106" s="743">
        <v>0</v>
      </c>
    </row>
    <row r="107" spans="1:8" s="560" customFormat="1" hidden="1">
      <c r="A107" s="604" t="s">
        <v>611</v>
      </c>
      <c r="B107" s="604" t="s">
        <v>1194</v>
      </c>
      <c r="C107" s="530" t="s">
        <v>39</v>
      </c>
      <c r="D107" s="1013">
        <v>0</v>
      </c>
      <c r="E107" s="949">
        <v>0</v>
      </c>
      <c r="F107" s="581">
        <v>0</v>
      </c>
      <c r="G107" s="746" t="s">
        <v>1494</v>
      </c>
      <c r="H107" s="743">
        <v>5.95</v>
      </c>
    </row>
    <row r="108" spans="1:8" s="560" customFormat="1" hidden="1">
      <c r="A108" s="604" t="s">
        <v>612</v>
      </c>
      <c r="B108" s="604" t="s">
        <v>1165</v>
      </c>
      <c r="C108" s="530" t="s">
        <v>36</v>
      </c>
      <c r="D108" s="1013">
        <v>0</v>
      </c>
      <c r="E108" s="949">
        <v>0</v>
      </c>
      <c r="F108" s="581">
        <v>0</v>
      </c>
      <c r="G108" s="747" t="s">
        <v>1495</v>
      </c>
      <c r="H108" s="743">
        <v>77.91</v>
      </c>
    </row>
    <row r="109" spans="1:8" s="560" customFormat="1" hidden="1">
      <c r="A109" s="604" t="s">
        <v>613</v>
      </c>
      <c r="B109" s="604" t="s">
        <v>1166</v>
      </c>
      <c r="C109" s="530" t="s">
        <v>47</v>
      </c>
      <c r="D109" s="1013">
        <v>0</v>
      </c>
      <c r="E109" s="949">
        <v>0</v>
      </c>
      <c r="F109" s="581">
        <v>0</v>
      </c>
      <c r="G109" s="746" t="s">
        <v>1496</v>
      </c>
      <c r="H109" s="743">
        <v>2582.91</v>
      </c>
    </row>
    <row r="110" spans="1:8" s="560" customFormat="1">
      <c r="A110" s="607" t="s">
        <v>602</v>
      </c>
      <c r="B110" s="604" t="s">
        <v>1167</v>
      </c>
      <c r="C110" s="679"/>
      <c r="D110" s="1013">
        <v>0</v>
      </c>
      <c r="E110" s="949">
        <v>0</v>
      </c>
      <c r="F110" s="581">
        <v>0</v>
      </c>
      <c r="G110" s="746"/>
      <c r="H110" s="743">
        <v>0</v>
      </c>
    </row>
    <row r="111" spans="1:8" s="560" customFormat="1">
      <c r="A111" s="607" t="s">
        <v>602</v>
      </c>
      <c r="B111" s="604" t="s">
        <v>1168</v>
      </c>
      <c r="C111" s="530" t="s">
        <v>39</v>
      </c>
      <c r="D111" s="1059">
        <v>0.31</v>
      </c>
      <c r="E111" s="949">
        <v>0</v>
      </c>
      <c r="F111" s="581">
        <v>0.31</v>
      </c>
      <c r="G111" s="746" t="s">
        <v>1497</v>
      </c>
      <c r="H111" s="743">
        <v>2.5099999999999998</v>
      </c>
    </row>
    <row r="112" spans="1:8" s="560" customFormat="1" hidden="1">
      <c r="A112" s="604" t="s">
        <v>618</v>
      </c>
      <c r="B112" s="604" t="s">
        <v>1171</v>
      </c>
      <c r="C112" s="679"/>
      <c r="D112" s="1013">
        <v>0</v>
      </c>
      <c r="E112" s="949">
        <v>0</v>
      </c>
      <c r="F112" s="581">
        <v>0</v>
      </c>
      <c r="G112" s="746"/>
      <c r="H112" s="743">
        <v>0</v>
      </c>
    </row>
    <row r="113" spans="1:8" s="560" customFormat="1" hidden="1">
      <c r="A113" s="604" t="s">
        <v>619</v>
      </c>
      <c r="B113" s="604" t="s">
        <v>1172</v>
      </c>
      <c r="C113" s="530" t="s">
        <v>39</v>
      </c>
      <c r="D113" s="1013">
        <v>0</v>
      </c>
      <c r="E113" s="949">
        <v>0</v>
      </c>
      <c r="F113" s="581">
        <v>0</v>
      </c>
      <c r="G113" s="746" t="s">
        <v>1500</v>
      </c>
      <c r="H113" s="743">
        <v>10.33</v>
      </c>
    </row>
    <row r="114" spans="1:8" s="560" customFormat="1" hidden="1">
      <c r="A114" s="604" t="s">
        <v>620</v>
      </c>
      <c r="B114" s="604" t="s">
        <v>1173</v>
      </c>
      <c r="C114" s="530" t="s">
        <v>36</v>
      </c>
      <c r="D114" s="1013">
        <v>0</v>
      </c>
      <c r="E114" s="949">
        <v>0</v>
      </c>
      <c r="F114" s="581">
        <v>0</v>
      </c>
      <c r="G114" s="746" t="s">
        <v>1501</v>
      </c>
      <c r="H114" s="743">
        <v>116.46</v>
      </c>
    </row>
    <row r="115" spans="1:8" s="560" customFormat="1" hidden="1">
      <c r="A115" s="604" t="s">
        <v>621</v>
      </c>
      <c r="B115" s="604" t="s">
        <v>1174</v>
      </c>
      <c r="C115" s="530" t="s">
        <v>47</v>
      </c>
      <c r="D115" s="1013">
        <v>0</v>
      </c>
      <c r="E115" s="949">
        <v>0</v>
      </c>
      <c r="F115" s="581">
        <v>0</v>
      </c>
      <c r="G115" s="746" t="s">
        <v>1502</v>
      </c>
      <c r="H115" s="743">
        <v>1452.85</v>
      </c>
    </row>
    <row r="116" spans="1:8" s="560" customFormat="1" hidden="1">
      <c r="A116" s="604" t="s">
        <v>622</v>
      </c>
      <c r="B116" s="604" t="s">
        <v>1175</v>
      </c>
      <c r="C116" s="530"/>
      <c r="D116" s="1013">
        <v>0</v>
      </c>
      <c r="E116" s="949">
        <v>0</v>
      </c>
      <c r="F116" s="581">
        <v>0</v>
      </c>
      <c r="G116" s="746"/>
      <c r="H116" s="743">
        <v>0</v>
      </c>
    </row>
    <row r="117" spans="1:8" s="560" customFormat="1" hidden="1">
      <c r="A117" s="604" t="s">
        <v>623</v>
      </c>
      <c r="B117" s="604" t="s">
        <v>1176</v>
      </c>
      <c r="C117" s="530" t="s">
        <v>39</v>
      </c>
      <c r="D117" s="1013">
        <v>0</v>
      </c>
      <c r="E117" s="949">
        <v>0</v>
      </c>
      <c r="F117" s="581">
        <v>0</v>
      </c>
      <c r="G117" s="746" t="s">
        <v>1503</v>
      </c>
      <c r="H117" s="743">
        <v>8.94</v>
      </c>
    </row>
    <row r="118" spans="1:8" s="560" customFormat="1" hidden="1">
      <c r="A118" s="604" t="s">
        <v>624</v>
      </c>
      <c r="B118" s="604" t="s">
        <v>1177</v>
      </c>
      <c r="C118" s="530" t="s">
        <v>36</v>
      </c>
      <c r="D118" s="1013">
        <v>0</v>
      </c>
      <c r="E118" s="949">
        <v>0</v>
      </c>
      <c r="F118" s="581">
        <v>0</v>
      </c>
      <c r="G118" s="746" t="s">
        <v>1504</v>
      </c>
      <c r="H118" s="743">
        <v>102.17</v>
      </c>
    </row>
    <row r="119" spans="1:8" s="560" customFormat="1" hidden="1">
      <c r="A119" s="604" t="s">
        <v>625</v>
      </c>
      <c r="B119" s="604" t="s">
        <v>1178</v>
      </c>
      <c r="C119" s="530" t="s">
        <v>47</v>
      </c>
      <c r="D119" s="1013">
        <v>0</v>
      </c>
      <c r="E119" s="949">
        <v>0</v>
      </c>
      <c r="F119" s="581">
        <v>0</v>
      </c>
      <c r="G119" s="746" t="s">
        <v>1505</v>
      </c>
      <c r="H119" s="743">
        <v>1062.45</v>
      </c>
    </row>
    <row r="120" spans="1:8" s="560" customFormat="1" hidden="1">
      <c r="A120" s="604" t="s">
        <v>626</v>
      </c>
      <c r="B120" s="604" t="s">
        <v>1179</v>
      </c>
      <c r="C120" s="530" t="s">
        <v>1436</v>
      </c>
      <c r="D120" s="1013">
        <v>0</v>
      </c>
      <c r="E120" s="949">
        <v>0</v>
      </c>
      <c r="F120" s="581">
        <v>0</v>
      </c>
      <c r="G120" s="746" t="s">
        <v>1506</v>
      </c>
      <c r="H120" s="743">
        <v>851.11</v>
      </c>
    </row>
    <row r="121" spans="1:8" s="560" customFormat="1" hidden="1">
      <c r="A121" s="604" t="s">
        <v>627</v>
      </c>
      <c r="B121" s="604" t="s">
        <v>1180</v>
      </c>
      <c r="C121" s="679"/>
      <c r="D121" s="1013">
        <v>0</v>
      </c>
      <c r="E121" s="949">
        <v>0</v>
      </c>
      <c r="F121" s="581">
        <v>0</v>
      </c>
      <c r="G121" s="746"/>
      <c r="H121" s="743">
        <v>0</v>
      </c>
    </row>
    <row r="122" spans="1:8" s="560" customFormat="1" hidden="1">
      <c r="A122" s="604" t="s">
        <v>628</v>
      </c>
      <c r="B122" s="604" t="s">
        <v>1181</v>
      </c>
      <c r="C122" s="530" t="s">
        <v>39</v>
      </c>
      <c r="D122" s="1013">
        <v>0</v>
      </c>
      <c r="E122" s="949">
        <v>0</v>
      </c>
      <c r="F122" s="581">
        <v>0</v>
      </c>
      <c r="G122" s="746" t="s">
        <v>1507</v>
      </c>
      <c r="H122" s="743">
        <v>2.66</v>
      </c>
    </row>
    <row r="123" spans="1:8" s="560" customFormat="1" hidden="1">
      <c r="A123" s="604" t="s">
        <v>629</v>
      </c>
      <c r="B123" s="604" t="s">
        <v>1182</v>
      </c>
      <c r="C123" s="530" t="s">
        <v>36</v>
      </c>
      <c r="D123" s="1013">
        <v>0</v>
      </c>
      <c r="E123" s="949">
        <v>0</v>
      </c>
      <c r="F123" s="581">
        <v>0</v>
      </c>
      <c r="G123" s="746" t="s">
        <v>1498</v>
      </c>
      <c r="H123" s="743">
        <v>35.44</v>
      </c>
    </row>
    <row r="124" spans="1:8" s="560" customFormat="1" hidden="1">
      <c r="A124" s="604" t="s">
        <v>630</v>
      </c>
      <c r="B124" s="604" t="s">
        <v>1183</v>
      </c>
      <c r="C124" s="530" t="s">
        <v>47</v>
      </c>
      <c r="D124" s="1013">
        <v>0</v>
      </c>
      <c r="E124" s="949">
        <v>0</v>
      </c>
      <c r="F124" s="581">
        <v>0</v>
      </c>
      <c r="G124" s="746" t="s">
        <v>1508</v>
      </c>
      <c r="H124" s="743">
        <v>179.59</v>
      </c>
    </row>
    <row r="125" spans="1:8" s="560" customFormat="1" hidden="1">
      <c r="A125" s="607" t="s">
        <v>631</v>
      </c>
      <c r="B125" s="607" t="s">
        <v>1184</v>
      </c>
      <c r="C125" s="679"/>
      <c r="D125" s="1013">
        <v>0</v>
      </c>
      <c r="E125" s="949">
        <v>0</v>
      </c>
      <c r="F125" s="581">
        <v>0</v>
      </c>
      <c r="G125" s="746"/>
      <c r="H125" s="743">
        <v>0</v>
      </c>
    </row>
    <row r="126" spans="1:8" s="560" customFormat="1" hidden="1">
      <c r="A126" s="604" t="s">
        <v>632</v>
      </c>
      <c r="B126" s="604" t="s">
        <v>1185</v>
      </c>
      <c r="C126" s="530" t="s">
        <v>37</v>
      </c>
      <c r="D126" s="1013">
        <v>0</v>
      </c>
      <c r="E126" s="949">
        <v>0</v>
      </c>
      <c r="F126" s="581">
        <v>0</v>
      </c>
      <c r="G126" s="746" t="s">
        <v>1509</v>
      </c>
      <c r="H126" s="743">
        <v>158.4</v>
      </c>
    </row>
    <row r="127" spans="1:8" s="560" customFormat="1" hidden="1">
      <c r="A127" s="607" t="s">
        <v>633</v>
      </c>
      <c r="B127" s="607" t="s">
        <v>1186</v>
      </c>
      <c r="C127" s="690"/>
      <c r="D127" s="1013">
        <v>0</v>
      </c>
      <c r="E127" s="949">
        <v>0</v>
      </c>
      <c r="F127" s="581">
        <v>0</v>
      </c>
      <c r="G127" s="747"/>
      <c r="H127" s="743">
        <v>0</v>
      </c>
    </row>
    <row r="128" spans="1:8" s="560" customFormat="1" hidden="1">
      <c r="A128" s="604" t="s">
        <v>634</v>
      </c>
      <c r="B128" s="604" t="s">
        <v>1187</v>
      </c>
      <c r="C128" s="530" t="s">
        <v>37</v>
      </c>
      <c r="D128" s="1013">
        <v>0</v>
      </c>
      <c r="E128" s="949">
        <v>0</v>
      </c>
      <c r="F128" s="581">
        <v>0</v>
      </c>
      <c r="G128" s="747" t="s">
        <v>1510</v>
      </c>
      <c r="H128" s="743">
        <v>83.2</v>
      </c>
    </row>
    <row r="129" spans="1:8" s="560" customFormat="1" hidden="1">
      <c r="A129" s="604" t="s">
        <v>635</v>
      </c>
      <c r="B129" s="604" t="s">
        <v>224</v>
      </c>
      <c r="C129" s="530" t="s">
        <v>1436</v>
      </c>
      <c r="D129" s="1013">
        <v>0</v>
      </c>
      <c r="E129" s="949">
        <v>0</v>
      </c>
      <c r="F129" s="581">
        <v>0</v>
      </c>
      <c r="G129" s="746" t="s">
        <v>1479</v>
      </c>
      <c r="H129" s="743">
        <v>15</v>
      </c>
    </row>
    <row r="130" spans="1:8" s="560" customFormat="1">
      <c r="A130" s="492" t="s">
        <v>51</v>
      </c>
      <c r="B130" s="608" t="s">
        <v>1195</v>
      </c>
      <c r="C130" s="679"/>
      <c r="D130" s="1013">
        <v>0</v>
      </c>
      <c r="E130" s="949">
        <v>0</v>
      </c>
      <c r="F130" s="581">
        <v>0</v>
      </c>
      <c r="G130" s="746"/>
      <c r="H130" s="743">
        <v>0</v>
      </c>
    </row>
    <row r="131" spans="1:8" s="560" customFormat="1">
      <c r="A131" s="607" t="s">
        <v>55</v>
      </c>
      <c r="B131" s="607" t="s">
        <v>45</v>
      </c>
      <c r="C131" s="690"/>
      <c r="D131" s="1013">
        <v>0</v>
      </c>
      <c r="E131" s="949">
        <v>0</v>
      </c>
      <c r="F131" s="581">
        <v>0</v>
      </c>
      <c r="G131" s="746" t="s">
        <v>1511</v>
      </c>
      <c r="H131" s="743">
        <v>28.51</v>
      </c>
    </row>
    <row r="132" spans="1:8" s="560" customFormat="1">
      <c r="A132" s="604" t="s">
        <v>638</v>
      </c>
      <c r="B132" s="604" t="s">
        <v>1144</v>
      </c>
      <c r="C132" s="614" t="s">
        <v>39</v>
      </c>
      <c r="D132" s="1059">
        <v>4.5</v>
      </c>
      <c r="E132" s="949">
        <v>0</v>
      </c>
      <c r="F132" s="581">
        <v>4.5</v>
      </c>
      <c r="G132" s="746" t="s">
        <v>1514</v>
      </c>
      <c r="H132" s="743">
        <v>67.83</v>
      </c>
    </row>
    <row r="133" spans="1:8" s="560" customFormat="1">
      <c r="A133" s="604" t="s">
        <v>639</v>
      </c>
      <c r="B133" s="604" t="s">
        <v>1145</v>
      </c>
      <c r="C133" s="614" t="s">
        <v>36</v>
      </c>
      <c r="D133" s="1059">
        <v>55.87</v>
      </c>
      <c r="E133" s="949">
        <v>0</v>
      </c>
      <c r="F133" s="581">
        <v>55.87</v>
      </c>
      <c r="G133" s="746" t="s">
        <v>1515</v>
      </c>
      <c r="H133" s="743">
        <v>-38.679999999999993</v>
      </c>
    </row>
    <row r="134" spans="1:8" s="560" customFormat="1" hidden="1">
      <c r="A134" s="607" t="s">
        <v>56</v>
      </c>
      <c r="B134" s="607" t="s">
        <v>1148</v>
      </c>
      <c r="C134" s="690"/>
      <c r="D134" s="1013">
        <v>0</v>
      </c>
      <c r="E134" s="949">
        <v>0</v>
      </c>
      <c r="F134" s="581">
        <v>0</v>
      </c>
      <c r="G134" s="747" t="s">
        <v>1516</v>
      </c>
      <c r="H134" s="743">
        <v>23.07</v>
      </c>
    </row>
    <row r="135" spans="1:8" s="560" customFormat="1" hidden="1">
      <c r="A135" s="604" t="s">
        <v>642</v>
      </c>
      <c r="B135" s="604" t="s">
        <v>1189</v>
      </c>
      <c r="C135" s="614" t="s">
        <v>36</v>
      </c>
      <c r="D135" s="1013">
        <v>0</v>
      </c>
      <c r="E135" s="949">
        <v>0</v>
      </c>
      <c r="F135" s="581">
        <v>0</v>
      </c>
      <c r="G135" s="746" t="s">
        <v>1517</v>
      </c>
      <c r="H135" s="743">
        <v>10.4</v>
      </c>
    </row>
    <row r="136" spans="1:8" s="897" customFormat="1" hidden="1">
      <c r="A136" s="886" t="s">
        <v>643</v>
      </c>
      <c r="B136" s="886" t="s">
        <v>1190</v>
      </c>
      <c r="C136" s="900" t="s">
        <v>39</v>
      </c>
      <c r="D136" s="1013">
        <v>0</v>
      </c>
      <c r="E136" s="949">
        <v>0</v>
      </c>
      <c r="F136" s="581">
        <v>0</v>
      </c>
      <c r="G136" s="895" t="s">
        <v>1518</v>
      </c>
      <c r="H136" s="896">
        <v>2.1800000000000002</v>
      </c>
    </row>
    <row r="137" spans="1:8" s="897" customFormat="1" hidden="1">
      <c r="A137" s="886" t="s">
        <v>644</v>
      </c>
      <c r="B137" s="886" t="s">
        <v>1191</v>
      </c>
      <c r="C137" s="900" t="s">
        <v>39</v>
      </c>
      <c r="D137" s="1013">
        <v>0</v>
      </c>
      <c r="E137" s="949">
        <v>0</v>
      </c>
      <c r="F137" s="581">
        <v>0</v>
      </c>
      <c r="G137" s="895" t="s">
        <v>1519</v>
      </c>
      <c r="H137" s="896">
        <v>29.03</v>
      </c>
    </row>
    <row r="138" spans="1:8" s="560" customFormat="1" hidden="1">
      <c r="A138" s="604" t="s">
        <v>645</v>
      </c>
      <c r="B138" s="604" t="s">
        <v>1153</v>
      </c>
      <c r="C138" s="614" t="s">
        <v>36</v>
      </c>
      <c r="D138" s="1013">
        <v>0</v>
      </c>
      <c r="E138" s="949">
        <v>0</v>
      </c>
      <c r="F138" s="581">
        <v>0</v>
      </c>
      <c r="G138" s="746" t="s">
        <v>1514</v>
      </c>
      <c r="H138" s="743">
        <v>72.33</v>
      </c>
    </row>
    <row r="139" spans="1:8" s="560" customFormat="1" hidden="1">
      <c r="A139" s="604" t="s">
        <v>646</v>
      </c>
      <c r="B139" s="604" t="s">
        <v>1154</v>
      </c>
      <c r="C139" s="614" t="s">
        <v>36</v>
      </c>
      <c r="D139" s="1013">
        <v>0</v>
      </c>
      <c r="E139" s="949">
        <v>0</v>
      </c>
      <c r="F139" s="581">
        <v>0</v>
      </c>
      <c r="G139" s="746"/>
      <c r="H139" s="743">
        <v>0</v>
      </c>
    </row>
    <row r="140" spans="1:8" s="560" customFormat="1">
      <c r="A140" s="607" t="s">
        <v>647</v>
      </c>
      <c r="B140" s="607" t="s">
        <v>1155</v>
      </c>
      <c r="C140" s="690"/>
      <c r="D140" s="1013">
        <v>0</v>
      </c>
      <c r="E140" s="949">
        <v>0</v>
      </c>
      <c r="F140" s="581">
        <v>0</v>
      </c>
      <c r="G140" s="746"/>
      <c r="H140" s="743">
        <v>0</v>
      </c>
    </row>
    <row r="141" spans="1:8" s="560" customFormat="1" hidden="1">
      <c r="A141" s="604" t="s">
        <v>648</v>
      </c>
      <c r="B141" s="604" t="s">
        <v>1156</v>
      </c>
      <c r="C141" s="690"/>
      <c r="D141" s="1013">
        <v>0</v>
      </c>
      <c r="E141" s="949">
        <v>0</v>
      </c>
      <c r="F141" s="581">
        <v>0</v>
      </c>
      <c r="G141" s="746" t="s">
        <v>1520</v>
      </c>
      <c r="H141" s="743">
        <v>6.34</v>
      </c>
    </row>
    <row r="142" spans="1:8" s="560" customFormat="1" hidden="1">
      <c r="A142" s="604" t="s">
        <v>649</v>
      </c>
      <c r="B142" s="604" t="s">
        <v>1192</v>
      </c>
      <c r="C142" s="614" t="s">
        <v>39</v>
      </c>
      <c r="D142" s="1013">
        <v>0</v>
      </c>
      <c r="E142" s="949">
        <v>0</v>
      </c>
      <c r="F142" s="581">
        <v>0</v>
      </c>
      <c r="G142" s="746" t="s">
        <v>1521</v>
      </c>
      <c r="H142" s="743">
        <v>264.95999999999998</v>
      </c>
    </row>
    <row r="143" spans="1:8" s="560" customFormat="1" hidden="1">
      <c r="A143" s="604" t="s">
        <v>650</v>
      </c>
      <c r="B143" s="604" t="s">
        <v>1158</v>
      </c>
      <c r="C143" s="614" t="s">
        <v>47</v>
      </c>
      <c r="D143" s="1013">
        <v>0</v>
      </c>
      <c r="E143" s="949">
        <v>0</v>
      </c>
      <c r="F143" s="581">
        <v>0</v>
      </c>
      <c r="G143" s="746"/>
      <c r="H143" s="743">
        <v>0</v>
      </c>
    </row>
    <row r="144" spans="1:8" s="560" customFormat="1" hidden="1">
      <c r="A144" s="604" t="s">
        <v>651</v>
      </c>
      <c r="B144" s="604" t="s">
        <v>1159</v>
      </c>
      <c r="C144" s="690"/>
      <c r="D144" s="1013">
        <v>0</v>
      </c>
      <c r="E144" s="949">
        <v>0</v>
      </c>
      <c r="F144" s="581">
        <v>0</v>
      </c>
      <c r="G144" s="746" t="s">
        <v>1522</v>
      </c>
      <c r="H144" s="743">
        <v>3.77</v>
      </c>
    </row>
    <row r="145" spans="1:8" s="560" customFormat="1" hidden="1">
      <c r="A145" s="604" t="s">
        <v>652</v>
      </c>
      <c r="B145" s="604" t="s">
        <v>1193</v>
      </c>
      <c r="C145" s="614" t="s">
        <v>39</v>
      </c>
      <c r="D145" s="1013">
        <v>0</v>
      </c>
      <c r="E145" s="949">
        <v>0</v>
      </c>
      <c r="F145" s="581">
        <v>0</v>
      </c>
      <c r="G145" s="746" t="s">
        <v>1523</v>
      </c>
      <c r="H145" s="743">
        <v>30.18</v>
      </c>
    </row>
    <row r="146" spans="1:8" s="560" customFormat="1" hidden="1">
      <c r="A146" s="604" t="s">
        <v>653</v>
      </c>
      <c r="B146" s="604" t="s">
        <v>1161</v>
      </c>
      <c r="C146" s="614" t="s">
        <v>36</v>
      </c>
      <c r="D146" s="1013">
        <v>0</v>
      </c>
      <c r="E146" s="949">
        <v>0</v>
      </c>
      <c r="F146" s="581">
        <v>0</v>
      </c>
      <c r="G146" s="746" t="s">
        <v>1524</v>
      </c>
      <c r="H146" s="743">
        <v>365.33</v>
      </c>
    </row>
    <row r="147" spans="1:8" s="560" customFormat="1" ht="13.2" hidden="1" customHeight="1">
      <c r="A147" s="604" t="s">
        <v>654</v>
      </c>
      <c r="B147" s="604" t="s">
        <v>1162</v>
      </c>
      <c r="C147" s="614" t="s">
        <v>47</v>
      </c>
      <c r="D147" s="1013">
        <v>0</v>
      </c>
      <c r="E147" s="949">
        <v>0</v>
      </c>
      <c r="F147" s="581">
        <v>0</v>
      </c>
      <c r="G147" s="746"/>
      <c r="H147" s="743">
        <v>0</v>
      </c>
    </row>
    <row r="148" spans="1:8" s="560" customFormat="1" ht="13.2" hidden="1" customHeight="1">
      <c r="A148" s="604" t="s">
        <v>655</v>
      </c>
      <c r="B148" s="604" t="s">
        <v>1163</v>
      </c>
      <c r="C148" s="614"/>
      <c r="D148" s="1013">
        <v>0</v>
      </c>
      <c r="E148" s="949">
        <v>0</v>
      </c>
      <c r="F148" s="581">
        <v>0</v>
      </c>
      <c r="G148" s="746" t="s">
        <v>1525</v>
      </c>
      <c r="H148" s="743">
        <v>6.4</v>
      </c>
    </row>
    <row r="149" spans="1:8" s="560" customFormat="1" ht="13.2" hidden="1" customHeight="1">
      <c r="A149" s="604" t="s">
        <v>656</v>
      </c>
      <c r="B149" s="604" t="s">
        <v>1194</v>
      </c>
      <c r="C149" s="614" t="s">
        <v>39</v>
      </c>
      <c r="D149" s="1013">
        <v>0</v>
      </c>
      <c r="E149" s="949">
        <v>0</v>
      </c>
      <c r="F149" s="581">
        <v>0</v>
      </c>
      <c r="G149" s="746" t="s">
        <v>1526</v>
      </c>
      <c r="H149" s="743">
        <v>76.7</v>
      </c>
    </row>
    <row r="150" spans="1:8" s="560" customFormat="1" ht="13.2" hidden="1" customHeight="1">
      <c r="A150" s="604" t="s">
        <v>657</v>
      </c>
      <c r="B150" s="604" t="s">
        <v>1165</v>
      </c>
      <c r="C150" s="614" t="s">
        <v>36</v>
      </c>
      <c r="D150" s="1013">
        <v>0</v>
      </c>
      <c r="E150" s="949">
        <v>0</v>
      </c>
      <c r="F150" s="581">
        <v>0</v>
      </c>
      <c r="G150" s="746" t="s">
        <v>1527</v>
      </c>
      <c r="H150" s="743">
        <v>1929.18</v>
      </c>
    </row>
    <row r="151" spans="1:8" s="560" customFormat="1" ht="13.2" hidden="1" customHeight="1">
      <c r="A151" s="604" t="s">
        <v>658</v>
      </c>
      <c r="B151" s="604" t="s">
        <v>1166</v>
      </c>
      <c r="C151" s="614" t="s">
        <v>47</v>
      </c>
      <c r="D151" s="1013">
        <v>0</v>
      </c>
      <c r="E151" s="949">
        <v>0</v>
      </c>
      <c r="F151" s="581">
        <v>0</v>
      </c>
      <c r="G151" s="746"/>
      <c r="H151" s="743">
        <v>0</v>
      </c>
    </row>
    <row r="152" spans="1:8" s="560" customFormat="1" ht="13.2" customHeight="1">
      <c r="A152" s="604" t="s">
        <v>659</v>
      </c>
      <c r="B152" s="604" t="s">
        <v>1167</v>
      </c>
      <c r="C152" s="690"/>
      <c r="D152" s="1013">
        <v>0</v>
      </c>
      <c r="E152" s="949">
        <v>0</v>
      </c>
      <c r="F152" s="581">
        <v>0</v>
      </c>
      <c r="G152" s="746" t="s">
        <v>1528</v>
      </c>
      <c r="H152" s="743">
        <v>3.44</v>
      </c>
    </row>
    <row r="153" spans="1:8" s="560" customFormat="1" ht="13.2" customHeight="1">
      <c r="A153" s="604" t="s">
        <v>660</v>
      </c>
      <c r="B153" s="604" t="s">
        <v>1168</v>
      </c>
      <c r="C153" s="614" t="s">
        <v>39</v>
      </c>
      <c r="D153" s="1059">
        <v>0.45</v>
      </c>
      <c r="E153" s="949">
        <v>0</v>
      </c>
      <c r="F153" s="581">
        <v>0.45</v>
      </c>
      <c r="G153" s="746" t="s">
        <v>1529</v>
      </c>
      <c r="H153" s="743">
        <v>21.01</v>
      </c>
    </row>
    <row r="154" spans="1:8" s="560" customFormat="1" ht="13.2" customHeight="1">
      <c r="A154" s="604" t="s">
        <v>661</v>
      </c>
      <c r="B154" s="604" t="s">
        <v>1169</v>
      </c>
      <c r="C154" s="614" t="s">
        <v>36</v>
      </c>
      <c r="D154" s="1059">
        <v>17.39</v>
      </c>
      <c r="E154" s="949">
        <v>0</v>
      </c>
      <c r="F154" s="581">
        <v>17.39</v>
      </c>
      <c r="G154" s="746" t="s">
        <v>1530</v>
      </c>
      <c r="H154" s="743">
        <v>285.51</v>
      </c>
    </row>
    <row r="155" spans="1:8" s="560" customFormat="1" ht="13.2" hidden="1" customHeight="1">
      <c r="A155" s="604" t="s">
        <v>663</v>
      </c>
      <c r="B155" s="604" t="s">
        <v>1171</v>
      </c>
      <c r="C155" s="690"/>
      <c r="D155" s="1013">
        <v>0</v>
      </c>
      <c r="E155" s="949">
        <v>0</v>
      </c>
      <c r="F155" s="581">
        <v>0</v>
      </c>
      <c r="G155" s="746" t="s">
        <v>1531</v>
      </c>
      <c r="H155" s="743">
        <v>11.56</v>
      </c>
    </row>
    <row r="156" spans="1:8" s="560" customFormat="1" ht="13.2" hidden="1" customHeight="1">
      <c r="A156" s="604" t="s">
        <v>664</v>
      </c>
      <c r="B156" s="604" t="s">
        <v>1172</v>
      </c>
      <c r="C156" s="614" t="s">
        <v>39</v>
      </c>
      <c r="D156" s="1013">
        <v>0</v>
      </c>
      <c r="E156" s="949">
        <v>0</v>
      </c>
      <c r="F156" s="581">
        <v>0</v>
      </c>
      <c r="G156" s="746" t="s">
        <v>1532</v>
      </c>
      <c r="H156" s="743">
        <v>101.84</v>
      </c>
    </row>
    <row r="157" spans="1:8" s="560" customFormat="1" ht="13.2" hidden="1" customHeight="1">
      <c r="A157" s="604" t="s">
        <v>665</v>
      </c>
      <c r="B157" s="604" t="s">
        <v>1173</v>
      </c>
      <c r="C157" s="614" t="s">
        <v>36</v>
      </c>
      <c r="D157" s="1013">
        <v>0</v>
      </c>
      <c r="E157" s="949">
        <v>0</v>
      </c>
      <c r="F157" s="581">
        <v>0</v>
      </c>
      <c r="G157" s="746" t="s">
        <v>1533</v>
      </c>
      <c r="H157" s="743">
        <v>1333.5</v>
      </c>
    </row>
    <row r="158" spans="1:8" s="560" customFormat="1" ht="13.2" hidden="1" customHeight="1">
      <c r="A158" s="604" t="s">
        <v>666</v>
      </c>
      <c r="B158" s="604" t="s">
        <v>1174</v>
      </c>
      <c r="C158" s="614" t="s">
        <v>47</v>
      </c>
      <c r="D158" s="1013">
        <v>0</v>
      </c>
      <c r="E158" s="949">
        <v>0</v>
      </c>
      <c r="F158" s="581">
        <v>0</v>
      </c>
      <c r="G158" s="746"/>
      <c r="H158" s="743">
        <v>0</v>
      </c>
    </row>
    <row r="159" spans="1:8" s="560" customFormat="1" ht="13.2" hidden="1" customHeight="1">
      <c r="A159" s="604" t="s">
        <v>667</v>
      </c>
      <c r="B159" s="604" t="s">
        <v>1175</v>
      </c>
      <c r="C159" s="690"/>
      <c r="D159" s="1013">
        <v>0</v>
      </c>
      <c r="E159" s="949">
        <v>0</v>
      </c>
      <c r="F159" s="581">
        <v>0</v>
      </c>
      <c r="G159" s="746" t="s">
        <v>1534</v>
      </c>
      <c r="H159" s="743">
        <v>13.47</v>
      </c>
    </row>
    <row r="160" spans="1:8" s="560" customFormat="1" ht="13.2" hidden="1" customHeight="1">
      <c r="A160" s="604" t="s">
        <v>668</v>
      </c>
      <c r="B160" s="604" t="s">
        <v>1176</v>
      </c>
      <c r="C160" s="614" t="s">
        <v>39</v>
      </c>
      <c r="D160" s="1013">
        <v>0</v>
      </c>
      <c r="E160" s="949">
        <v>0</v>
      </c>
      <c r="F160" s="581">
        <v>0</v>
      </c>
      <c r="G160" s="746" t="s">
        <v>1535</v>
      </c>
      <c r="H160" s="743">
        <v>153.93</v>
      </c>
    </row>
    <row r="161" spans="1:8" s="560" customFormat="1" ht="13.2" hidden="1" customHeight="1">
      <c r="A161" s="604" t="s">
        <v>669</v>
      </c>
      <c r="B161" s="604" t="s">
        <v>1177</v>
      </c>
      <c r="C161" s="614" t="s">
        <v>36</v>
      </c>
      <c r="D161" s="1013">
        <v>0</v>
      </c>
      <c r="E161" s="949">
        <v>0</v>
      </c>
      <c r="F161" s="581">
        <v>0</v>
      </c>
      <c r="G161" s="746" t="s">
        <v>1536</v>
      </c>
      <c r="H161" s="743">
        <v>1781.46</v>
      </c>
    </row>
    <row r="162" spans="1:8" s="560" customFormat="1" ht="13.2" hidden="1" customHeight="1">
      <c r="A162" s="604" t="s">
        <v>670</v>
      </c>
      <c r="B162" s="604" t="s">
        <v>1178</v>
      </c>
      <c r="C162" s="614" t="s">
        <v>47</v>
      </c>
      <c r="D162" s="1013">
        <v>0</v>
      </c>
      <c r="E162" s="949">
        <v>0</v>
      </c>
      <c r="F162" s="581">
        <v>0</v>
      </c>
      <c r="G162" s="746" t="s">
        <v>1537</v>
      </c>
      <c r="H162" s="743">
        <v>1146.1400000000001</v>
      </c>
    </row>
    <row r="163" spans="1:8" s="560" customFormat="1" ht="13.2" hidden="1" customHeight="1">
      <c r="A163" s="604" t="s">
        <v>671</v>
      </c>
      <c r="B163" s="604" t="s">
        <v>1179</v>
      </c>
      <c r="C163" s="614" t="s">
        <v>1436</v>
      </c>
      <c r="D163" s="1013">
        <v>0</v>
      </c>
      <c r="E163" s="949">
        <v>0</v>
      </c>
      <c r="F163" s="581">
        <v>0</v>
      </c>
      <c r="G163" s="746"/>
      <c r="H163" s="743">
        <v>0</v>
      </c>
    </row>
    <row r="164" spans="1:8" s="560" customFormat="1" ht="13.2" hidden="1" customHeight="1">
      <c r="A164" s="604" t="s">
        <v>672</v>
      </c>
      <c r="B164" s="604" t="s">
        <v>1180</v>
      </c>
      <c r="C164" s="690"/>
      <c r="D164" s="1013">
        <v>0</v>
      </c>
      <c r="E164" s="949">
        <v>0</v>
      </c>
      <c r="F164" s="581">
        <v>0</v>
      </c>
      <c r="G164" s="746" t="s">
        <v>1538</v>
      </c>
      <c r="H164" s="743">
        <v>2.57</v>
      </c>
    </row>
    <row r="165" spans="1:8" s="560" customFormat="1" ht="13.2" hidden="1" customHeight="1">
      <c r="A165" s="604" t="s">
        <v>673</v>
      </c>
      <c r="B165" s="604" t="s">
        <v>1181</v>
      </c>
      <c r="C165" s="614" t="s">
        <v>39</v>
      </c>
      <c r="D165" s="1013">
        <v>0</v>
      </c>
      <c r="E165" s="949">
        <v>0</v>
      </c>
      <c r="F165" s="581">
        <v>0</v>
      </c>
      <c r="G165" s="746" t="s">
        <v>1480</v>
      </c>
      <c r="H165" s="743">
        <v>34.270000000000003</v>
      </c>
    </row>
    <row r="166" spans="1:8" s="560" customFormat="1" ht="13.2" hidden="1" customHeight="1">
      <c r="A166" s="604" t="s">
        <v>674</v>
      </c>
      <c r="B166" s="604" t="s">
        <v>1182</v>
      </c>
      <c r="C166" s="614" t="s">
        <v>36</v>
      </c>
      <c r="D166" s="1013">
        <v>0</v>
      </c>
      <c r="E166" s="949">
        <v>0</v>
      </c>
      <c r="F166" s="581">
        <v>0</v>
      </c>
      <c r="G166" s="746" t="s">
        <v>1539</v>
      </c>
      <c r="H166" s="743">
        <v>178.66</v>
      </c>
    </row>
    <row r="167" spans="1:8" s="560" customFormat="1" ht="13.2" hidden="1" customHeight="1">
      <c r="A167" s="604" t="s">
        <v>675</v>
      </c>
      <c r="B167" s="604" t="s">
        <v>1183</v>
      </c>
      <c r="C167" s="614" t="s">
        <v>47</v>
      </c>
      <c r="D167" s="1013">
        <v>0</v>
      </c>
      <c r="E167" s="949">
        <v>0</v>
      </c>
      <c r="F167" s="581">
        <v>0</v>
      </c>
      <c r="G167" s="746"/>
      <c r="H167" s="743">
        <v>0</v>
      </c>
    </row>
    <row r="168" spans="1:8" s="560" customFormat="1" ht="13.2" hidden="1" customHeight="1">
      <c r="A168" s="607" t="s">
        <v>676</v>
      </c>
      <c r="B168" s="607" t="s">
        <v>1184</v>
      </c>
      <c r="C168" s="690"/>
      <c r="D168" s="1013">
        <v>0</v>
      </c>
      <c r="E168" s="949">
        <v>0</v>
      </c>
      <c r="F168" s="581">
        <v>0</v>
      </c>
      <c r="G168" s="746" t="s">
        <v>1540</v>
      </c>
      <c r="H168" s="743">
        <v>377.52</v>
      </c>
    </row>
    <row r="169" spans="1:8" s="560" customFormat="1" ht="13.2" hidden="1" customHeight="1">
      <c r="A169" s="604" t="s">
        <v>677</v>
      </c>
      <c r="B169" s="604" t="s">
        <v>1185</v>
      </c>
      <c r="C169" s="614" t="s">
        <v>37</v>
      </c>
      <c r="D169" s="1013">
        <v>0</v>
      </c>
      <c r="E169" s="949">
        <v>0</v>
      </c>
      <c r="F169" s="581">
        <v>0</v>
      </c>
      <c r="G169" s="746"/>
      <c r="H169" s="743">
        <v>0</v>
      </c>
    </row>
    <row r="170" spans="1:8" s="560" customFormat="1" ht="13.2" hidden="1" customHeight="1">
      <c r="A170" s="607" t="s">
        <v>678</v>
      </c>
      <c r="B170" s="607" t="s">
        <v>1186</v>
      </c>
      <c r="C170" s="614"/>
      <c r="D170" s="1013">
        <v>0</v>
      </c>
      <c r="E170" s="949">
        <v>0</v>
      </c>
      <c r="F170" s="581">
        <v>0</v>
      </c>
      <c r="G170" s="746" t="s">
        <v>1541</v>
      </c>
      <c r="H170" s="743">
        <v>75.400000000000006</v>
      </c>
    </row>
    <row r="171" spans="1:8" s="560" customFormat="1" ht="13.2" hidden="1" customHeight="1">
      <c r="A171" s="604" t="s">
        <v>679</v>
      </c>
      <c r="B171" s="604" t="s">
        <v>1187</v>
      </c>
      <c r="C171" s="614" t="s">
        <v>37</v>
      </c>
      <c r="D171" s="1013">
        <v>0</v>
      </c>
      <c r="E171" s="949">
        <v>0</v>
      </c>
      <c r="F171" s="581">
        <v>0</v>
      </c>
      <c r="G171" s="746" t="s">
        <v>1479</v>
      </c>
      <c r="H171" s="743">
        <v>15</v>
      </c>
    </row>
    <row r="172" spans="1:8" s="560" customFormat="1" ht="13.2" hidden="1" customHeight="1">
      <c r="A172" s="604" t="s">
        <v>680</v>
      </c>
      <c r="B172" s="604" t="s">
        <v>224</v>
      </c>
      <c r="C172" s="614" t="s">
        <v>1436</v>
      </c>
      <c r="D172" s="1013">
        <v>0</v>
      </c>
      <c r="E172" s="949">
        <v>0</v>
      </c>
      <c r="F172" s="581">
        <v>0</v>
      </c>
      <c r="G172" s="746"/>
      <c r="H172" s="743">
        <v>0</v>
      </c>
    </row>
    <row r="173" spans="1:8" s="560" customFormat="1" ht="13.2" customHeight="1">
      <c r="A173" s="492" t="s">
        <v>502</v>
      </c>
      <c r="B173" s="608" t="s">
        <v>1196</v>
      </c>
      <c r="C173" s="690"/>
      <c r="D173" s="1013">
        <v>0</v>
      </c>
      <c r="E173" s="949">
        <v>0</v>
      </c>
      <c r="F173" s="581">
        <v>0</v>
      </c>
      <c r="G173" s="746"/>
      <c r="H173" s="743">
        <v>0</v>
      </c>
    </row>
    <row r="174" spans="1:8" s="560" customFormat="1" ht="13.2" customHeight="1">
      <c r="A174" s="607" t="s">
        <v>503</v>
      </c>
      <c r="B174" s="607" t="s">
        <v>45</v>
      </c>
      <c r="C174" s="690"/>
      <c r="D174" s="1013">
        <v>0</v>
      </c>
      <c r="E174" s="949">
        <v>0</v>
      </c>
      <c r="F174" s="581">
        <v>0</v>
      </c>
      <c r="G174" s="746" t="s">
        <v>1542</v>
      </c>
      <c r="H174" s="743">
        <v>39.86</v>
      </c>
    </row>
    <row r="175" spans="1:8" s="560" customFormat="1" ht="13.2" customHeight="1">
      <c r="A175" s="604" t="s">
        <v>683</v>
      </c>
      <c r="B175" s="604" t="s">
        <v>1144</v>
      </c>
      <c r="C175" s="614" t="s">
        <v>39</v>
      </c>
      <c r="D175" s="1059">
        <v>4.16</v>
      </c>
      <c r="E175" s="949">
        <v>0</v>
      </c>
      <c r="F175" s="581">
        <v>4.16</v>
      </c>
      <c r="G175" s="746" t="s">
        <v>1545</v>
      </c>
      <c r="H175" s="743">
        <v>17.87</v>
      </c>
    </row>
    <row r="176" spans="1:8" s="560" customFormat="1" ht="13.2" customHeight="1" thickBot="1">
      <c r="A176" s="604" t="s">
        <v>684</v>
      </c>
      <c r="B176" s="604" t="s">
        <v>1145</v>
      </c>
      <c r="C176" s="614" t="s">
        <v>36</v>
      </c>
      <c r="D176" s="1059">
        <v>4.76</v>
      </c>
      <c r="E176" s="949">
        <v>0</v>
      </c>
      <c r="F176" s="581">
        <v>4.76</v>
      </c>
      <c r="G176" s="746" t="s">
        <v>1546</v>
      </c>
      <c r="H176" s="743">
        <v>36.800000000000004</v>
      </c>
    </row>
    <row r="177" spans="1:8" s="560" customFormat="1" ht="13.2" hidden="1" customHeight="1">
      <c r="A177" s="607" t="s">
        <v>687</v>
      </c>
      <c r="B177" s="607" t="s">
        <v>1148</v>
      </c>
      <c r="C177" s="690"/>
      <c r="D177" s="1013">
        <v>0</v>
      </c>
      <c r="E177" s="949">
        <v>0</v>
      </c>
      <c r="F177" s="581">
        <v>0</v>
      </c>
      <c r="G177" s="746" t="s">
        <v>1547</v>
      </c>
      <c r="H177" s="743">
        <v>20.28</v>
      </c>
    </row>
    <row r="178" spans="1:8" s="560" customFormat="1" ht="13.2" hidden="1" customHeight="1">
      <c r="A178" s="604" t="s">
        <v>688</v>
      </c>
      <c r="B178" s="604" t="s">
        <v>1149</v>
      </c>
      <c r="C178" s="614" t="s">
        <v>39</v>
      </c>
      <c r="D178" s="1013">
        <v>0</v>
      </c>
      <c r="E178" s="949">
        <v>0</v>
      </c>
      <c r="F178" s="581">
        <v>0</v>
      </c>
      <c r="G178" s="746" t="s">
        <v>1548</v>
      </c>
      <c r="H178" s="743">
        <v>14.79</v>
      </c>
    </row>
    <row r="179" spans="1:8" s="560" customFormat="1" ht="13.2" hidden="1" customHeight="1">
      <c r="A179" s="604" t="s">
        <v>689</v>
      </c>
      <c r="B179" s="604" t="s">
        <v>1189</v>
      </c>
      <c r="C179" s="614" t="s">
        <v>36</v>
      </c>
      <c r="D179" s="1013">
        <v>0</v>
      </c>
      <c r="E179" s="949">
        <v>0</v>
      </c>
      <c r="F179" s="581">
        <v>0</v>
      </c>
      <c r="G179" s="746" t="s">
        <v>1549</v>
      </c>
      <c r="H179" s="743">
        <v>3.22</v>
      </c>
    </row>
    <row r="180" spans="1:8" s="560" customFormat="1" ht="13.2" hidden="1" customHeight="1">
      <c r="A180" s="604" t="s">
        <v>690</v>
      </c>
      <c r="B180" s="604" t="s">
        <v>1190</v>
      </c>
      <c r="C180" s="614" t="s">
        <v>39</v>
      </c>
      <c r="D180" s="1013">
        <v>0</v>
      </c>
      <c r="E180" s="949">
        <v>0</v>
      </c>
      <c r="F180" s="581">
        <v>0</v>
      </c>
      <c r="G180" s="746" t="s">
        <v>1550</v>
      </c>
      <c r="H180" s="743">
        <v>1.61</v>
      </c>
    </row>
    <row r="181" spans="1:8" s="560" customFormat="1" ht="13.2" hidden="1" customHeight="1">
      <c r="A181" s="604" t="s">
        <v>691</v>
      </c>
      <c r="B181" s="604" t="s">
        <v>1191</v>
      </c>
      <c r="C181" s="614" t="s">
        <v>39</v>
      </c>
      <c r="D181" s="1013">
        <v>0</v>
      </c>
      <c r="E181" s="949">
        <v>0</v>
      </c>
      <c r="F181" s="581">
        <v>0</v>
      </c>
      <c r="G181" s="746" t="s">
        <v>1551</v>
      </c>
      <c r="H181" s="743">
        <v>42.4</v>
      </c>
    </row>
    <row r="182" spans="1:8" s="560" customFormat="1" ht="13.2" hidden="1" customHeight="1">
      <c r="A182" s="604" t="s">
        <v>692</v>
      </c>
      <c r="B182" s="604" t="s">
        <v>1153</v>
      </c>
      <c r="C182" s="614" t="s">
        <v>36</v>
      </c>
      <c r="D182" s="1013">
        <v>0</v>
      </c>
      <c r="E182" s="949">
        <v>0</v>
      </c>
      <c r="F182" s="581">
        <v>0</v>
      </c>
      <c r="G182" s="746" t="s">
        <v>1545</v>
      </c>
      <c r="H182" s="743">
        <v>22.03</v>
      </c>
    </row>
    <row r="183" spans="1:8" s="560" customFormat="1" ht="13.2" hidden="1" customHeight="1">
      <c r="A183" s="604" t="s">
        <v>693</v>
      </c>
      <c r="B183" s="604" t="s">
        <v>1154</v>
      </c>
      <c r="C183" s="614" t="s">
        <v>36</v>
      </c>
      <c r="D183" s="1013">
        <v>0</v>
      </c>
      <c r="E183" s="949">
        <v>0</v>
      </c>
      <c r="F183" s="581">
        <v>0</v>
      </c>
      <c r="G183" s="746"/>
      <c r="H183" s="743">
        <v>0</v>
      </c>
    </row>
    <row r="184" spans="1:8" s="560" customFormat="1" ht="13.2" hidden="1" customHeight="1">
      <c r="A184" s="607" t="s">
        <v>694</v>
      </c>
      <c r="B184" s="607" t="s">
        <v>1155</v>
      </c>
      <c r="C184" s="690"/>
      <c r="D184" s="1013">
        <v>0</v>
      </c>
      <c r="E184" s="949">
        <v>0</v>
      </c>
      <c r="F184" s="581">
        <v>0</v>
      </c>
      <c r="G184" s="746"/>
      <c r="H184" s="743">
        <v>0</v>
      </c>
    </row>
    <row r="185" spans="1:8" s="560" customFormat="1" ht="13.2" hidden="1" customHeight="1">
      <c r="A185" s="604" t="s">
        <v>695</v>
      </c>
      <c r="B185" s="604" t="s">
        <v>1156</v>
      </c>
      <c r="C185" s="690"/>
      <c r="D185" s="1013">
        <v>0</v>
      </c>
      <c r="E185" s="949">
        <v>0</v>
      </c>
      <c r="F185" s="581">
        <v>0</v>
      </c>
      <c r="G185" s="746" t="s">
        <v>1456</v>
      </c>
      <c r="H185" s="743">
        <v>4.6100000000000003</v>
      </c>
    </row>
    <row r="186" spans="1:8" s="560" customFormat="1" ht="13.2" hidden="1" customHeight="1">
      <c r="A186" s="604" t="s">
        <v>696</v>
      </c>
      <c r="B186" s="604" t="s">
        <v>1192</v>
      </c>
      <c r="C186" s="614" t="s">
        <v>39</v>
      </c>
      <c r="D186" s="1013">
        <v>0</v>
      </c>
      <c r="E186" s="949">
        <v>0</v>
      </c>
      <c r="F186" s="581">
        <v>0</v>
      </c>
      <c r="G186" s="746" t="s">
        <v>1457</v>
      </c>
      <c r="H186" s="743">
        <v>192.7</v>
      </c>
    </row>
    <row r="187" spans="1:8" s="560" customFormat="1" ht="13.2" hidden="1" customHeight="1">
      <c r="A187" s="604" t="s">
        <v>697</v>
      </c>
      <c r="B187" s="604" t="s">
        <v>1158</v>
      </c>
      <c r="C187" s="614" t="s">
        <v>47</v>
      </c>
      <c r="D187" s="1013">
        <v>0</v>
      </c>
      <c r="E187" s="949">
        <v>0</v>
      </c>
      <c r="F187" s="581">
        <v>0</v>
      </c>
      <c r="G187" s="746"/>
      <c r="H187" s="743">
        <v>0</v>
      </c>
    </row>
    <row r="188" spans="1:8" s="560" customFormat="1" ht="13.2" hidden="1" customHeight="1">
      <c r="A188" s="604" t="s">
        <v>698</v>
      </c>
      <c r="B188" s="604" t="s">
        <v>1159</v>
      </c>
      <c r="C188" s="690"/>
      <c r="D188" s="1013">
        <v>0</v>
      </c>
      <c r="E188" s="949">
        <v>0</v>
      </c>
      <c r="F188" s="581">
        <v>0</v>
      </c>
      <c r="G188" s="746" t="s">
        <v>1552</v>
      </c>
      <c r="H188" s="743">
        <v>2.19</v>
      </c>
    </row>
    <row r="189" spans="1:8" s="560" customFormat="1" ht="13.2" hidden="1" customHeight="1">
      <c r="A189" s="604" t="s">
        <v>699</v>
      </c>
      <c r="B189" s="604" t="s">
        <v>1193</v>
      </c>
      <c r="C189" s="614" t="s">
        <v>39</v>
      </c>
      <c r="D189" s="1013">
        <v>0</v>
      </c>
      <c r="E189" s="949">
        <v>0</v>
      </c>
      <c r="F189" s="581">
        <v>0</v>
      </c>
      <c r="G189" s="746" t="s">
        <v>1553</v>
      </c>
      <c r="H189" s="743">
        <v>17.489999999999998</v>
      </c>
    </row>
    <row r="190" spans="1:8" s="560" customFormat="1" ht="13.2" hidden="1" customHeight="1">
      <c r="A190" s="604" t="s">
        <v>700</v>
      </c>
      <c r="B190" s="604" t="s">
        <v>1161</v>
      </c>
      <c r="C190" s="614" t="s">
        <v>36</v>
      </c>
      <c r="D190" s="1013">
        <v>0</v>
      </c>
      <c r="E190" s="949">
        <v>0</v>
      </c>
      <c r="F190" s="581">
        <v>0</v>
      </c>
      <c r="G190" s="746" t="s">
        <v>1554</v>
      </c>
      <c r="H190" s="743">
        <v>179.25</v>
      </c>
    </row>
    <row r="191" spans="1:8" s="560" customFormat="1" ht="13.2" hidden="1" customHeight="1">
      <c r="A191" s="604" t="s">
        <v>701</v>
      </c>
      <c r="B191" s="604" t="s">
        <v>1162</v>
      </c>
      <c r="C191" s="614" t="s">
        <v>47</v>
      </c>
      <c r="D191" s="1013">
        <v>0</v>
      </c>
      <c r="E191" s="949">
        <v>0</v>
      </c>
      <c r="F191" s="581">
        <v>0</v>
      </c>
      <c r="G191" s="746"/>
      <c r="H191" s="743">
        <v>0</v>
      </c>
    </row>
    <row r="192" spans="1:8" s="560" customFormat="1" ht="13.2" hidden="1" customHeight="1">
      <c r="A192" s="604" t="s">
        <v>702</v>
      </c>
      <c r="B192" s="604" t="s">
        <v>1163</v>
      </c>
      <c r="C192" s="690"/>
      <c r="D192" s="1013">
        <v>0</v>
      </c>
      <c r="E192" s="949">
        <v>0</v>
      </c>
      <c r="F192" s="581">
        <v>0</v>
      </c>
      <c r="G192" s="746" t="s">
        <v>1518</v>
      </c>
      <c r="H192" s="743">
        <v>2.1800000000000002</v>
      </c>
    </row>
    <row r="193" spans="1:8" s="560" customFormat="1" ht="13.2" hidden="1" customHeight="1">
      <c r="A193" s="604" t="s">
        <v>703</v>
      </c>
      <c r="B193" s="604" t="s">
        <v>1194</v>
      </c>
      <c r="C193" s="614" t="s">
        <v>39</v>
      </c>
      <c r="D193" s="1013">
        <v>0</v>
      </c>
      <c r="E193" s="949">
        <v>0</v>
      </c>
      <c r="F193" s="581">
        <v>0</v>
      </c>
      <c r="G193" s="746" t="s">
        <v>1555</v>
      </c>
      <c r="H193" s="743">
        <v>34.799999999999997</v>
      </c>
    </row>
    <row r="194" spans="1:8" s="560" customFormat="1" ht="13.2" hidden="1" customHeight="1">
      <c r="A194" s="604" t="s">
        <v>704</v>
      </c>
      <c r="B194" s="604" t="s">
        <v>1165</v>
      </c>
      <c r="C194" s="614" t="s">
        <v>36</v>
      </c>
      <c r="D194" s="1013">
        <v>0</v>
      </c>
      <c r="E194" s="949">
        <v>0</v>
      </c>
      <c r="F194" s="581">
        <v>0</v>
      </c>
      <c r="G194" s="746" t="s">
        <v>1556</v>
      </c>
      <c r="H194" s="743">
        <v>314.66000000000003</v>
      </c>
    </row>
    <row r="195" spans="1:8" s="560" customFormat="1" ht="13.2" hidden="1" customHeight="1">
      <c r="A195" s="604" t="s">
        <v>705</v>
      </c>
      <c r="B195" s="604" t="s">
        <v>1166</v>
      </c>
      <c r="C195" s="614" t="s">
        <v>47</v>
      </c>
      <c r="D195" s="1013">
        <v>0</v>
      </c>
      <c r="E195" s="949">
        <v>0</v>
      </c>
      <c r="F195" s="581">
        <v>0</v>
      </c>
      <c r="G195" s="746"/>
      <c r="H195" s="743">
        <v>0</v>
      </c>
    </row>
    <row r="196" spans="1:8" s="560" customFormat="1" ht="13.2" hidden="1" customHeight="1">
      <c r="A196" s="604" t="s">
        <v>706</v>
      </c>
      <c r="B196" s="604" t="s">
        <v>1167</v>
      </c>
      <c r="C196" s="690"/>
      <c r="D196" s="1013">
        <v>0</v>
      </c>
      <c r="E196" s="949">
        <v>0</v>
      </c>
      <c r="F196" s="581">
        <v>0</v>
      </c>
      <c r="G196" s="746" t="s">
        <v>1464</v>
      </c>
      <c r="H196" s="743">
        <v>1.49</v>
      </c>
    </row>
    <row r="197" spans="1:8" s="560" customFormat="1" ht="13.2" hidden="1" customHeight="1">
      <c r="A197" s="604" t="s">
        <v>707</v>
      </c>
      <c r="B197" s="604" t="s">
        <v>1168</v>
      </c>
      <c r="C197" s="614" t="s">
        <v>39</v>
      </c>
      <c r="D197" s="1013">
        <v>0</v>
      </c>
      <c r="E197" s="949">
        <v>0</v>
      </c>
      <c r="F197" s="581">
        <v>0</v>
      </c>
      <c r="G197" s="746" t="s">
        <v>1465</v>
      </c>
      <c r="H197" s="743">
        <v>19.71</v>
      </c>
    </row>
    <row r="198" spans="1:8" s="560" customFormat="1" ht="13.2" hidden="1" customHeight="1">
      <c r="A198" s="604" t="s">
        <v>708</v>
      </c>
      <c r="B198" s="604" t="s">
        <v>1169</v>
      </c>
      <c r="C198" s="614" t="s">
        <v>36</v>
      </c>
      <c r="D198" s="1013">
        <v>0</v>
      </c>
      <c r="E198" s="949">
        <v>0</v>
      </c>
      <c r="F198" s="581">
        <v>0</v>
      </c>
      <c r="G198" s="746" t="s">
        <v>1466</v>
      </c>
      <c r="H198" s="743">
        <v>659.98</v>
      </c>
    </row>
    <row r="199" spans="1:8" s="560" customFormat="1" ht="13.2" hidden="1" customHeight="1">
      <c r="A199" s="604" t="s">
        <v>709</v>
      </c>
      <c r="B199" s="604" t="s">
        <v>1170</v>
      </c>
      <c r="C199" s="614" t="s">
        <v>47</v>
      </c>
      <c r="D199" s="1013">
        <v>0</v>
      </c>
      <c r="E199" s="949">
        <v>0</v>
      </c>
      <c r="F199" s="581">
        <v>0</v>
      </c>
      <c r="G199" s="746"/>
      <c r="H199" s="743">
        <v>0</v>
      </c>
    </row>
    <row r="200" spans="1:8" s="560" customFormat="1" ht="13.2" hidden="1" customHeight="1">
      <c r="A200" s="604" t="s">
        <v>710</v>
      </c>
      <c r="B200" s="604" t="s">
        <v>1171</v>
      </c>
      <c r="C200" s="690"/>
      <c r="D200" s="1013">
        <v>0</v>
      </c>
      <c r="E200" s="949">
        <v>0</v>
      </c>
      <c r="F200" s="581">
        <v>0</v>
      </c>
      <c r="G200" s="746" t="s">
        <v>1557</v>
      </c>
      <c r="H200" s="743">
        <v>5.6</v>
      </c>
    </row>
    <row r="201" spans="1:8" s="560" customFormat="1" ht="13.2" hidden="1" customHeight="1">
      <c r="A201" s="604" t="s">
        <v>711</v>
      </c>
      <c r="B201" s="604" t="s">
        <v>1172</v>
      </c>
      <c r="C201" s="614" t="s">
        <v>39</v>
      </c>
      <c r="D201" s="1013">
        <v>0</v>
      </c>
      <c r="E201" s="949">
        <v>0</v>
      </c>
      <c r="F201" s="581">
        <v>0</v>
      </c>
      <c r="G201" s="746" t="s">
        <v>1558</v>
      </c>
      <c r="H201" s="743">
        <v>48.75</v>
      </c>
    </row>
    <row r="202" spans="1:8" s="560" customFormat="1" ht="13.2" hidden="1" customHeight="1">
      <c r="A202" s="604" t="s">
        <v>712</v>
      </c>
      <c r="B202" s="604" t="s">
        <v>1173</v>
      </c>
      <c r="C202" s="614" t="s">
        <v>36</v>
      </c>
      <c r="D202" s="1013">
        <v>0</v>
      </c>
      <c r="E202" s="949">
        <v>0</v>
      </c>
      <c r="F202" s="581">
        <v>0</v>
      </c>
      <c r="G202" s="746" t="s">
        <v>1559</v>
      </c>
      <c r="H202" s="743">
        <v>642.09</v>
      </c>
    </row>
    <row r="203" spans="1:8" s="560" customFormat="1" ht="13.2" hidden="1" customHeight="1">
      <c r="A203" s="604" t="s">
        <v>713</v>
      </c>
      <c r="B203" s="604" t="s">
        <v>1174</v>
      </c>
      <c r="C203" s="614" t="s">
        <v>47</v>
      </c>
      <c r="D203" s="1013">
        <v>0</v>
      </c>
      <c r="E203" s="949">
        <v>0</v>
      </c>
      <c r="F203" s="581">
        <v>0</v>
      </c>
      <c r="G203" s="746"/>
      <c r="H203" s="743">
        <v>0</v>
      </c>
    </row>
    <row r="204" spans="1:8" s="560" customFormat="1" ht="13.2" hidden="1" customHeight="1">
      <c r="A204" s="604" t="s">
        <v>714</v>
      </c>
      <c r="B204" s="604" t="s">
        <v>1175</v>
      </c>
      <c r="C204" s="690"/>
      <c r="D204" s="1013">
        <v>0</v>
      </c>
      <c r="E204" s="949">
        <v>0</v>
      </c>
      <c r="F204" s="581">
        <v>0</v>
      </c>
      <c r="G204" s="746" t="s">
        <v>1560</v>
      </c>
      <c r="H204" s="743">
        <v>3.36</v>
      </c>
    </row>
    <row r="205" spans="1:8" s="560" customFormat="1" ht="13.2" hidden="1" customHeight="1">
      <c r="A205" s="604" t="s">
        <v>715</v>
      </c>
      <c r="B205" s="604" t="s">
        <v>1176</v>
      </c>
      <c r="C205" s="614" t="s">
        <v>39</v>
      </c>
      <c r="D205" s="1013">
        <v>0</v>
      </c>
      <c r="E205" s="949">
        <v>0</v>
      </c>
      <c r="F205" s="581">
        <v>0</v>
      </c>
      <c r="G205" s="746" t="s">
        <v>1561</v>
      </c>
      <c r="H205" s="743">
        <v>38.35</v>
      </c>
    </row>
    <row r="206" spans="1:8" s="560" customFormat="1" ht="13.2" hidden="1" customHeight="1">
      <c r="A206" s="604" t="s">
        <v>716</v>
      </c>
      <c r="B206" s="604" t="s">
        <v>1177</v>
      </c>
      <c r="C206" s="614" t="s">
        <v>36</v>
      </c>
      <c r="D206" s="1013">
        <v>0</v>
      </c>
      <c r="E206" s="949">
        <v>0</v>
      </c>
      <c r="F206" s="581">
        <v>0</v>
      </c>
      <c r="G206" s="746" t="s">
        <v>1562</v>
      </c>
      <c r="H206" s="743">
        <v>276.95999999999998</v>
      </c>
    </row>
    <row r="207" spans="1:8" s="560" customFormat="1" ht="13.2" hidden="1" customHeight="1">
      <c r="A207" s="604" t="s">
        <v>717</v>
      </c>
      <c r="B207" s="604" t="s">
        <v>1178</v>
      </c>
      <c r="C207" s="614" t="s">
        <v>47</v>
      </c>
      <c r="D207" s="1013">
        <v>0</v>
      </c>
      <c r="E207" s="949">
        <v>0</v>
      </c>
      <c r="F207" s="581">
        <v>0</v>
      </c>
      <c r="G207" s="746" t="s">
        <v>1563</v>
      </c>
      <c r="H207" s="743">
        <v>319.48</v>
      </c>
    </row>
    <row r="208" spans="1:8" s="560" customFormat="1" ht="13.2" hidden="1" customHeight="1">
      <c r="A208" s="604" t="s">
        <v>718</v>
      </c>
      <c r="B208" s="604" t="s">
        <v>1179</v>
      </c>
      <c r="C208" s="614" t="s">
        <v>1436</v>
      </c>
      <c r="D208" s="1013">
        <v>0</v>
      </c>
      <c r="E208" s="949">
        <v>0</v>
      </c>
      <c r="F208" s="581">
        <v>0</v>
      </c>
      <c r="G208" s="746"/>
      <c r="H208" s="743">
        <v>0</v>
      </c>
    </row>
    <row r="209" spans="1:8" s="560" customFormat="1" ht="13.2" hidden="1" customHeight="1">
      <c r="A209" s="604" t="s">
        <v>719</v>
      </c>
      <c r="B209" s="604" t="s">
        <v>1180</v>
      </c>
      <c r="C209" s="690"/>
      <c r="D209" s="1013">
        <v>0</v>
      </c>
      <c r="E209" s="949">
        <v>0</v>
      </c>
      <c r="F209" s="581">
        <v>0</v>
      </c>
      <c r="G209" s="746" t="s">
        <v>1564</v>
      </c>
      <c r="H209" s="743">
        <v>1.03</v>
      </c>
    </row>
    <row r="210" spans="1:8" s="560" customFormat="1" ht="13.2" hidden="1" customHeight="1">
      <c r="A210" s="604" t="s">
        <v>720</v>
      </c>
      <c r="B210" s="604" t="s">
        <v>1181</v>
      </c>
      <c r="C210" s="614" t="s">
        <v>39</v>
      </c>
      <c r="D210" s="1013">
        <v>0</v>
      </c>
      <c r="E210" s="949">
        <v>0</v>
      </c>
      <c r="F210" s="581">
        <v>0</v>
      </c>
      <c r="G210" s="746" t="s">
        <v>1565</v>
      </c>
      <c r="H210" s="743">
        <v>13.74</v>
      </c>
    </row>
    <row r="211" spans="1:8" s="560" customFormat="1" ht="13.2" hidden="1" customHeight="1">
      <c r="A211" s="604" t="s">
        <v>721</v>
      </c>
      <c r="B211" s="604" t="s">
        <v>1182</v>
      </c>
      <c r="C211" s="614" t="s">
        <v>36</v>
      </c>
      <c r="D211" s="1013">
        <v>0</v>
      </c>
      <c r="E211" s="949">
        <v>0</v>
      </c>
      <c r="F211" s="581">
        <v>0</v>
      </c>
      <c r="G211" s="746" t="s">
        <v>1566</v>
      </c>
      <c r="H211" s="743">
        <v>65.349999999999994</v>
      </c>
    </row>
    <row r="212" spans="1:8" s="560" customFormat="1" ht="13.2" hidden="1" customHeight="1">
      <c r="A212" s="604" t="s">
        <v>722</v>
      </c>
      <c r="B212" s="604" t="s">
        <v>1183</v>
      </c>
      <c r="C212" s="614" t="s">
        <v>47</v>
      </c>
      <c r="D212" s="1013">
        <v>0</v>
      </c>
      <c r="E212" s="949">
        <v>0</v>
      </c>
      <c r="F212" s="581">
        <v>0</v>
      </c>
      <c r="G212" s="746"/>
      <c r="H212" s="743">
        <v>0</v>
      </c>
    </row>
    <row r="213" spans="1:8" s="560" customFormat="1" ht="13.2" hidden="1" customHeight="1">
      <c r="A213" s="607" t="s">
        <v>723</v>
      </c>
      <c r="B213" s="607" t="s">
        <v>1184</v>
      </c>
      <c r="C213" s="690"/>
      <c r="D213" s="1013">
        <v>0</v>
      </c>
      <c r="E213" s="949">
        <v>0</v>
      </c>
      <c r="F213" s="581">
        <v>0</v>
      </c>
      <c r="G213" s="746" t="s">
        <v>1567</v>
      </c>
      <c r="H213" s="743">
        <v>110.7</v>
      </c>
    </row>
    <row r="214" spans="1:8" s="560" customFormat="1" ht="13.2" hidden="1" customHeight="1">
      <c r="A214" s="604" t="s">
        <v>724</v>
      </c>
      <c r="B214" s="604" t="s">
        <v>1185</v>
      </c>
      <c r="C214" s="614" t="s">
        <v>37</v>
      </c>
      <c r="D214" s="1013">
        <v>0</v>
      </c>
      <c r="E214" s="949">
        <v>0</v>
      </c>
      <c r="F214" s="581">
        <v>0</v>
      </c>
      <c r="G214" s="746"/>
      <c r="H214" s="743">
        <v>0</v>
      </c>
    </row>
    <row r="215" spans="1:8" s="560" customFormat="1" ht="13.2" hidden="1" customHeight="1">
      <c r="A215" s="607" t="s">
        <v>725</v>
      </c>
      <c r="B215" s="607" t="s">
        <v>1186</v>
      </c>
      <c r="C215" s="614"/>
      <c r="D215" s="1013">
        <v>0</v>
      </c>
      <c r="E215" s="949">
        <v>0</v>
      </c>
      <c r="F215" s="581">
        <v>0</v>
      </c>
      <c r="G215" s="746" t="s">
        <v>1568</v>
      </c>
      <c r="H215" s="743">
        <v>46</v>
      </c>
    </row>
    <row r="216" spans="1:8" s="560" customFormat="1" ht="13.2" hidden="1" customHeight="1">
      <c r="A216" s="604" t="s">
        <v>726</v>
      </c>
      <c r="B216" s="604" t="s">
        <v>1187</v>
      </c>
      <c r="C216" s="614" t="s">
        <v>37</v>
      </c>
      <c r="D216" s="1013">
        <v>0</v>
      </c>
      <c r="E216" s="949">
        <v>0</v>
      </c>
      <c r="F216" s="581">
        <v>0</v>
      </c>
      <c r="G216" s="746" t="s">
        <v>1479</v>
      </c>
      <c r="H216" s="743">
        <v>15</v>
      </c>
    </row>
    <row r="217" spans="1:8" s="560" customFormat="1" ht="13.2" hidden="1" customHeight="1">
      <c r="A217" s="604" t="s">
        <v>727</v>
      </c>
      <c r="B217" s="604" t="s">
        <v>224</v>
      </c>
      <c r="C217" s="614" t="s">
        <v>1436</v>
      </c>
      <c r="D217" s="1013">
        <v>0</v>
      </c>
      <c r="E217" s="949">
        <v>0</v>
      </c>
      <c r="F217" s="581">
        <v>0</v>
      </c>
      <c r="G217" s="746"/>
      <c r="H217" s="743">
        <v>0</v>
      </c>
    </row>
    <row r="218" spans="1:8" s="560" customFormat="1" ht="13.2" hidden="1" customHeight="1">
      <c r="A218" s="492" t="s">
        <v>728</v>
      </c>
      <c r="B218" s="608" t="s">
        <v>1197</v>
      </c>
      <c r="C218" s="690"/>
      <c r="D218" s="1013">
        <v>0</v>
      </c>
      <c r="E218" s="949">
        <v>0</v>
      </c>
      <c r="F218" s="581">
        <v>0</v>
      </c>
      <c r="G218" s="746"/>
      <c r="H218" s="743">
        <v>0</v>
      </c>
    </row>
    <row r="219" spans="1:8" s="560" customFormat="1" ht="13.2" hidden="1" customHeight="1">
      <c r="A219" s="607" t="s">
        <v>729</v>
      </c>
      <c r="B219" s="607" t="s">
        <v>45</v>
      </c>
      <c r="C219" s="690"/>
      <c r="D219" s="1013">
        <v>0</v>
      </c>
      <c r="E219" s="949">
        <v>0</v>
      </c>
      <c r="F219" s="581">
        <v>0</v>
      </c>
      <c r="G219" s="746" t="s">
        <v>1569</v>
      </c>
      <c r="H219" s="743">
        <v>467.39</v>
      </c>
    </row>
    <row r="220" spans="1:8" s="560" customFormat="1" ht="13.2" hidden="1" customHeight="1">
      <c r="A220" s="604" t="s">
        <v>730</v>
      </c>
      <c r="B220" s="604" t="s">
        <v>1198</v>
      </c>
      <c r="C220" s="614" t="s">
        <v>39</v>
      </c>
      <c r="D220" s="1013">
        <v>0</v>
      </c>
      <c r="E220" s="949">
        <v>0</v>
      </c>
      <c r="F220" s="581">
        <v>0</v>
      </c>
      <c r="G220" s="750" t="s">
        <v>1570</v>
      </c>
      <c r="H220" s="743">
        <v>560.87</v>
      </c>
    </row>
    <row r="221" spans="1:8" s="560" customFormat="1" ht="13.2" hidden="1" customHeight="1">
      <c r="A221" s="604" t="s">
        <v>731</v>
      </c>
      <c r="B221" s="604" t="s">
        <v>1147</v>
      </c>
      <c r="C221" s="614" t="s">
        <v>39</v>
      </c>
      <c r="D221" s="1013">
        <v>0</v>
      </c>
      <c r="E221" s="949">
        <v>0</v>
      </c>
      <c r="F221" s="581">
        <v>0</v>
      </c>
      <c r="G221" s="750"/>
      <c r="H221" s="743">
        <v>0</v>
      </c>
    </row>
    <row r="222" spans="1:8" s="560" customFormat="1" ht="13.2" hidden="1" customHeight="1">
      <c r="A222" s="607" t="s">
        <v>732</v>
      </c>
      <c r="B222" s="607" t="s">
        <v>1148</v>
      </c>
      <c r="C222" s="614"/>
      <c r="D222" s="1013">
        <v>0</v>
      </c>
      <c r="E222" s="949">
        <v>0</v>
      </c>
      <c r="F222" s="581">
        <v>0</v>
      </c>
      <c r="G222" s="750" t="s">
        <v>1571</v>
      </c>
      <c r="H222" s="743">
        <v>13.83</v>
      </c>
    </row>
    <row r="223" spans="1:8" s="560" customFormat="1" ht="13.2" hidden="1" customHeight="1">
      <c r="A223" s="604" t="s">
        <v>733</v>
      </c>
      <c r="B223" s="604" t="s">
        <v>1190</v>
      </c>
      <c r="C223" s="614" t="s">
        <v>39</v>
      </c>
      <c r="D223" s="1013">
        <v>0</v>
      </c>
      <c r="E223" s="949">
        <v>0</v>
      </c>
      <c r="F223" s="581">
        <v>0</v>
      </c>
      <c r="G223" s="750"/>
      <c r="H223" s="743">
        <v>0</v>
      </c>
    </row>
    <row r="224" spans="1:8" s="560" customFormat="1" ht="13.2" hidden="1" customHeight="1">
      <c r="A224" s="607" t="s">
        <v>734</v>
      </c>
      <c r="B224" s="607" t="s">
        <v>1155</v>
      </c>
      <c r="C224" s="690"/>
      <c r="D224" s="1013">
        <v>0</v>
      </c>
      <c r="E224" s="949">
        <v>0</v>
      </c>
      <c r="F224" s="581">
        <v>0</v>
      </c>
      <c r="G224" s="750"/>
      <c r="H224" s="743">
        <v>0</v>
      </c>
    </row>
    <row r="225" spans="1:8" s="560" customFormat="1" ht="13.2" hidden="1" customHeight="1">
      <c r="A225" s="604" t="s">
        <v>735</v>
      </c>
      <c r="B225" s="604" t="s">
        <v>1163</v>
      </c>
      <c r="C225" s="690"/>
      <c r="D225" s="1013">
        <v>0</v>
      </c>
      <c r="E225" s="949">
        <v>0</v>
      </c>
      <c r="F225" s="581">
        <v>0</v>
      </c>
      <c r="G225" s="750" t="s">
        <v>1572</v>
      </c>
      <c r="H225" s="743">
        <v>4.8899999999999997</v>
      </c>
    </row>
    <row r="226" spans="1:8" s="560" customFormat="1" ht="13.2" hidden="1" customHeight="1">
      <c r="A226" s="604" t="s">
        <v>736</v>
      </c>
      <c r="B226" s="604" t="s">
        <v>1194</v>
      </c>
      <c r="C226" s="614" t="s">
        <v>39</v>
      </c>
      <c r="D226" s="1013">
        <v>0</v>
      </c>
      <c r="E226" s="949">
        <v>0</v>
      </c>
      <c r="F226" s="581">
        <v>0</v>
      </c>
      <c r="G226" s="750" t="s">
        <v>1573</v>
      </c>
      <c r="H226" s="743">
        <v>76.69</v>
      </c>
    </row>
    <row r="227" spans="1:8" s="560" customFormat="1" ht="13.2" hidden="1" customHeight="1">
      <c r="A227" s="604" t="s">
        <v>737</v>
      </c>
      <c r="B227" s="604" t="s">
        <v>1165</v>
      </c>
      <c r="C227" s="614" t="s">
        <v>36</v>
      </c>
      <c r="D227" s="1013">
        <v>0</v>
      </c>
      <c r="E227" s="949">
        <v>0</v>
      </c>
      <c r="F227" s="581">
        <v>0</v>
      </c>
      <c r="G227" s="750" t="s">
        <v>1574</v>
      </c>
      <c r="H227" s="743">
        <v>947.8</v>
      </c>
    </row>
    <row r="228" spans="1:8" s="560" customFormat="1" ht="13.2" hidden="1" customHeight="1">
      <c r="A228" s="604" t="s">
        <v>738</v>
      </c>
      <c r="B228" s="604" t="s">
        <v>1166</v>
      </c>
      <c r="C228" s="614" t="s">
        <v>47</v>
      </c>
      <c r="D228" s="1013">
        <v>0</v>
      </c>
      <c r="E228" s="949">
        <v>0</v>
      </c>
      <c r="F228" s="581">
        <v>0</v>
      </c>
      <c r="G228" s="750"/>
      <c r="H228" s="743">
        <v>0</v>
      </c>
    </row>
    <row r="229" spans="1:8" s="560" customFormat="1" ht="13.2" hidden="1" customHeight="1">
      <c r="A229" s="604" t="s">
        <v>739</v>
      </c>
      <c r="B229" s="604" t="s">
        <v>1171</v>
      </c>
      <c r="C229" s="690"/>
      <c r="D229" s="1013">
        <v>0</v>
      </c>
      <c r="E229" s="949">
        <v>0</v>
      </c>
      <c r="F229" s="581">
        <v>0</v>
      </c>
      <c r="G229" s="750" t="s">
        <v>1575</v>
      </c>
      <c r="H229" s="743">
        <v>4.2300000000000004</v>
      </c>
    </row>
    <row r="230" spans="1:8" s="560" customFormat="1" ht="13.2" hidden="1" customHeight="1">
      <c r="A230" s="604" t="s">
        <v>740</v>
      </c>
      <c r="B230" s="604" t="s">
        <v>1172</v>
      </c>
      <c r="C230" s="614" t="s">
        <v>39</v>
      </c>
      <c r="D230" s="1013">
        <v>0</v>
      </c>
      <c r="E230" s="949">
        <v>0</v>
      </c>
      <c r="F230" s="581">
        <v>0</v>
      </c>
      <c r="G230" s="750" t="s">
        <v>1576</v>
      </c>
      <c r="H230" s="743">
        <v>49.66</v>
      </c>
    </row>
    <row r="231" spans="1:8" s="560" customFormat="1" ht="13.2" hidden="1" customHeight="1">
      <c r="A231" s="604" t="s">
        <v>741</v>
      </c>
      <c r="B231" s="604" t="s">
        <v>1173</v>
      </c>
      <c r="C231" s="614" t="s">
        <v>36</v>
      </c>
      <c r="D231" s="1013">
        <v>0</v>
      </c>
      <c r="E231" s="949">
        <v>0</v>
      </c>
      <c r="F231" s="581">
        <v>0</v>
      </c>
      <c r="G231" s="750" t="s">
        <v>1577</v>
      </c>
      <c r="H231" s="743">
        <v>483.02</v>
      </c>
    </row>
    <row r="232" spans="1:8" s="560" customFormat="1" ht="13.2" hidden="1" customHeight="1">
      <c r="A232" s="604" t="s">
        <v>742</v>
      </c>
      <c r="B232" s="604" t="s">
        <v>1174</v>
      </c>
      <c r="C232" s="614" t="s">
        <v>47</v>
      </c>
      <c r="D232" s="1013">
        <v>0</v>
      </c>
      <c r="E232" s="949">
        <v>0</v>
      </c>
      <c r="F232" s="581">
        <v>0</v>
      </c>
      <c r="G232" s="750"/>
      <c r="H232" s="743">
        <v>0</v>
      </c>
    </row>
    <row r="233" spans="1:8" s="560" customFormat="1" ht="13.2" hidden="1" customHeight="1">
      <c r="A233" s="604" t="s">
        <v>743</v>
      </c>
      <c r="B233" s="604" t="s">
        <v>1199</v>
      </c>
      <c r="C233" s="690"/>
      <c r="D233" s="1013">
        <v>0</v>
      </c>
      <c r="E233" s="949">
        <v>0</v>
      </c>
      <c r="F233" s="581">
        <v>0</v>
      </c>
      <c r="G233" s="750" t="s">
        <v>1578</v>
      </c>
      <c r="H233" s="743">
        <v>4.24</v>
      </c>
    </row>
    <row r="234" spans="1:8" s="560" customFormat="1" ht="13.2" hidden="1" customHeight="1">
      <c r="A234" s="604" t="s">
        <v>744</v>
      </c>
      <c r="B234" s="604" t="s">
        <v>1191</v>
      </c>
      <c r="C234" s="614" t="s">
        <v>39</v>
      </c>
      <c r="D234" s="1013">
        <v>0</v>
      </c>
      <c r="E234" s="949">
        <v>0</v>
      </c>
      <c r="F234" s="581">
        <v>0</v>
      </c>
      <c r="G234" s="750" t="s">
        <v>1579</v>
      </c>
      <c r="H234" s="743">
        <v>56.57</v>
      </c>
    </row>
    <row r="235" spans="1:8" s="560" customFormat="1" ht="13.2" hidden="1" customHeight="1">
      <c r="A235" s="604" t="s">
        <v>745</v>
      </c>
      <c r="B235" s="604" t="s">
        <v>1200</v>
      </c>
      <c r="C235" s="614" t="s">
        <v>36</v>
      </c>
      <c r="D235" s="1013">
        <v>0</v>
      </c>
      <c r="E235" s="949">
        <v>0</v>
      </c>
      <c r="F235" s="581">
        <v>0</v>
      </c>
      <c r="G235" s="750" t="s">
        <v>1580</v>
      </c>
      <c r="H235" s="743">
        <v>438.73</v>
      </c>
    </row>
    <row r="236" spans="1:8" s="560" customFormat="1" ht="13.2" hidden="1" customHeight="1">
      <c r="A236" s="604" t="s">
        <v>746</v>
      </c>
      <c r="B236" s="604" t="s">
        <v>1201</v>
      </c>
      <c r="C236" s="614" t="s">
        <v>47</v>
      </c>
      <c r="D236" s="1013">
        <v>0</v>
      </c>
      <c r="E236" s="949">
        <v>0</v>
      </c>
      <c r="F236" s="581">
        <v>0</v>
      </c>
      <c r="G236" s="750"/>
      <c r="H236" s="743">
        <v>0</v>
      </c>
    </row>
    <row r="237" spans="1:8" s="560" customFormat="1" ht="13.2" hidden="1" customHeight="1">
      <c r="A237" s="607" t="s">
        <v>747</v>
      </c>
      <c r="B237" s="607" t="s">
        <v>1186</v>
      </c>
      <c r="C237" s="690"/>
      <c r="D237" s="1013">
        <v>0</v>
      </c>
      <c r="E237" s="949">
        <v>0</v>
      </c>
      <c r="F237" s="581">
        <v>0</v>
      </c>
      <c r="G237" s="750" t="s">
        <v>1581</v>
      </c>
      <c r="H237" s="743">
        <v>36</v>
      </c>
    </row>
    <row r="238" spans="1:8" s="560" customFormat="1" ht="13.2" hidden="1" customHeight="1">
      <c r="A238" s="604" t="s">
        <v>748</v>
      </c>
      <c r="B238" s="604" t="s">
        <v>1202</v>
      </c>
      <c r="C238" s="614" t="s">
        <v>37</v>
      </c>
      <c r="D238" s="1013">
        <v>0</v>
      </c>
      <c r="E238" s="949">
        <v>0</v>
      </c>
      <c r="F238" s="581">
        <v>0</v>
      </c>
      <c r="G238" s="750"/>
      <c r="H238" s="743">
        <v>0</v>
      </c>
    </row>
    <row r="239" spans="1:8" s="560" customFormat="1" ht="13.2" hidden="1" customHeight="1">
      <c r="A239" s="492" t="s">
        <v>749</v>
      </c>
      <c r="B239" s="608" t="s">
        <v>1203</v>
      </c>
      <c r="C239" s="690"/>
      <c r="D239" s="1013">
        <v>0</v>
      </c>
      <c r="E239" s="949">
        <v>0</v>
      </c>
      <c r="F239" s="581">
        <v>0</v>
      </c>
      <c r="G239" s="750"/>
      <c r="H239" s="743">
        <v>0</v>
      </c>
    </row>
    <row r="240" spans="1:8" s="560" customFormat="1" ht="13.2" hidden="1" customHeight="1">
      <c r="A240" s="607" t="s">
        <v>750</v>
      </c>
      <c r="B240" s="607" t="s">
        <v>45</v>
      </c>
      <c r="C240" s="690"/>
      <c r="D240" s="1013">
        <v>0</v>
      </c>
      <c r="E240" s="949">
        <v>0</v>
      </c>
      <c r="F240" s="581">
        <v>0</v>
      </c>
      <c r="G240" s="750" t="s">
        <v>1582</v>
      </c>
      <c r="H240" s="743">
        <v>441.64</v>
      </c>
    </row>
    <row r="241" spans="1:8" s="560" customFormat="1" ht="13.2" hidden="1" customHeight="1">
      <c r="A241" s="604" t="s">
        <v>751</v>
      </c>
      <c r="B241" s="604" t="s">
        <v>1198</v>
      </c>
      <c r="C241" s="614" t="s">
        <v>39</v>
      </c>
      <c r="D241" s="1013">
        <v>0</v>
      </c>
      <c r="E241" s="949">
        <v>0</v>
      </c>
      <c r="F241" s="581">
        <v>0</v>
      </c>
      <c r="G241" s="750" t="s">
        <v>1583</v>
      </c>
      <c r="H241" s="743">
        <v>574.13</v>
      </c>
    </row>
    <row r="242" spans="1:8" s="560" customFormat="1" ht="13.2" hidden="1" customHeight="1">
      <c r="A242" s="604" t="s">
        <v>752</v>
      </c>
      <c r="B242" s="604" t="s">
        <v>1147</v>
      </c>
      <c r="C242" s="614" t="s">
        <v>39</v>
      </c>
      <c r="D242" s="1013">
        <v>0</v>
      </c>
      <c r="E242" s="949">
        <v>0</v>
      </c>
      <c r="F242" s="581">
        <v>0</v>
      </c>
      <c r="G242" s="750"/>
      <c r="H242" s="743">
        <v>0</v>
      </c>
    </row>
    <row r="243" spans="1:8" s="560" customFormat="1" ht="13.2" hidden="1" customHeight="1">
      <c r="A243" s="607" t="s">
        <v>753</v>
      </c>
      <c r="B243" s="607" t="s">
        <v>1204</v>
      </c>
      <c r="C243" s="690"/>
      <c r="D243" s="1013">
        <v>0</v>
      </c>
      <c r="E243" s="949">
        <v>0</v>
      </c>
      <c r="F243" s="581">
        <v>0</v>
      </c>
      <c r="G243" s="750" t="s">
        <v>1584</v>
      </c>
      <c r="H243" s="743">
        <v>204.01</v>
      </c>
    </row>
    <row r="244" spans="1:8" s="560" customFormat="1" ht="13.2" hidden="1" customHeight="1">
      <c r="A244" s="604" t="s">
        <v>754</v>
      </c>
      <c r="B244" s="604" t="s">
        <v>1205</v>
      </c>
      <c r="C244" s="614" t="s">
        <v>39</v>
      </c>
      <c r="D244" s="1013">
        <v>0</v>
      </c>
      <c r="E244" s="949">
        <v>0</v>
      </c>
      <c r="F244" s="581">
        <v>0</v>
      </c>
      <c r="G244" s="750" t="s">
        <v>1585</v>
      </c>
      <c r="H244" s="743">
        <v>550.44000000000005</v>
      </c>
    </row>
    <row r="245" spans="1:8" s="560" customFormat="1" ht="13.2" hidden="1" customHeight="1">
      <c r="A245" s="604" t="s">
        <v>755</v>
      </c>
      <c r="B245" s="604" t="s">
        <v>1206</v>
      </c>
      <c r="C245" s="614" t="s">
        <v>36</v>
      </c>
      <c r="D245" s="1013">
        <v>0</v>
      </c>
      <c r="E245" s="949">
        <v>0</v>
      </c>
      <c r="F245" s="581">
        <v>0</v>
      </c>
      <c r="G245" s="750" t="s">
        <v>1586</v>
      </c>
      <c r="H245" s="743">
        <v>15448.74</v>
      </c>
    </row>
    <row r="246" spans="1:8" s="560" customFormat="1" ht="13.2" hidden="1" customHeight="1">
      <c r="A246" s="604" t="s">
        <v>756</v>
      </c>
      <c r="B246" s="604" t="s">
        <v>1207</v>
      </c>
      <c r="C246" s="614" t="s">
        <v>47</v>
      </c>
      <c r="D246" s="1013">
        <v>0</v>
      </c>
      <c r="E246" s="949">
        <v>0</v>
      </c>
      <c r="F246" s="581">
        <v>0</v>
      </c>
      <c r="G246" s="750"/>
      <c r="H246" s="743">
        <v>0</v>
      </c>
    </row>
    <row r="247" spans="1:8" s="560" customFormat="1" ht="13.2" hidden="1" customHeight="1">
      <c r="A247" s="607" t="s">
        <v>757</v>
      </c>
      <c r="B247" s="607" t="s">
        <v>1186</v>
      </c>
      <c r="C247" s="690"/>
      <c r="D247" s="1013">
        <v>0</v>
      </c>
      <c r="E247" s="949">
        <v>0</v>
      </c>
      <c r="F247" s="581">
        <v>0</v>
      </c>
      <c r="G247" s="750" t="s">
        <v>1587</v>
      </c>
      <c r="H247" s="743">
        <v>111.93</v>
      </c>
    </row>
    <row r="248" spans="1:8" s="560" customFormat="1" ht="13.2" hidden="1" customHeight="1">
      <c r="A248" s="604" t="s">
        <v>758</v>
      </c>
      <c r="B248" s="604" t="s">
        <v>1208</v>
      </c>
      <c r="C248" s="614" t="s">
        <v>37</v>
      </c>
      <c r="D248" s="1013">
        <v>0</v>
      </c>
      <c r="E248" s="949">
        <v>0</v>
      </c>
      <c r="F248" s="581">
        <v>0</v>
      </c>
      <c r="G248" s="750" t="s">
        <v>1588</v>
      </c>
      <c r="H248" s="743">
        <v>24</v>
      </c>
    </row>
    <row r="249" spans="1:8" s="560" customFormat="1" ht="13.2" hidden="1" customHeight="1">
      <c r="A249" s="604" t="s">
        <v>759</v>
      </c>
      <c r="B249" s="604" t="s">
        <v>224</v>
      </c>
      <c r="C249" s="614" t="s">
        <v>1436</v>
      </c>
      <c r="D249" s="1013">
        <v>0</v>
      </c>
      <c r="E249" s="949">
        <v>0</v>
      </c>
      <c r="F249" s="581">
        <v>0</v>
      </c>
      <c r="G249" s="750"/>
      <c r="H249" s="743">
        <v>0</v>
      </c>
    </row>
    <row r="250" spans="1:8" s="560" customFormat="1" ht="13.2" hidden="1" customHeight="1">
      <c r="A250" s="492" t="s">
        <v>760</v>
      </c>
      <c r="B250" s="608" t="s">
        <v>1209</v>
      </c>
      <c r="C250" s="690"/>
      <c r="D250" s="1013">
        <v>0</v>
      </c>
      <c r="E250" s="949">
        <v>0</v>
      </c>
      <c r="F250" s="581">
        <v>0</v>
      </c>
      <c r="G250" s="750"/>
      <c r="H250" s="743">
        <v>0</v>
      </c>
    </row>
    <row r="251" spans="1:8" s="560" customFormat="1" ht="13.2" hidden="1" customHeight="1">
      <c r="A251" s="607" t="s">
        <v>761</v>
      </c>
      <c r="B251" s="607" t="s">
        <v>45</v>
      </c>
      <c r="C251" s="690"/>
      <c r="D251" s="1013">
        <v>0</v>
      </c>
      <c r="E251" s="949">
        <v>0</v>
      </c>
      <c r="F251" s="581">
        <v>0</v>
      </c>
      <c r="G251" s="750" t="s">
        <v>1589</v>
      </c>
      <c r="H251" s="743">
        <v>95.88</v>
      </c>
    </row>
    <row r="252" spans="1:8" s="560" customFormat="1" ht="13.2" hidden="1" customHeight="1">
      <c r="A252" s="604" t="s">
        <v>762</v>
      </c>
      <c r="B252" s="604" t="s">
        <v>1198</v>
      </c>
      <c r="C252" s="614" t="s">
        <v>39</v>
      </c>
      <c r="D252" s="1013">
        <v>0</v>
      </c>
      <c r="E252" s="949">
        <v>0</v>
      </c>
      <c r="F252" s="581">
        <v>0</v>
      </c>
      <c r="G252" s="750" t="s">
        <v>1590</v>
      </c>
      <c r="H252" s="743">
        <v>124.65</v>
      </c>
    </row>
    <row r="253" spans="1:8" s="560" customFormat="1" ht="13.2" hidden="1" customHeight="1">
      <c r="A253" s="604" t="s">
        <v>763</v>
      </c>
      <c r="B253" s="604" t="s">
        <v>1147</v>
      </c>
      <c r="C253" s="614" t="s">
        <v>39</v>
      </c>
      <c r="D253" s="1013">
        <v>0</v>
      </c>
      <c r="E253" s="949">
        <v>0</v>
      </c>
      <c r="F253" s="581">
        <v>0</v>
      </c>
      <c r="G253" s="750"/>
      <c r="H253" s="743">
        <v>0</v>
      </c>
    </row>
    <row r="254" spans="1:8" s="560" customFormat="1" ht="13.2" hidden="1" customHeight="1">
      <c r="A254" s="607" t="s">
        <v>764</v>
      </c>
      <c r="B254" s="607" t="s">
        <v>1148</v>
      </c>
      <c r="C254" s="690"/>
      <c r="D254" s="1013">
        <v>0</v>
      </c>
      <c r="E254" s="949">
        <v>0</v>
      </c>
      <c r="F254" s="581">
        <v>0</v>
      </c>
      <c r="G254" s="750" t="s">
        <v>1591</v>
      </c>
      <c r="H254" s="743">
        <v>81.67</v>
      </c>
    </row>
    <row r="255" spans="1:8" s="560" customFormat="1" ht="13.2" hidden="1" customHeight="1">
      <c r="A255" s="604" t="s">
        <v>765</v>
      </c>
      <c r="B255" s="604" t="s">
        <v>1190</v>
      </c>
      <c r="C255" s="614" t="s">
        <v>39</v>
      </c>
      <c r="D255" s="1013">
        <v>0</v>
      </c>
      <c r="E255" s="949">
        <v>0</v>
      </c>
      <c r="F255" s="581">
        <v>0</v>
      </c>
      <c r="G255" s="750" t="s">
        <v>1592</v>
      </c>
      <c r="H255" s="743">
        <v>221.37</v>
      </c>
    </row>
    <row r="256" spans="1:8" s="560" customFormat="1" ht="13.2" hidden="1" customHeight="1">
      <c r="A256" s="604" t="s">
        <v>766</v>
      </c>
      <c r="B256" s="604" t="s">
        <v>1210</v>
      </c>
      <c r="C256" s="614" t="s">
        <v>36</v>
      </c>
      <c r="D256" s="1013">
        <v>0</v>
      </c>
      <c r="E256" s="949">
        <v>0</v>
      </c>
      <c r="F256" s="581">
        <v>0</v>
      </c>
      <c r="G256" s="750"/>
      <c r="H256" s="743">
        <v>0</v>
      </c>
    </row>
    <row r="257" spans="1:8" s="560" customFormat="1" ht="13.2" hidden="1" customHeight="1">
      <c r="A257" s="492" t="s">
        <v>767</v>
      </c>
      <c r="B257" s="608" t="s">
        <v>1211</v>
      </c>
      <c r="C257" s="690"/>
      <c r="D257" s="1013">
        <v>0</v>
      </c>
      <c r="E257" s="949">
        <v>0</v>
      </c>
      <c r="F257" s="581">
        <v>0</v>
      </c>
      <c r="G257" s="750"/>
      <c r="H257" s="743">
        <v>0</v>
      </c>
    </row>
    <row r="258" spans="1:8" s="560" customFormat="1" ht="13.2" hidden="1" customHeight="1">
      <c r="A258" s="607" t="s">
        <v>768</v>
      </c>
      <c r="B258" s="607" t="s">
        <v>45</v>
      </c>
      <c r="C258" s="690"/>
      <c r="D258" s="1013">
        <v>0</v>
      </c>
      <c r="E258" s="949">
        <v>0</v>
      </c>
      <c r="F258" s="581">
        <v>0</v>
      </c>
      <c r="G258" s="750" t="s">
        <v>1593</v>
      </c>
      <c r="H258" s="743">
        <v>2.81</v>
      </c>
    </row>
    <row r="259" spans="1:8" s="560" customFormat="1" ht="13.2" hidden="1" customHeight="1">
      <c r="A259" s="604" t="s">
        <v>769</v>
      </c>
      <c r="B259" s="604" t="s">
        <v>1212</v>
      </c>
      <c r="C259" s="614" t="s">
        <v>39</v>
      </c>
      <c r="D259" s="1013">
        <v>0</v>
      </c>
      <c r="E259" s="949">
        <v>0</v>
      </c>
      <c r="F259" s="581">
        <v>0</v>
      </c>
      <c r="G259" s="750" t="s">
        <v>1594</v>
      </c>
      <c r="H259" s="743">
        <v>60</v>
      </c>
    </row>
    <row r="260" spans="1:8" s="560" customFormat="1" ht="13.2" hidden="1" customHeight="1">
      <c r="A260" s="604" t="s">
        <v>770</v>
      </c>
      <c r="B260" s="604" t="s">
        <v>268</v>
      </c>
      <c r="C260" s="614" t="s">
        <v>36</v>
      </c>
      <c r="D260" s="1013">
        <v>0</v>
      </c>
      <c r="E260" s="949">
        <v>0</v>
      </c>
      <c r="F260" s="581">
        <v>0</v>
      </c>
      <c r="G260" s="750" t="s">
        <v>1595</v>
      </c>
      <c r="H260" s="743">
        <v>3.51</v>
      </c>
    </row>
    <row r="261" spans="1:8" s="560" customFormat="1" ht="13.2" hidden="1" customHeight="1">
      <c r="A261" s="604" t="s">
        <v>771</v>
      </c>
      <c r="B261" s="604" t="s">
        <v>1147</v>
      </c>
      <c r="C261" s="614" t="s">
        <v>39</v>
      </c>
      <c r="D261" s="1013">
        <v>0</v>
      </c>
      <c r="E261" s="949">
        <v>0</v>
      </c>
      <c r="F261" s="581">
        <v>0</v>
      </c>
      <c r="G261" s="750"/>
      <c r="H261" s="743">
        <v>0</v>
      </c>
    </row>
    <row r="262" spans="1:8" s="560" customFormat="1" ht="13.2" hidden="1" customHeight="1">
      <c r="A262" s="607" t="s">
        <v>772</v>
      </c>
      <c r="B262" s="607" t="s">
        <v>1148</v>
      </c>
      <c r="C262" s="690"/>
      <c r="D262" s="1013">
        <v>0</v>
      </c>
      <c r="E262" s="949">
        <v>0</v>
      </c>
      <c r="F262" s="581">
        <v>0</v>
      </c>
      <c r="G262" s="750" t="s">
        <v>1596</v>
      </c>
      <c r="H262" s="743">
        <v>2.16</v>
      </c>
    </row>
    <row r="263" spans="1:8" s="560" customFormat="1" ht="13.2" hidden="1" customHeight="1">
      <c r="A263" s="604" t="s">
        <v>773</v>
      </c>
      <c r="B263" s="604" t="s">
        <v>1189</v>
      </c>
      <c r="C263" s="614" t="s">
        <v>36</v>
      </c>
      <c r="D263" s="1013">
        <v>0</v>
      </c>
      <c r="E263" s="949">
        <v>0</v>
      </c>
      <c r="F263" s="581">
        <v>0</v>
      </c>
      <c r="G263" s="750" t="s">
        <v>1594</v>
      </c>
      <c r="H263" s="743">
        <v>60</v>
      </c>
    </row>
    <row r="264" spans="1:8" s="560" customFormat="1" ht="13.2" hidden="1" customHeight="1">
      <c r="A264" s="604" t="s">
        <v>774</v>
      </c>
      <c r="B264" s="604" t="s">
        <v>1213</v>
      </c>
      <c r="C264" s="614" t="s">
        <v>36</v>
      </c>
      <c r="D264" s="1013">
        <v>0</v>
      </c>
      <c r="E264" s="949">
        <v>0</v>
      </c>
      <c r="F264" s="581">
        <v>0</v>
      </c>
      <c r="G264" s="750"/>
      <c r="H264" s="743">
        <v>0</v>
      </c>
    </row>
    <row r="265" spans="1:8" s="560" customFormat="1" ht="13.2" hidden="1" customHeight="1">
      <c r="A265" s="607" t="s">
        <v>775</v>
      </c>
      <c r="B265" s="607" t="s">
        <v>1155</v>
      </c>
      <c r="C265" s="690"/>
      <c r="D265" s="1013">
        <v>0</v>
      </c>
      <c r="E265" s="949">
        <v>0</v>
      </c>
      <c r="F265" s="581">
        <v>0</v>
      </c>
      <c r="G265" s="750"/>
      <c r="H265" s="743">
        <v>0</v>
      </c>
    </row>
    <row r="266" spans="1:8" s="560" customFormat="1" ht="13.2" hidden="1" customHeight="1">
      <c r="A266" s="604" t="s">
        <v>776</v>
      </c>
      <c r="B266" s="604" t="s">
        <v>1156</v>
      </c>
      <c r="C266" s="690"/>
      <c r="D266" s="1013">
        <v>0</v>
      </c>
      <c r="E266" s="949">
        <v>0</v>
      </c>
      <c r="F266" s="581">
        <v>0</v>
      </c>
      <c r="G266" s="750" t="s">
        <v>1597</v>
      </c>
      <c r="H266" s="743">
        <v>2.52</v>
      </c>
    </row>
    <row r="267" spans="1:8" s="560" customFormat="1" ht="13.2" hidden="1" customHeight="1">
      <c r="A267" s="604" t="s">
        <v>777</v>
      </c>
      <c r="B267" s="604" t="s">
        <v>1192</v>
      </c>
      <c r="C267" s="614" t="s">
        <v>39</v>
      </c>
      <c r="D267" s="1013">
        <v>0</v>
      </c>
      <c r="E267" s="949">
        <v>0</v>
      </c>
      <c r="F267" s="581">
        <v>0</v>
      </c>
      <c r="G267" s="750" t="s">
        <v>1598</v>
      </c>
      <c r="H267" s="743">
        <v>186.08</v>
      </c>
    </row>
    <row r="268" spans="1:8" s="560" customFormat="1" ht="13.2" hidden="1" customHeight="1">
      <c r="A268" s="604" t="s">
        <v>778</v>
      </c>
      <c r="B268" s="604" t="s">
        <v>1158</v>
      </c>
      <c r="C268" s="614" t="s">
        <v>47</v>
      </c>
      <c r="D268" s="1013">
        <v>0</v>
      </c>
      <c r="E268" s="949">
        <v>0</v>
      </c>
      <c r="F268" s="581">
        <v>0</v>
      </c>
      <c r="G268" s="750"/>
      <c r="H268" s="743">
        <v>0</v>
      </c>
    </row>
    <row r="269" spans="1:8" s="560" customFormat="1" ht="13.2" hidden="1" customHeight="1">
      <c r="A269" s="607" t="s">
        <v>779</v>
      </c>
      <c r="B269" s="607" t="s">
        <v>1214</v>
      </c>
      <c r="C269" s="690"/>
      <c r="D269" s="1013">
        <v>0</v>
      </c>
      <c r="E269" s="949">
        <v>0</v>
      </c>
      <c r="F269" s="581">
        <v>0</v>
      </c>
      <c r="G269" s="750" t="s">
        <v>1599</v>
      </c>
      <c r="H269" s="743">
        <v>899.99</v>
      </c>
    </row>
    <row r="270" spans="1:8" s="560" customFormat="1" ht="13.2" hidden="1" customHeight="1">
      <c r="A270" s="604" t="s">
        <v>780</v>
      </c>
      <c r="B270" s="604" t="s">
        <v>1215</v>
      </c>
      <c r="C270" s="614" t="s">
        <v>47</v>
      </c>
      <c r="D270" s="1013">
        <v>0</v>
      </c>
      <c r="E270" s="949">
        <v>0</v>
      </c>
      <c r="F270" s="581">
        <v>0</v>
      </c>
      <c r="G270" s="750" t="s">
        <v>1600</v>
      </c>
      <c r="H270" s="743">
        <v>394.52</v>
      </c>
    </row>
    <row r="271" spans="1:8" s="560" customFormat="1" ht="13.2" hidden="1" customHeight="1">
      <c r="A271" s="604" t="s">
        <v>781</v>
      </c>
      <c r="B271" s="604" t="s">
        <v>1216</v>
      </c>
      <c r="C271" s="614" t="s">
        <v>47</v>
      </c>
      <c r="D271" s="1013">
        <v>0</v>
      </c>
      <c r="E271" s="949">
        <v>0</v>
      </c>
      <c r="F271" s="581">
        <v>0</v>
      </c>
      <c r="G271" s="750" t="s">
        <v>1601</v>
      </c>
      <c r="H271" s="743">
        <v>271.91000000000003</v>
      </c>
    </row>
    <row r="272" spans="1:8" s="560" customFormat="1" ht="13.2" hidden="1" customHeight="1">
      <c r="A272" s="604" t="s">
        <v>782</v>
      </c>
      <c r="B272" s="604" t="s">
        <v>1217</v>
      </c>
      <c r="C272" s="614" t="s">
        <v>47</v>
      </c>
      <c r="D272" s="1013">
        <v>0</v>
      </c>
      <c r="E272" s="949">
        <v>0</v>
      </c>
      <c r="F272" s="581">
        <v>0</v>
      </c>
      <c r="G272" s="750" t="s">
        <v>1602</v>
      </c>
      <c r="H272" s="743">
        <v>80.92</v>
      </c>
    </row>
    <row r="273" spans="1:8" s="560" customFormat="1" ht="13.2" hidden="1" customHeight="1">
      <c r="A273" s="604" t="s">
        <v>783</v>
      </c>
      <c r="B273" s="604" t="s">
        <v>1218</v>
      </c>
      <c r="C273" s="614" t="s">
        <v>37</v>
      </c>
      <c r="D273" s="1013">
        <v>0</v>
      </c>
      <c r="E273" s="949">
        <v>0</v>
      </c>
      <c r="F273" s="581">
        <v>0</v>
      </c>
      <c r="G273" s="750" t="s">
        <v>1603</v>
      </c>
      <c r="H273" s="743">
        <v>6</v>
      </c>
    </row>
    <row r="274" spans="1:8" s="560" customFormat="1" ht="13.2" hidden="1" customHeight="1">
      <c r="A274" s="604" t="s">
        <v>784</v>
      </c>
      <c r="B274" s="604" t="s">
        <v>1219</v>
      </c>
      <c r="C274" s="614" t="s">
        <v>1436</v>
      </c>
      <c r="D274" s="1013">
        <v>0</v>
      </c>
      <c r="E274" s="949">
        <v>0</v>
      </c>
      <c r="F274" s="581">
        <v>0</v>
      </c>
      <c r="G274" s="750"/>
      <c r="H274" s="743">
        <v>0</v>
      </c>
    </row>
    <row r="275" spans="1:8" s="560" customFormat="1" ht="13.2" hidden="1" customHeight="1">
      <c r="A275" s="607" t="s">
        <v>785</v>
      </c>
      <c r="B275" s="607" t="s">
        <v>1186</v>
      </c>
      <c r="C275" s="690"/>
      <c r="D275" s="1013">
        <v>0</v>
      </c>
      <c r="E275" s="949">
        <v>0</v>
      </c>
      <c r="F275" s="581">
        <v>0</v>
      </c>
      <c r="G275" s="750" t="s">
        <v>1604</v>
      </c>
      <c r="H275" s="743">
        <v>3</v>
      </c>
    </row>
    <row r="276" spans="1:8" s="560" customFormat="1" ht="13.95" hidden="1" customHeight="1">
      <c r="A276" s="604" t="s">
        <v>786</v>
      </c>
      <c r="B276" s="604" t="s">
        <v>224</v>
      </c>
      <c r="C276" s="614" t="s">
        <v>1436</v>
      </c>
      <c r="D276" s="1013">
        <v>0</v>
      </c>
      <c r="E276" s="949">
        <v>0</v>
      </c>
      <c r="F276" s="581">
        <v>0</v>
      </c>
      <c r="G276" s="750"/>
      <c r="H276" s="743">
        <v>0</v>
      </c>
    </row>
    <row r="277" spans="1:8" s="560" customFormat="1" ht="13.2" customHeight="1">
      <c r="A277" s="606" t="s">
        <v>44</v>
      </c>
      <c r="B277" s="606" t="s">
        <v>1220</v>
      </c>
      <c r="C277" s="690"/>
      <c r="D277" s="1013">
        <v>0</v>
      </c>
      <c r="E277" s="949">
        <v>0</v>
      </c>
      <c r="F277" s="581">
        <v>0</v>
      </c>
      <c r="G277" s="750"/>
      <c r="H277" s="743">
        <v>0</v>
      </c>
    </row>
    <row r="278" spans="1:8" s="560" customFormat="1" ht="13.2" hidden="1" customHeight="1">
      <c r="A278" s="607" t="s">
        <v>48</v>
      </c>
      <c r="B278" s="607" t="s">
        <v>1222</v>
      </c>
      <c r="C278" s="690"/>
      <c r="D278" s="1013">
        <v>0</v>
      </c>
      <c r="E278" s="949">
        <v>0</v>
      </c>
      <c r="F278" s="581">
        <v>0</v>
      </c>
      <c r="G278" s="750" t="s">
        <v>1605</v>
      </c>
      <c r="H278" s="743">
        <v>72.27</v>
      </c>
    </row>
    <row r="279" spans="1:8" s="560" customFormat="1" ht="13.2" hidden="1" customHeight="1">
      <c r="A279" s="604" t="s">
        <v>787</v>
      </c>
      <c r="B279" s="604" t="s">
        <v>1223</v>
      </c>
      <c r="C279" s="614" t="s">
        <v>36</v>
      </c>
      <c r="D279" s="1013">
        <v>0</v>
      </c>
      <c r="E279" s="949">
        <v>0</v>
      </c>
      <c r="F279" s="581">
        <v>0</v>
      </c>
      <c r="G279" s="750" t="s">
        <v>1606</v>
      </c>
      <c r="H279" s="743">
        <v>15.22</v>
      </c>
    </row>
    <row r="280" spans="1:8" s="560" customFormat="1" ht="13.2" hidden="1" customHeight="1">
      <c r="A280" s="604" t="s">
        <v>788</v>
      </c>
      <c r="B280" s="604" t="s">
        <v>1224</v>
      </c>
      <c r="C280" s="614" t="s">
        <v>36</v>
      </c>
      <c r="D280" s="1013">
        <v>0</v>
      </c>
      <c r="E280" s="949">
        <v>0</v>
      </c>
      <c r="F280" s="581">
        <v>0</v>
      </c>
      <c r="G280" s="750"/>
      <c r="H280" s="743">
        <v>0</v>
      </c>
    </row>
    <row r="281" spans="1:8" s="560" customFormat="1" ht="13.2" hidden="1" customHeight="1">
      <c r="A281" s="607" t="s">
        <v>49</v>
      </c>
      <c r="B281" s="607" t="s">
        <v>1225</v>
      </c>
      <c r="C281" s="690"/>
      <c r="D281" s="1013">
        <v>0</v>
      </c>
      <c r="E281" s="949">
        <v>0</v>
      </c>
      <c r="F281" s="581">
        <v>0</v>
      </c>
      <c r="G281" s="750" t="s">
        <v>1607</v>
      </c>
      <c r="H281" s="743">
        <v>123.1</v>
      </c>
    </row>
    <row r="282" spans="1:8" s="560" customFormat="1" ht="13.2" hidden="1" customHeight="1">
      <c r="A282" s="604" t="s">
        <v>789</v>
      </c>
      <c r="B282" s="604" t="s">
        <v>1226</v>
      </c>
      <c r="C282" s="614" t="s">
        <v>36</v>
      </c>
      <c r="D282" s="1013">
        <v>0</v>
      </c>
      <c r="E282" s="949">
        <v>0</v>
      </c>
      <c r="F282" s="581">
        <v>0</v>
      </c>
      <c r="G282" s="750" t="s">
        <v>1608</v>
      </c>
      <c r="H282" s="743">
        <v>54.38</v>
      </c>
    </row>
    <row r="283" spans="1:8" s="560" customFormat="1" ht="13.2" hidden="1" customHeight="1">
      <c r="A283" s="604" t="s">
        <v>790</v>
      </c>
      <c r="B283" s="604" t="s">
        <v>1227</v>
      </c>
      <c r="C283" s="614" t="s">
        <v>36</v>
      </c>
      <c r="D283" s="1013">
        <v>0</v>
      </c>
      <c r="E283" s="949">
        <v>0</v>
      </c>
      <c r="F283" s="581">
        <v>0</v>
      </c>
      <c r="G283" s="750" t="s">
        <v>1609</v>
      </c>
      <c r="H283" s="743">
        <v>34.44</v>
      </c>
    </row>
    <row r="284" spans="1:8" s="560" customFormat="1" ht="13.2" hidden="1" customHeight="1">
      <c r="A284" s="604" t="s">
        <v>791</v>
      </c>
      <c r="B284" s="604" t="s">
        <v>1228</v>
      </c>
      <c r="C284" s="614" t="s">
        <v>36</v>
      </c>
      <c r="D284" s="1013">
        <v>0</v>
      </c>
      <c r="E284" s="949">
        <v>0</v>
      </c>
      <c r="F284" s="581">
        <v>0</v>
      </c>
      <c r="G284" s="750" t="s">
        <v>1610</v>
      </c>
      <c r="H284" s="743">
        <v>30.39</v>
      </c>
    </row>
    <row r="285" spans="1:8" s="560" customFormat="1" ht="13.2" hidden="1" customHeight="1">
      <c r="A285" s="604" t="s">
        <v>792</v>
      </c>
      <c r="B285" s="604" t="s">
        <v>1229</v>
      </c>
      <c r="C285" s="614" t="s">
        <v>36</v>
      </c>
      <c r="D285" s="1013">
        <v>0</v>
      </c>
      <c r="E285" s="949">
        <v>0</v>
      </c>
      <c r="F285" s="581">
        <v>0</v>
      </c>
      <c r="G285" s="750" t="s">
        <v>1611</v>
      </c>
      <c r="H285" s="743">
        <v>39.17</v>
      </c>
    </row>
    <row r="286" spans="1:8" s="560" customFormat="1" ht="13.2" hidden="1" customHeight="1">
      <c r="A286" s="604" t="s">
        <v>793</v>
      </c>
      <c r="B286" s="604" t="s">
        <v>1230</v>
      </c>
      <c r="C286" s="614" t="s">
        <v>36</v>
      </c>
      <c r="D286" s="1013">
        <v>0</v>
      </c>
      <c r="E286" s="949">
        <v>0</v>
      </c>
      <c r="F286" s="581">
        <v>0</v>
      </c>
      <c r="G286" s="750" t="s">
        <v>1612</v>
      </c>
      <c r="H286" s="743">
        <v>68.38</v>
      </c>
    </row>
    <row r="287" spans="1:8" s="560" customFormat="1" ht="13.2" hidden="1" customHeight="1">
      <c r="A287" s="604" t="s">
        <v>794</v>
      </c>
      <c r="B287" s="604" t="s">
        <v>1231</v>
      </c>
      <c r="C287" s="614" t="s">
        <v>37</v>
      </c>
      <c r="D287" s="1013">
        <v>0</v>
      </c>
      <c r="E287" s="949">
        <v>0</v>
      </c>
      <c r="F287" s="581">
        <v>0</v>
      </c>
      <c r="G287" s="750" t="s">
        <v>1613</v>
      </c>
      <c r="H287" s="743">
        <v>228.32</v>
      </c>
    </row>
    <row r="288" spans="1:8" s="560" customFormat="1" ht="13.2" hidden="1" customHeight="1">
      <c r="A288" s="604" t="s">
        <v>795</v>
      </c>
      <c r="B288" s="604" t="s">
        <v>1232</v>
      </c>
      <c r="C288" s="614" t="s">
        <v>37</v>
      </c>
      <c r="D288" s="1013">
        <v>0</v>
      </c>
      <c r="E288" s="949">
        <v>0</v>
      </c>
      <c r="F288" s="581">
        <v>0</v>
      </c>
      <c r="G288" s="750"/>
      <c r="H288" s="743">
        <v>0</v>
      </c>
    </row>
    <row r="289" spans="1:8" s="560" customFormat="1" ht="13.2" hidden="1" customHeight="1">
      <c r="A289" s="607" t="s">
        <v>50</v>
      </c>
      <c r="B289" s="607" t="s">
        <v>1233</v>
      </c>
      <c r="C289" s="690"/>
      <c r="D289" s="1013">
        <v>0</v>
      </c>
      <c r="E289" s="949">
        <v>0</v>
      </c>
      <c r="F289" s="581">
        <v>0</v>
      </c>
      <c r="G289" s="750" t="s">
        <v>1614</v>
      </c>
      <c r="H289" s="743">
        <v>90.62</v>
      </c>
    </row>
    <row r="290" spans="1:8" s="560" customFormat="1" ht="13.2" hidden="1" customHeight="1">
      <c r="A290" s="604" t="s">
        <v>796</v>
      </c>
      <c r="B290" s="604" t="s">
        <v>1234</v>
      </c>
      <c r="C290" s="614" t="s">
        <v>36</v>
      </c>
      <c r="D290" s="1013">
        <v>0</v>
      </c>
      <c r="E290" s="949">
        <v>0</v>
      </c>
      <c r="F290" s="581">
        <v>0</v>
      </c>
      <c r="G290" s="750"/>
      <c r="H290" s="743">
        <v>0</v>
      </c>
    </row>
    <row r="291" spans="1:8" s="560" customFormat="1" ht="13.2" hidden="1" customHeight="1">
      <c r="A291" s="607" t="s">
        <v>276</v>
      </c>
      <c r="B291" s="607" t="s">
        <v>1235</v>
      </c>
      <c r="C291" s="690"/>
      <c r="D291" s="1013">
        <v>0</v>
      </c>
      <c r="E291" s="949">
        <v>0</v>
      </c>
      <c r="F291" s="581">
        <v>0</v>
      </c>
      <c r="G291" s="750" t="s">
        <v>1615</v>
      </c>
      <c r="H291" s="743">
        <v>72.22</v>
      </c>
    </row>
    <row r="292" spans="1:8" s="560" customFormat="1" ht="13.2" hidden="1" customHeight="1">
      <c r="A292" s="604" t="s">
        <v>797</v>
      </c>
      <c r="B292" s="604" t="s">
        <v>1236</v>
      </c>
      <c r="C292" s="614" t="s">
        <v>36</v>
      </c>
      <c r="D292" s="1013">
        <v>0</v>
      </c>
      <c r="E292" s="949">
        <v>0</v>
      </c>
      <c r="F292" s="581">
        <v>0</v>
      </c>
      <c r="G292" s="750" t="s">
        <v>1616</v>
      </c>
      <c r="H292" s="743">
        <v>56.44</v>
      </c>
    </row>
    <row r="293" spans="1:8" s="560" customFormat="1" ht="13.2" hidden="1" customHeight="1">
      <c r="A293" s="604" t="s">
        <v>798</v>
      </c>
      <c r="B293" s="604" t="s">
        <v>1237</v>
      </c>
      <c r="C293" s="614" t="s">
        <v>36</v>
      </c>
      <c r="D293" s="1013">
        <v>0</v>
      </c>
      <c r="E293" s="949">
        <v>0</v>
      </c>
      <c r="F293" s="581">
        <v>0</v>
      </c>
      <c r="G293" s="750" t="s">
        <v>1617</v>
      </c>
      <c r="H293" s="743">
        <v>15.78</v>
      </c>
    </row>
    <row r="294" spans="1:8" s="560" customFormat="1" ht="13.2" hidden="1" customHeight="1">
      <c r="A294" s="604" t="s">
        <v>799</v>
      </c>
      <c r="B294" s="604" t="s">
        <v>1238</v>
      </c>
      <c r="C294" s="614" t="s">
        <v>36</v>
      </c>
      <c r="D294" s="1013">
        <v>0</v>
      </c>
      <c r="E294" s="949">
        <v>0</v>
      </c>
      <c r="F294" s="581">
        <v>0</v>
      </c>
      <c r="G294" s="750"/>
      <c r="H294" s="743">
        <v>0</v>
      </c>
    </row>
    <row r="295" spans="1:8" s="560" customFormat="1" ht="13.2" hidden="1" customHeight="1">
      <c r="A295" s="607" t="s">
        <v>278</v>
      </c>
      <c r="B295" s="607" t="s">
        <v>1239</v>
      </c>
      <c r="C295" s="690"/>
      <c r="D295" s="1013">
        <v>0</v>
      </c>
      <c r="E295" s="949">
        <v>0</v>
      </c>
      <c r="F295" s="581">
        <v>0</v>
      </c>
      <c r="G295" s="750" t="s">
        <v>1618</v>
      </c>
      <c r="H295" s="743">
        <v>11.52</v>
      </c>
    </row>
    <row r="296" spans="1:8" s="560" customFormat="1" ht="13.2" hidden="1" customHeight="1">
      <c r="A296" s="604" t="s">
        <v>800</v>
      </c>
      <c r="B296" s="604" t="s">
        <v>1240</v>
      </c>
      <c r="C296" s="614" t="s">
        <v>37</v>
      </c>
      <c r="D296" s="1013">
        <v>0</v>
      </c>
      <c r="E296" s="949">
        <v>0</v>
      </c>
      <c r="F296" s="581">
        <v>0</v>
      </c>
      <c r="G296" s="750" t="s">
        <v>1619</v>
      </c>
      <c r="H296" s="743">
        <v>5.18</v>
      </c>
    </row>
    <row r="297" spans="1:8" s="560" customFormat="1" ht="13.2" hidden="1" customHeight="1">
      <c r="A297" s="604" t="s">
        <v>801</v>
      </c>
      <c r="B297" s="604" t="s">
        <v>1241</v>
      </c>
      <c r="C297" s="614" t="s">
        <v>36</v>
      </c>
      <c r="D297" s="1013">
        <v>0</v>
      </c>
      <c r="E297" s="949">
        <v>0</v>
      </c>
      <c r="F297" s="581">
        <v>0</v>
      </c>
      <c r="G297" s="750"/>
      <c r="H297" s="743">
        <v>0</v>
      </c>
    </row>
    <row r="298" spans="1:8" s="560" customFormat="1" ht="13.2" hidden="1" customHeight="1">
      <c r="A298" s="607" t="s">
        <v>279</v>
      </c>
      <c r="B298" s="607" t="s">
        <v>1242</v>
      </c>
      <c r="C298" s="690"/>
      <c r="D298" s="1013">
        <v>0</v>
      </c>
      <c r="E298" s="949">
        <v>0</v>
      </c>
      <c r="F298" s="581">
        <v>0</v>
      </c>
      <c r="G298" s="750" t="s">
        <v>1620</v>
      </c>
      <c r="H298" s="743">
        <v>73.5</v>
      </c>
    </row>
    <row r="299" spans="1:8" s="560" customFormat="1" ht="13.2" hidden="1" customHeight="1">
      <c r="A299" s="604" t="s">
        <v>802</v>
      </c>
      <c r="B299" s="604" t="s">
        <v>1243</v>
      </c>
      <c r="C299" s="614" t="s">
        <v>36</v>
      </c>
      <c r="D299" s="1013">
        <v>0</v>
      </c>
      <c r="E299" s="949">
        <v>0</v>
      </c>
      <c r="F299" s="581">
        <v>0</v>
      </c>
      <c r="G299" s="750"/>
      <c r="H299" s="743">
        <v>0</v>
      </c>
    </row>
    <row r="300" spans="1:8" s="560" customFormat="1" ht="13.2" hidden="1" customHeight="1">
      <c r="A300" s="607" t="s">
        <v>280</v>
      </c>
      <c r="B300" s="607" t="s">
        <v>1244</v>
      </c>
      <c r="C300" s="690"/>
      <c r="D300" s="1013">
        <v>0</v>
      </c>
      <c r="E300" s="949">
        <v>0</v>
      </c>
      <c r="F300" s="581">
        <v>0</v>
      </c>
      <c r="G300" s="750" t="s">
        <v>1621</v>
      </c>
      <c r="H300" s="743">
        <v>15.8</v>
      </c>
    </row>
    <row r="301" spans="1:8" s="560" customFormat="1" ht="13.2" hidden="1" customHeight="1">
      <c r="A301" s="604" t="s">
        <v>803</v>
      </c>
      <c r="B301" s="604" t="s">
        <v>1245</v>
      </c>
      <c r="C301" s="614" t="s">
        <v>36</v>
      </c>
      <c r="D301" s="1013">
        <v>0</v>
      </c>
      <c r="E301" s="949">
        <v>0</v>
      </c>
      <c r="F301" s="581">
        <v>0</v>
      </c>
      <c r="G301" s="750" t="s">
        <v>1622</v>
      </c>
      <c r="H301" s="743">
        <v>27.62</v>
      </c>
    </row>
    <row r="302" spans="1:8" s="560" customFormat="1" ht="13.2" hidden="1" customHeight="1">
      <c r="A302" s="604" t="s">
        <v>804</v>
      </c>
      <c r="B302" s="604" t="s">
        <v>1246</v>
      </c>
      <c r="C302" s="614" t="s">
        <v>37</v>
      </c>
      <c r="D302" s="1013">
        <v>0</v>
      </c>
      <c r="E302" s="949">
        <v>0</v>
      </c>
      <c r="F302" s="581">
        <v>0</v>
      </c>
      <c r="G302" s="750" t="s">
        <v>1623</v>
      </c>
      <c r="H302" s="743">
        <v>30.2</v>
      </c>
    </row>
    <row r="303" spans="1:8" s="560" customFormat="1" ht="13.2" hidden="1" customHeight="1">
      <c r="A303" s="604" t="s">
        <v>805</v>
      </c>
      <c r="B303" s="604" t="s">
        <v>1247</v>
      </c>
      <c r="C303" s="614" t="s">
        <v>37</v>
      </c>
      <c r="D303" s="1013">
        <v>0</v>
      </c>
      <c r="E303" s="949">
        <v>0</v>
      </c>
      <c r="F303" s="581">
        <v>0</v>
      </c>
      <c r="G303" s="750"/>
      <c r="H303" s="743">
        <v>0</v>
      </c>
    </row>
    <row r="304" spans="1:8" s="560" customFormat="1" ht="13.2" hidden="1" customHeight="1">
      <c r="A304" s="607" t="s">
        <v>281</v>
      </c>
      <c r="B304" s="607" t="s">
        <v>1184</v>
      </c>
      <c r="C304" s="690"/>
      <c r="D304" s="1013">
        <v>0</v>
      </c>
      <c r="E304" s="949">
        <v>0</v>
      </c>
      <c r="F304" s="581">
        <v>0</v>
      </c>
      <c r="G304" s="750" t="s">
        <v>1624</v>
      </c>
      <c r="H304" s="743">
        <v>90.78</v>
      </c>
    </row>
    <row r="305" spans="1:8" s="560" customFormat="1" ht="13.2" hidden="1" customHeight="1">
      <c r="A305" s="604" t="s">
        <v>806</v>
      </c>
      <c r="B305" s="604" t="s">
        <v>1248</v>
      </c>
      <c r="C305" s="614" t="s">
        <v>36</v>
      </c>
      <c r="D305" s="1013">
        <v>0</v>
      </c>
      <c r="E305" s="949">
        <v>0</v>
      </c>
      <c r="F305" s="581">
        <v>0</v>
      </c>
      <c r="G305" s="750" t="s">
        <v>1625</v>
      </c>
      <c r="H305" s="743">
        <v>29.18</v>
      </c>
    </row>
    <row r="306" spans="1:8" s="560" customFormat="1" ht="13.2" hidden="1" customHeight="1">
      <c r="A306" s="604" t="s">
        <v>807</v>
      </c>
      <c r="B306" s="604" t="s">
        <v>1249</v>
      </c>
      <c r="C306" s="614" t="s">
        <v>37</v>
      </c>
      <c r="D306" s="1013">
        <v>0</v>
      </c>
      <c r="E306" s="949">
        <v>0</v>
      </c>
      <c r="F306" s="581">
        <v>0</v>
      </c>
      <c r="G306" s="750"/>
      <c r="H306" s="743">
        <v>0</v>
      </c>
    </row>
    <row r="307" spans="1:8" s="560" customFormat="1" ht="13.2" hidden="1" customHeight="1">
      <c r="A307" s="607" t="s">
        <v>808</v>
      </c>
      <c r="B307" s="607" t="s">
        <v>1250</v>
      </c>
      <c r="C307" s="690"/>
      <c r="D307" s="1013">
        <v>0</v>
      </c>
      <c r="E307" s="949">
        <v>0</v>
      </c>
      <c r="F307" s="581">
        <v>0</v>
      </c>
      <c r="G307" s="750" t="s">
        <v>1626</v>
      </c>
      <c r="H307" s="743">
        <v>6.3</v>
      </c>
    </row>
    <row r="308" spans="1:8" s="560" customFormat="1" ht="13.2" hidden="1" customHeight="1">
      <c r="A308" s="604" t="s">
        <v>809</v>
      </c>
      <c r="B308" s="604" t="s">
        <v>1251</v>
      </c>
      <c r="C308" s="614" t="s">
        <v>36</v>
      </c>
      <c r="D308" s="1013">
        <v>0</v>
      </c>
      <c r="E308" s="949">
        <v>0</v>
      </c>
      <c r="F308" s="581">
        <v>0</v>
      </c>
      <c r="G308" s="750"/>
      <c r="H308" s="743">
        <v>0</v>
      </c>
    </row>
    <row r="309" spans="1:8" s="560" customFormat="1" ht="13.2" hidden="1" customHeight="1">
      <c r="A309" s="607" t="s">
        <v>810</v>
      </c>
      <c r="B309" s="607" t="s">
        <v>1252</v>
      </c>
      <c r="C309" s="690"/>
      <c r="D309" s="1013">
        <v>0</v>
      </c>
      <c r="E309" s="949">
        <v>0</v>
      </c>
      <c r="F309" s="581">
        <v>0</v>
      </c>
      <c r="G309" s="750" t="s">
        <v>1627</v>
      </c>
      <c r="H309" s="743">
        <v>9</v>
      </c>
    </row>
    <row r="310" spans="1:8" s="560" customFormat="1" ht="13.2" hidden="1" customHeight="1">
      <c r="A310" s="604" t="s">
        <v>811</v>
      </c>
      <c r="B310" s="604" t="s">
        <v>1253</v>
      </c>
      <c r="C310" s="614" t="s">
        <v>1437</v>
      </c>
      <c r="D310" s="1013">
        <v>0</v>
      </c>
      <c r="E310" s="949">
        <v>0</v>
      </c>
      <c r="F310" s="581">
        <v>0</v>
      </c>
      <c r="G310" s="750" t="s">
        <v>1604</v>
      </c>
      <c r="H310" s="743">
        <v>3</v>
      </c>
    </row>
    <row r="311" spans="1:8" s="560" customFormat="1" ht="13.2" hidden="1" customHeight="1">
      <c r="A311" s="604" t="s">
        <v>812</v>
      </c>
      <c r="B311" s="604" t="s">
        <v>1254</v>
      </c>
      <c r="C311" s="614" t="s">
        <v>35</v>
      </c>
      <c r="D311" s="1013">
        <v>0</v>
      </c>
      <c r="E311" s="949">
        <v>0</v>
      </c>
      <c r="F311" s="581">
        <v>0</v>
      </c>
      <c r="G311" s="750"/>
      <c r="H311" s="743">
        <v>0</v>
      </c>
    </row>
    <row r="312" spans="1:8" s="560" customFormat="1" ht="13.2" hidden="1" customHeight="1">
      <c r="A312" s="607" t="s">
        <v>813</v>
      </c>
      <c r="B312" s="607" t="s">
        <v>1255</v>
      </c>
      <c r="C312" s="690"/>
      <c r="D312" s="1013">
        <v>0</v>
      </c>
      <c r="E312" s="949">
        <v>0</v>
      </c>
      <c r="F312" s="581">
        <v>0</v>
      </c>
      <c r="G312" s="750" t="s">
        <v>1628</v>
      </c>
      <c r="H312" s="743">
        <v>19.149999999999999</v>
      </c>
    </row>
    <row r="313" spans="1:8" s="560" customFormat="1" ht="13.2" hidden="1" customHeight="1">
      <c r="A313" s="604" t="s">
        <v>814</v>
      </c>
      <c r="B313" s="604" t="s">
        <v>1256</v>
      </c>
      <c r="C313" s="614" t="s">
        <v>36</v>
      </c>
      <c r="D313" s="1013">
        <v>0</v>
      </c>
      <c r="E313" s="949">
        <v>0</v>
      </c>
      <c r="F313" s="581">
        <v>0</v>
      </c>
      <c r="G313" s="750" t="s">
        <v>1629</v>
      </c>
      <c r="H313" s="743">
        <v>1.5</v>
      </c>
    </row>
    <row r="314" spans="1:8" s="560" customFormat="1" ht="13.2" hidden="1" customHeight="1">
      <c r="A314" s="604" t="s">
        <v>815</v>
      </c>
      <c r="B314" s="604" t="s">
        <v>1257</v>
      </c>
      <c r="C314" s="614" t="s">
        <v>36</v>
      </c>
      <c r="D314" s="1013">
        <v>0</v>
      </c>
      <c r="E314" s="949">
        <v>0</v>
      </c>
      <c r="F314" s="581">
        <v>0</v>
      </c>
      <c r="G314" s="750"/>
      <c r="H314" s="743">
        <v>0</v>
      </c>
    </row>
    <row r="315" spans="1:8" s="560" customFormat="1" ht="13.2" hidden="1" customHeight="1">
      <c r="A315" s="607" t="s">
        <v>816</v>
      </c>
      <c r="B315" s="607" t="s">
        <v>1258</v>
      </c>
      <c r="C315" s="690"/>
      <c r="D315" s="1013">
        <v>0</v>
      </c>
      <c r="E315" s="949">
        <v>0</v>
      </c>
      <c r="F315" s="581">
        <v>0</v>
      </c>
      <c r="G315" s="750" t="s">
        <v>1614</v>
      </c>
      <c r="H315" s="743">
        <v>90.62</v>
      </c>
    </row>
    <row r="316" spans="1:8" s="560" customFormat="1" ht="13.2" hidden="1" customHeight="1">
      <c r="A316" s="604" t="s">
        <v>817</v>
      </c>
      <c r="B316" s="604" t="s">
        <v>1259</v>
      </c>
      <c r="C316" s="614" t="s">
        <v>36</v>
      </c>
      <c r="D316" s="1013">
        <v>0</v>
      </c>
      <c r="E316" s="949">
        <v>0</v>
      </c>
      <c r="F316" s="581">
        <v>0</v>
      </c>
      <c r="G316" s="750" t="s">
        <v>1607</v>
      </c>
      <c r="H316" s="743">
        <v>123.1</v>
      </c>
    </row>
    <row r="317" spans="1:8" s="560" customFormat="1" ht="13.2" hidden="1" customHeight="1">
      <c r="A317" s="604" t="s">
        <v>818</v>
      </c>
      <c r="B317" s="604" t="s">
        <v>1260</v>
      </c>
      <c r="C317" s="614" t="s">
        <v>36</v>
      </c>
      <c r="D317" s="1013">
        <v>0</v>
      </c>
      <c r="E317" s="949">
        <v>0</v>
      </c>
      <c r="F317" s="581">
        <v>0</v>
      </c>
      <c r="G317" s="750" t="s">
        <v>1608</v>
      </c>
      <c r="H317" s="743">
        <v>54.38</v>
      </c>
    </row>
    <row r="318" spans="1:8" s="560" customFormat="1" ht="13.2" hidden="1" customHeight="1">
      <c r="A318" s="604" t="s">
        <v>819</v>
      </c>
      <c r="B318" s="604" t="s">
        <v>1261</v>
      </c>
      <c r="C318" s="614" t="s">
        <v>36</v>
      </c>
      <c r="D318" s="1013">
        <v>0</v>
      </c>
      <c r="E318" s="949">
        <v>0</v>
      </c>
      <c r="F318" s="581">
        <v>0</v>
      </c>
      <c r="G318" s="750" t="s">
        <v>1609</v>
      </c>
      <c r="H318" s="743">
        <v>34.44</v>
      </c>
    </row>
    <row r="319" spans="1:8" s="560" customFormat="1" ht="13.2" hidden="1" customHeight="1">
      <c r="A319" s="604" t="s">
        <v>820</v>
      </c>
      <c r="B319" s="604" t="s">
        <v>1262</v>
      </c>
      <c r="C319" s="614" t="s">
        <v>36</v>
      </c>
      <c r="D319" s="1013">
        <v>0</v>
      </c>
      <c r="E319" s="949">
        <v>0</v>
      </c>
      <c r="F319" s="581">
        <v>0</v>
      </c>
      <c r="G319" s="750" t="s">
        <v>1610</v>
      </c>
      <c r="H319" s="743">
        <v>30.39</v>
      </c>
    </row>
    <row r="320" spans="1:8" s="560" customFormat="1" ht="13.2" hidden="1" customHeight="1">
      <c r="A320" s="604" t="s">
        <v>821</v>
      </c>
      <c r="B320" s="604" t="s">
        <v>1263</v>
      </c>
      <c r="C320" s="614" t="s">
        <v>36</v>
      </c>
      <c r="D320" s="1013">
        <v>0</v>
      </c>
      <c r="E320" s="949">
        <v>0</v>
      </c>
      <c r="F320" s="581">
        <v>0</v>
      </c>
      <c r="G320" s="750" t="s">
        <v>1621</v>
      </c>
      <c r="H320" s="743">
        <v>15.8</v>
      </c>
    </row>
    <row r="321" spans="1:8" s="560" customFormat="1" ht="13.2" hidden="1" customHeight="1">
      <c r="A321" s="604" t="s">
        <v>822</v>
      </c>
      <c r="B321" s="604" t="s">
        <v>1264</v>
      </c>
      <c r="C321" s="614" t="s">
        <v>36</v>
      </c>
      <c r="D321" s="1013">
        <v>0</v>
      </c>
      <c r="E321" s="949">
        <v>0</v>
      </c>
      <c r="F321" s="581">
        <v>0</v>
      </c>
      <c r="G321" s="750" t="s">
        <v>1630</v>
      </c>
      <c r="H321" s="743">
        <v>12.6</v>
      </c>
    </row>
    <row r="322" spans="1:8" s="560" customFormat="1" ht="13.2" hidden="1" customHeight="1">
      <c r="A322" s="604" t="s">
        <v>823</v>
      </c>
      <c r="B322" s="604" t="s">
        <v>1265</v>
      </c>
      <c r="C322" s="614" t="s">
        <v>36</v>
      </c>
      <c r="D322" s="1013">
        <v>0</v>
      </c>
      <c r="E322" s="949">
        <v>0</v>
      </c>
      <c r="F322" s="581">
        <v>0</v>
      </c>
      <c r="G322" s="750"/>
      <c r="H322" s="743">
        <v>0</v>
      </c>
    </row>
    <row r="323" spans="1:8" s="560" customFormat="1" ht="13.2" hidden="1" customHeight="1">
      <c r="A323" s="607" t="s">
        <v>824</v>
      </c>
      <c r="B323" s="607" t="s">
        <v>1266</v>
      </c>
      <c r="C323" s="690"/>
      <c r="D323" s="1013">
        <v>0</v>
      </c>
      <c r="E323" s="949">
        <v>0</v>
      </c>
      <c r="F323" s="581">
        <v>0</v>
      </c>
      <c r="G323" s="750" t="s">
        <v>1627</v>
      </c>
      <c r="H323" s="743">
        <v>9</v>
      </c>
    </row>
    <row r="324" spans="1:8" s="560" customFormat="1" ht="13.2" hidden="1" customHeight="1">
      <c r="A324" s="604" t="s">
        <v>825</v>
      </c>
      <c r="B324" s="604" t="s">
        <v>1267</v>
      </c>
      <c r="C324" s="614" t="s">
        <v>1436</v>
      </c>
      <c r="D324" s="1013">
        <v>0</v>
      </c>
      <c r="E324" s="949">
        <v>0</v>
      </c>
      <c r="F324" s="581">
        <v>0</v>
      </c>
      <c r="G324" s="750" t="s">
        <v>1441</v>
      </c>
      <c r="H324" s="743">
        <v>1</v>
      </c>
    </row>
    <row r="325" spans="1:8" s="560" customFormat="1" ht="13.2" hidden="1" customHeight="1">
      <c r="A325" s="604" t="s">
        <v>826</v>
      </c>
      <c r="B325" s="604" t="s">
        <v>1268</v>
      </c>
      <c r="C325" s="614" t="s">
        <v>63</v>
      </c>
      <c r="D325" s="1013">
        <v>0</v>
      </c>
      <c r="E325" s="949">
        <v>0</v>
      </c>
      <c r="F325" s="581">
        <v>0</v>
      </c>
      <c r="G325" s="750" t="s">
        <v>1631</v>
      </c>
      <c r="H325" s="743">
        <v>21.02</v>
      </c>
    </row>
    <row r="326" spans="1:8" s="560" customFormat="1" ht="13.2" hidden="1" customHeight="1">
      <c r="A326" s="604" t="s">
        <v>827</v>
      </c>
      <c r="B326" s="604" t="s">
        <v>1269</v>
      </c>
      <c r="C326" s="614" t="s">
        <v>36</v>
      </c>
      <c r="D326" s="1013">
        <v>0</v>
      </c>
      <c r="E326" s="949">
        <v>0</v>
      </c>
      <c r="F326" s="581">
        <v>0</v>
      </c>
      <c r="G326" s="750"/>
      <c r="H326" s="743">
        <v>0</v>
      </c>
    </row>
    <row r="327" spans="1:8" s="560" customFormat="1" ht="13.2" customHeight="1">
      <c r="A327" s="492" t="s">
        <v>461</v>
      </c>
      <c r="B327" s="608" t="s">
        <v>1270</v>
      </c>
      <c r="C327" s="690"/>
      <c r="D327" s="1013">
        <v>0</v>
      </c>
      <c r="E327" s="949">
        <v>0</v>
      </c>
      <c r="F327" s="581">
        <v>0</v>
      </c>
      <c r="G327" s="750"/>
      <c r="H327" s="743">
        <v>0</v>
      </c>
    </row>
    <row r="328" spans="1:8" s="560" customFormat="1" ht="13.2" customHeight="1">
      <c r="A328" s="607" t="s">
        <v>464</v>
      </c>
      <c r="B328" s="607" t="s">
        <v>1233</v>
      </c>
      <c r="C328" s="690"/>
      <c r="D328" s="1013">
        <v>0</v>
      </c>
      <c r="E328" s="949">
        <v>0</v>
      </c>
      <c r="F328" s="581">
        <v>0</v>
      </c>
      <c r="G328" s="750" t="s">
        <v>1641</v>
      </c>
      <c r="H328" s="743">
        <v>65.92</v>
      </c>
    </row>
    <row r="329" spans="1:8" s="560" customFormat="1" ht="13.2" customHeight="1">
      <c r="A329" s="604" t="s">
        <v>837</v>
      </c>
      <c r="B329" s="604" t="s">
        <v>1234</v>
      </c>
      <c r="C329" s="614" t="s">
        <v>36</v>
      </c>
      <c r="D329" s="1059">
        <v>1.02</v>
      </c>
      <c r="E329" s="949">
        <v>0</v>
      </c>
      <c r="F329" s="581">
        <v>1.02</v>
      </c>
      <c r="G329" s="750"/>
      <c r="H329" s="743">
        <v>-1.02</v>
      </c>
    </row>
    <row r="330" spans="1:8" s="560" customFormat="1" ht="13.2" hidden="1" customHeight="1">
      <c r="A330" s="607" t="s">
        <v>465</v>
      </c>
      <c r="B330" s="607" t="s">
        <v>1235</v>
      </c>
      <c r="C330" s="690"/>
      <c r="D330" s="1013">
        <v>0</v>
      </c>
      <c r="E330" s="949">
        <v>0</v>
      </c>
      <c r="F330" s="581">
        <v>0</v>
      </c>
      <c r="G330" s="750" t="s">
        <v>1642</v>
      </c>
      <c r="H330" s="743">
        <v>57.88</v>
      </c>
    </row>
    <row r="331" spans="1:8" s="560" customFormat="1" ht="13.2" hidden="1" customHeight="1">
      <c r="A331" s="604" t="s">
        <v>838</v>
      </c>
      <c r="B331" s="604" t="s">
        <v>1236</v>
      </c>
      <c r="C331" s="614" t="s">
        <v>36</v>
      </c>
      <c r="D331" s="1013">
        <v>0</v>
      </c>
      <c r="E331" s="949">
        <v>0</v>
      </c>
      <c r="F331" s="581">
        <v>0</v>
      </c>
      <c r="G331" s="750" t="s">
        <v>1643</v>
      </c>
      <c r="H331" s="743">
        <v>40.200000000000003</v>
      </c>
    </row>
    <row r="332" spans="1:8" s="560" customFormat="1" ht="13.2" hidden="1" customHeight="1">
      <c r="A332" s="604" t="s">
        <v>839</v>
      </c>
      <c r="B332" s="604" t="s">
        <v>1271</v>
      </c>
      <c r="C332" s="614" t="s">
        <v>36</v>
      </c>
      <c r="D332" s="1013">
        <v>0</v>
      </c>
      <c r="E332" s="949">
        <v>0</v>
      </c>
      <c r="F332" s="581">
        <v>0</v>
      </c>
      <c r="G332" s="750" t="s">
        <v>1644</v>
      </c>
      <c r="H332" s="743">
        <v>5.72</v>
      </c>
    </row>
    <row r="333" spans="1:8" s="560" customFormat="1" ht="13.2" hidden="1" customHeight="1">
      <c r="A333" s="604" t="s">
        <v>840</v>
      </c>
      <c r="B333" s="604" t="s">
        <v>1237</v>
      </c>
      <c r="C333" s="614" t="s">
        <v>36</v>
      </c>
      <c r="D333" s="1013">
        <v>0</v>
      </c>
      <c r="E333" s="949">
        <v>0</v>
      </c>
      <c r="F333" s="581">
        <v>0</v>
      </c>
      <c r="G333" s="750" t="s">
        <v>1645</v>
      </c>
      <c r="H333" s="743">
        <v>11.96</v>
      </c>
    </row>
    <row r="334" spans="1:8" s="560" customFormat="1" ht="13.2" hidden="1" customHeight="1">
      <c r="A334" s="604" t="s">
        <v>841</v>
      </c>
      <c r="B334" s="604" t="s">
        <v>1238</v>
      </c>
      <c r="C334" s="614" t="s">
        <v>36</v>
      </c>
      <c r="D334" s="1013">
        <v>0</v>
      </c>
      <c r="E334" s="949">
        <v>0</v>
      </c>
      <c r="F334" s="581">
        <v>0</v>
      </c>
      <c r="G334" s="750"/>
      <c r="H334" s="743">
        <v>0</v>
      </c>
    </row>
    <row r="335" spans="1:8" s="560" customFormat="1" ht="13.2" hidden="1" customHeight="1">
      <c r="A335" s="607" t="s">
        <v>466</v>
      </c>
      <c r="B335" s="607" t="s">
        <v>1242</v>
      </c>
      <c r="C335" s="690"/>
      <c r="D335" s="1013">
        <v>0</v>
      </c>
      <c r="E335" s="949">
        <v>0</v>
      </c>
      <c r="F335" s="581">
        <v>0</v>
      </c>
      <c r="G335" s="750" t="s">
        <v>1646</v>
      </c>
      <c r="H335" s="743">
        <v>55.35</v>
      </c>
    </row>
    <row r="336" spans="1:8" s="560" customFormat="1" ht="13.2" hidden="1" customHeight="1">
      <c r="A336" s="604" t="s">
        <v>842</v>
      </c>
      <c r="B336" s="604" t="s">
        <v>1243</v>
      </c>
      <c r="C336" s="614" t="s">
        <v>36</v>
      </c>
      <c r="D336" s="1013">
        <v>0</v>
      </c>
      <c r="E336" s="949">
        <v>0</v>
      </c>
      <c r="F336" s="581">
        <v>0</v>
      </c>
      <c r="G336" s="750"/>
      <c r="H336" s="743">
        <v>0</v>
      </c>
    </row>
    <row r="337" spans="1:8" s="560" customFormat="1" ht="13.2" hidden="1" customHeight="1">
      <c r="A337" s="607" t="s">
        <v>467</v>
      </c>
      <c r="B337" s="607" t="s">
        <v>1244</v>
      </c>
      <c r="C337" s="690"/>
      <c r="D337" s="1013">
        <v>0</v>
      </c>
      <c r="E337" s="949">
        <v>0</v>
      </c>
      <c r="F337" s="581">
        <v>0</v>
      </c>
      <c r="G337" s="750" t="s">
        <v>1621</v>
      </c>
      <c r="H337" s="743">
        <v>15.8</v>
      </c>
    </row>
    <row r="338" spans="1:8" s="560" customFormat="1" ht="13.2" hidden="1" customHeight="1">
      <c r="A338" s="604" t="s">
        <v>843</v>
      </c>
      <c r="B338" s="604" t="s">
        <v>1245</v>
      </c>
      <c r="C338" s="614" t="s">
        <v>36</v>
      </c>
      <c r="D338" s="1013">
        <v>0</v>
      </c>
      <c r="E338" s="949">
        <v>0</v>
      </c>
      <c r="F338" s="581">
        <v>0</v>
      </c>
      <c r="G338" s="750" t="s">
        <v>1647</v>
      </c>
      <c r="H338" s="743">
        <v>29.4</v>
      </c>
    </row>
    <row r="339" spans="1:8" s="560" customFormat="1" ht="13.2" hidden="1" customHeight="1">
      <c r="A339" s="604" t="s">
        <v>844</v>
      </c>
      <c r="B339" s="604" t="s">
        <v>1272</v>
      </c>
      <c r="C339" s="614" t="s">
        <v>36</v>
      </c>
      <c r="D339" s="1013">
        <v>0</v>
      </c>
      <c r="E339" s="949">
        <v>0</v>
      </c>
      <c r="F339" s="581">
        <v>0</v>
      </c>
      <c r="G339" s="750" t="s">
        <v>1648</v>
      </c>
      <c r="H339" s="743">
        <v>9.6</v>
      </c>
    </row>
    <row r="340" spans="1:8" s="560" customFormat="1" ht="13.2" hidden="1" customHeight="1">
      <c r="A340" s="604" t="s">
        <v>845</v>
      </c>
      <c r="B340" s="604" t="s">
        <v>1247</v>
      </c>
      <c r="C340" s="614" t="s">
        <v>37</v>
      </c>
      <c r="D340" s="1013">
        <v>0</v>
      </c>
      <c r="E340" s="949">
        <v>0</v>
      </c>
      <c r="F340" s="581">
        <v>0</v>
      </c>
      <c r="G340" s="750" t="s">
        <v>1649</v>
      </c>
      <c r="H340" s="743">
        <v>23.08</v>
      </c>
    </row>
    <row r="341" spans="1:8" s="560" customFormat="1" ht="13.2" hidden="1" customHeight="1">
      <c r="A341" s="604" t="s">
        <v>846</v>
      </c>
      <c r="B341" s="604" t="s">
        <v>1273</v>
      </c>
      <c r="C341" s="614" t="s">
        <v>37</v>
      </c>
      <c r="D341" s="1013">
        <v>0</v>
      </c>
      <c r="E341" s="949">
        <v>0</v>
      </c>
      <c r="F341" s="581">
        <v>0</v>
      </c>
      <c r="G341" s="750"/>
      <c r="H341" s="743">
        <v>0</v>
      </c>
    </row>
    <row r="342" spans="1:8" s="560" customFormat="1" ht="13.2" hidden="1" customHeight="1">
      <c r="A342" s="607" t="s">
        <v>468</v>
      </c>
      <c r="B342" s="607" t="s">
        <v>1184</v>
      </c>
      <c r="C342" s="690"/>
      <c r="D342" s="1013">
        <v>0</v>
      </c>
      <c r="E342" s="949">
        <v>0</v>
      </c>
      <c r="F342" s="581">
        <v>0</v>
      </c>
      <c r="G342" s="750" t="s">
        <v>1650</v>
      </c>
      <c r="H342" s="743">
        <v>48.24</v>
      </c>
    </row>
    <row r="343" spans="1:8" s="560" customFormat="1" ht="13.2" hidden="1" customHeight="1">
      <c r="A343" s="604" t="s">
        <v>847</v>
      </c>
      <c r="B343" s="604" t="s">
        <v>1248</v>
      </c>
      <c r="C343" s="614" t="s">
        <v>36</v>
      </c>
      <c r="D343" s="1013">
        <v>0</v>
      </c>
      <c r="E343" s="949">
        <v>0</v>
      </c>
      <c r="F343" s="581">
        <v>0</v>
      </c>
      <c r="G343" s="750" t="s">
        <v>1651</v>
      </c>
      <c r="H343" s="743">
        <v>34.880000000000003</v>
      </c>
    </row>
    <row r="344" spans="1:8" s="560" customFormat="1" ht="13.2" hidden="1" customHeight="1">
      <c r="A344" s="604" t="s">
        <v>848</v>
      </c>
      <c r="B344" s="604" t="s">
        <v>1249</v>
      </c>
      <c r="C344" s="614" t="s">
        <v>37</v>
      </c>
      <c r="D344" s="1013">
        <v>0</v>
      </c>
      <c r="E344" s="949">
        <v>0</v>
      </c>
      <c r="F344" s="581">
        <v>0</v>
      </c>
      <c r="G344" s="750" t="s">
        <v>1652</v>
      </c>
      <c r="H344" s="743">
        <v>22.97</v>
      </c>
    </row>
    <row r="345" spans="1:8" s="560" customFormat="1" ht="13.2" hidden="1" customHeight="1">
      <c r="A345" s="604" t="s">
        <v>849</v>
      </c>
      <c r="B345" s="604" t="s">
        <v>1274</v>
      </c>
      <c r="C345" s="614" t="s">
        <v>36</v>
      </c>
      <c r="D345" s="1013">
        <v>0</v>
      </c>
      <c r="E345" s="949">
        <v>0</v>
      </c>
      <c r="F345" s="581">
        <v>0</v>
      </c>
      <c r="G345" s="750"/>
      <c r="H345" s="743">
        <v>0</v>
      </c>
    </row>
    <row r="346" spans="1:8" s="560" customFormat="1" ht="13.2" hidden="1" customHeight="1">
      <c r="A346" s="607" t="s">
        <v>469</v>
      </c>
      <c r="B346" s="607" t="s">
        <v>1250</v>
      </c>
      <c r="C346" s="614"/>
      <c r="D346" s="1013">
        <v>0</v>
      </c>
      <c r="E346" s="949">
        <v>0</v>
      </c>
      <c r="F346" s="581">
        <v>0</v>
      </c>
      <c r="G346" s="750" t="s">
        <v>1653</v>
      </c>
      <c r="H346" s="743">
        <v>5.88</v>
      </c>
    </row>
    <row r="347" spans="1:8" s="560" customFormat="1" ht="13.2" hidden="1" customHeight="1">
      <c r="A347" s="604" t="s">
        <v>850</v>
      </c>
      <c r="B347" s="604" t="s">
        <v>1275</v>
      </c>
      <c r="C347" s="614" t="s">
        <v>36</v>
      </c>
      <c r="D347" s="1013">
        <v>0</v>
      </c>
      <c r="E347" s="949">
        <v>0</v>
      </c>
      <c r="F347" s="581">
        <v>0</v>
      </c>
      <c r="G347" s="750" t="s">
        <v>1654</v>
      </c>
      <c r="H347" s="743">
        <v>1.68</v>
      </c>
    </row>
    <row r="348" spans="1:8" s="560" customFormat="1" ht="13.2" hidden="1" customHeight="1">
      <c r="A348" s="604" t="s">
        <v>851</v>
      </c>
      <c r="B348" s="604" t="s">
        <v>1276</v>
      </c>
      <c r="C348" s="614" t="s">
        <v>36</v>
      </c>
      <c r="D348" s="1013">
        <v>0</v>
      </c>
      <c r="E348" s="949">
        <v>0</v>
      </c>
      <c r="F348" s="581">
        <v>0</v>
      </c>
      <c r="G348" s="750"/>
      <c r="H348" s="743">
        <v>0</v>
      </c>
    </row>
    <row r="349" spans="1:8" s="560" customFormat="1" ht="13.2" hidden="1" customHeight="1">
      <c r="A349" s="607" t="s">
        <v>852</v>
      </c>
      <c r="B349" s="607" t="s">
        <v>1277</v>
      </c>
      <c r="C349" s="690"/>
      <c r="D349" s="1013">
        <v>0</v>
      </c>
      <c r="E349" s="949">
        <v>0</v>
      </c>
      <c r="F349" s="581">
        <v>0</v>
      </c>
      <c r="G349" s="750" t="s">
        <v>1655</v>
      </c>
      <c r="H349" s="743">
        <v>9.24</v>
      </c>
    </row>
    <row r="350" spans="1:8" s="560" customFormat="1" ht="13.2" hidden="1" customHeight="1">
      <c r="A350" s="604" t="s">
        <v>853</v>
      </c>
      <c r="B350" s="604" t="s">
        <v>1278</v>
      </c>
      <c r="C350" s="614" t="s">
        <v>36</v>
      </c>
      <c r="D350" s="1013">
        <v>0</v>
      </c>
      <c r="E350" s="949">
        <v>0</v>
      </c>
      <c r="F350" s="581">
        <v>0</v>
      </c>
      <c r="G350" s="750"/>
      <c r="H350" s="743">
        <v>0</v>
      </c>
    </row>
    <row r="351" spans="1:8" s="560" customFormat="1" ht="13.2" hidden="1" customHeight="1">
      <c r="A351" s="607" t="s">
        <v>854</v>
      </c>
      <c r="B351" s="607" t="s">
        <v>1252</v>
      </c>
      <c r="C351" s="690"/>
      <c r="D351" s="1013">
        <v>0</v>
      </c>
      <c r="E351" s="949">
        <v>0</v>
      </c>
      <c r="F351" s="581">
        <v>0</v>
      </c>
      <c r="G351" s="750" t="s">
        <v>1656</v>
      </c>
      <c r="H351" s="743">
        <v>20</v>
      </c>
    </row>
    <row r="352" spans="1:8" s="560" customFormat="1" ht="13.2" hidden="1" customHeight="1">
      <c r="A352" s="604" t="s">
        <v>855</v>
      </c>
      <c r="B352" s="604" t="s">
        <v>1253</v>
      </c>
      <c r="C352" s="614" t="s">
        <v>1437</v>
      </c>
      <c r="D352" s="1013">
        <v>0</v>
      </c>
      <c r="E352" s="949">
        <v>0</v>
      </c>
      <c r="F352" s="581">
        <v>0</v>
      </c>
      <c r="G352" s="750" t="s">
        <v>1657</v>
      </c>
      <c r="H352" s="743">
        <v>4</v>
      </c>
    </row>
    <row r="353" spans="1:8" s="560" customFormat="1" ht="13.2" hidden="1" customHeight="1">
      <c r="A353" s="604" t="s">
        <v>856</v>
      </c>
      <c r="B353" s="604" t="s">
        <v>1254</v>
      </c>
      <c r="C353" s="614" t="s">
        <v>35</v>
      </c>
      <c r="D353" s="1013">
        <v>0</v>
      </c>
      <c r="E353" s="949">
        <v>0</v>
      </c>
      <c r="F353" s="581">
        <v>0</v>
      </c>
      <c r="G353" s="750" t="s">
        <v>1657</v>
      </c>
      <c r="H353" s="743">
        <v>4</v>
      </c>
    </row>
    <row r="354" spans="1:8" s="560" customFormat="1" ht="13.2" hidden="1" customHeight="1">
      <c r="A354" s="604" t="s">
        <v>857</v>
      </c>
      <c r="B354" s="604" t="s">
        <v>1279</v>
      </c>
      <c r="C354" s="614" t="s">
        <v>1437</v>
      </c>
      <c r="D354" s="1013">
        <v>0</v>
      </c>
      <c r="E354" s="949">
        <v>0</v>
      </c>
      <c r="F354" s="581">
        <v>0</v>
      </c>
      <c r="G354" s="750"/>
      <c r="H354" s="743">
        <v>0</v>
      </c>
    </row>
    <row r="355" spans="1:8" s="560" customFormat="1" ht="13.2" hidden="1" customHeight="1">
      <c r="A355" s="607" t="s">
        <v>858</v>
      </c>
      <c r="B355" s="607" t="s">
        <v>1255</v>
      </c>
      <c r="C355" s="690"/>
      <c r="D355" s="1013">
        <v>0</v>
      </c>
      <c r="E355" s="949">
        <v>0</v>
      </c>
      <c r="F355" s="581">
        <v>0</v>
      </c>
      <c r="G355" s="750" t="s">
        <v>1658</v>
      </c>
      <c r="H355" s="743">
        <v>18.09</v>
      </c>
    </row>
    <row r="356" spans="1:8" s="560" customFormat="1" ht="13.2" hidden="1" customHeight="1">
      <c r="A356" s="604" t="s">
        <v>859</v>
      </c>
      <c r="B356" s="604" t="s">
        <v>1256</v>
      </c>
      <c r="C356" s="614" t="s">
        <v>36</v>
      </c>
      <c r="D356" s="1013">
        <v>0</v>
      </c>
      <c r="E356" s="949">
        <v>0</v>
      </c>
      <c r="F356" s="581">
        <v>0</v>
      </c>
      <c r="G356" s="750" t="s">
        <v>1659</v>
      </c>
      <c r="H356" s="743">
        <v>1.75</v>
      </c>
    </row>
    <row r="357" spans="1:8" s="560" customFormat="1" ht="13.2" hidden="1" customHeight="1">
      <c r="A357" s="604" t="s">
        <v>860</v>
      </c>
      <c r="B357" s="604" t="s">
        <v>1257</v>
      </c>
      <c r="C357" s="614" t="s">
        <v>36</v>
      </c>
      <c r="D357" s="1013">
        <v>0</v>
      </c>
      <c r="E357" s="949">
        <v>0</v>
      </c>
      <c r="F357" s="581">
        <v>0</v>
      </c>
      <c r="G357" s="750"/>
      <c r="H357" s="743">
        <v>0</v>
      </c>
    </row>
    <row r="358" spans="1:8" s="560" customFormat="1" ht="13.2" hidden="1" customHeight="1">
      <c r="A358" s="607" t="s">
        <v>861</v>
      </c>
      <c r="B358" s="607" t="s">
        <v>1258</v>
      </c>
      <c r="C358" s="690"/>
      <c r="D358" s="1013">
        <v>0</v>
      </c>
      <c r="E358" s="949">
        <v>0</v>
      </c>
      <c r="F358" s="581">
        <v>0</v>
      </c>
      <c r="G358" s="750" t="s">
        <v>1641</v>
      </c>
      <c r="H358" s="743">
        <v>65.92</v>
      </c>
    </row>
    <row r="359" spans="1:8" s="560" customFormat="1" ht="13.2" hidden="1" customHeight="1">
      <c r="A359" s="604" t="s">
        <v>862</v>
      </c>
      <c r="B359" s="604" t="s">
        <v>1259</v>
      </c>
      <c r="C359" s="614" t="s">
        <v>36</v>
      </c>
      <c r="D359" s="1013">
        <v>0</v>
      </c>
      <c r="E359" s="949">
        <v>0</v>
      </c>
      <c r="F359" s="581">
        <v>0</v>
      </c>
      <c r="G359" s="750" t="s">
        <v>1634</v>
      </c>
      <c r="H359" s="743">
        <v>99.99</v>
      </c>
    </row>
    <row r="360" spans="1:8" s="560" customFormat="1" ht="13.2" hidden="1" customHeight="1">
      <c r="A360" s="604" t="s">
        <v>863</v>
      </c>
      <c r="B360" s="604" t="s">
        <v>1260</v>
      </c>
      <c r="C360" s="614" t="s">
        <v>36</v>
      </c>
      <c r="D360" s="1013">
        <v>0</v>
      </c>
      <c r="E360" s="949">
        <v>0</v>
      </c>
      <c r="F360" s="581">
        <v>0</v>
      </c>
      <c r="G360" s="750" t="s">
        <v>1635</v>
      </c>
      <c r="H360" s="743">
        <v>60.07</v>
      </c>
    </row>
    <row r="361" spans="1:8" s="560" customFormat="1" ht="13.2" hidden="1" customHeight="1">
      <c r="A361" s="604" t="s">
        <v>864</v>
      </c>
      <c r="B361" s="604" t="s">
        <v>1261</v>
      </c>
      <c r="C361" s="614" t="s">
        <v>36</v>
      </c>
      <c r="D361" s="1013">
        <v>0</v>
      </c>
      <c r="E361" s="949">
        <v>0</v>
      </c>
      <c r="F361" s="581">
        <v>0</v>
      </c>
      <c r="G361" s="750" t="s">
        <v>1636</v>
      </c>
      <c r="H361" s="743">
        <v>33.6</v>
      </c>
    </row>
    <row r="362" spans="1:8" s="560" customFormat="1" ht="13.2" hidden="1" customHeight="1">
      <c r="A362" s="604" t="s">
        <v>865</v>
      </c>
      <c r="B362" s="604" t="s">
        <v>1262</v>
      </c>
      <c r="C362" s="614" t="s">
        <v>36</v>
      </c>
      <c r="D362" s="1013">
        <v>0</v>
      </c>
      <c r="E362" s="949">
        <v>0</v>
      </c>
      <c r="F362" s="581">
        <v>0</v>
      </c>
      <c r="G362" s="750" t="s">
        <v>1637</v>
      </c>
      <c r="H362" s="743">
        <v>27.42</v>
      </c>
    </row>
    <row r="363" spans="1:8" s="560" customFormat="1" ht="13.2" hidden="1" customHeight="1">
      <c r="A363" s="604" t="s">
        <v>866</v>
      </c>
      <c r="B363" s="604" t="s">
        <v>1263</v>
      </c>
      <c r="C363" s="614" t="s">
        <v>36</v>
      </c>
      <c r="D363" s="1013">
        <v>0</v>
      </c>
      <c r="E363" s="949">
        <v>0</v>
      </c>
      <c r="F363" s="581">
        <v>0</v>
      </c>
      <c r="G363" s="750" t="s">
        <v>1621</v>
      </c>
      <c r="H363" s="743">
        <v>15.8</v>
      </c>
    </row>
    <row r="364" spans="1:8" s="560" customFormat="1" ht="13.2" hidden="1" customHeight="1">
      <c r="A364" s="604" t="s">
        <v>867</v>
      </c>
      <c r="B364" s="604" t="s">
        <v>1264</v>
      </c>
      <c r="C364" s="614" t="s">
        <v>36</v>
      </c>
      <c r="D364" s="1013">
        <v>0</v>
      </c>
      <c r="E364" s="949">
        <v>0</v>
      </c>
      <c r="F364" s="581">
        <v>0</v>
      </c>
      <c r="G364" s="750" t="s">
        <v>1660</v>
      </c>
      <c r="H364" s="743">
        <v>14.7</v>
      </c>
    </row>
    <row r="365" spans="1:8" s="560" customFormat="1" ht="13.2" hidden="1" customHeight="1">
      <c r="A365" s="604" t="s">
        <v>868</v>
      </c>
      <c r="B365" s="604" t="s">
        <v>1265</v>
      </c>
      <c r="C365" s="614" t="s">
        <v>36</v>
      </c>
      <c r="D365" s="1013">
        <v>0</v>
      </c>
      <c r="E365" s="949">
        <v>0</v>
      </c>
      <c r="F365" s="581">
        <v>0</v>
      </c>
      <c r="G365" s="750"/>
      <c r="H365" s="743">
        <v>0</v>
      </c>
    </row>
    <row r="366" spans="1:8" s="560" customFormat="1" ht="13.2" hidden="1" customHeight="1">
      <c r="A366" s="607" t="s">
        <v>869</v>
      </c>
      <c r="B366" s="607" t="s">
        <v>1266</v>
      </c>
      <c r="C366" s="690"/>
      <c r="D366" s="1013">
        <v>0</v>
      </c>
      <c r="E366" s="949">
        <v>0</v>
      </c>
      <c r="F366" s="581">
        <v>0</v>
      </c>
      <c r="G366" s="750" t="s">
        <v>1661</v>
      </c>
      <c r="H366" s="743">
        <v>8</v>
      </c>
    </row>
    <row r="367" spans="1:8" s="560" customFormat="1" ht="13.2" hidden="1" customHeight="1">
      <c r="A367" s="604" t="s">
        <v>870</v>
      </c>
      <c r="B367" s="604" t="s">
        <v>1267</v>
      </c>
      <c r="C367" s="614" t="s">
        <v>1436</v>
      </c>
      <c r="D367" s="1013">
        <v>0</v>
      </c>
      <c r="E367" s="949">
        <v>0</v>
      </c>
      <c r="F367" s="581">
        <v>0</v>
      </c>
      <c r="G367" s="750" t="s">
        <v>1441</v>
      </c>
      <c r="H367" s="743">
        <v>1</v>
      </c>
    </row>
    <row r="368" spans="1:8" s="560" customFormat="1" ht="13.2" hidden="1" customHeight="1">
      <c r="A368" s="604" t="s">
        <v>871</v>
      </c>
      <c r="B368" s="604" t="s">
        <v>1268</v>
      </c>
      <c r="C368" s="614" t="s">
        <v>63</v>
      </c>
      <c r="D368" s="1013">
        <v>0</v>
      </c>
      <c r="E368" s="949">
        <v>0</v>
      </c>
      <c r="F368" s="581">
        <v>0</v>
      </c>
      <c r="G368" s="750" t="s">
        <v>1662</v>
      </c>
      <c r="H368" s="743">
        <v>19.84</v>
      </c>
    </row>
    <row r="369" spans="1:8" s="560" customFormat="1" ht="13.2" hidden="1" customHeight="1">
      <c r="A369" s="604" t="s">
        <v>872</v>
      </c>
      <c r="B369" s="604" t="s">
        <v>1269</v>
      </c>
      <c r="C369" s="614" t="s">
        <v>36</v>
      </c>
      <c r="D369" s="1013">
        <v>0</v>
      </c>
      <c r="E369" s="949">
        <v>0</v>
      </c>
      <c r="F369" s="581">
        <v>0</v>
      </c>
      <c r="G369" s="750"/>
      <c r="H369" s="743">
        <v>0</v>
      </c>
    </row>
    <row r="370" spans="1:8" s="560" customFormat="1" ht="13.2" hidden="1" customHeight="1">
      <c r="A370" s="492" t="s">
        <v>470</v>
      </c>
      <c r="B370" s="608" t="s">
        <v>1141</v>
      </c>
      <c r="C370" s="690"/>
      <c r="D370" s="1013">
        <v>0</v>
      </c>
      <c r="E370" s="949">
        <v>0</v>
      </c>
      <c r="F370" s="581">
        <v>0</v>
      </c>
      <c r="G370" s="750"/>
      <c r="H370" s="743">
        <v>0</v>
      </c>
    </row>
    <row r="371" spans="1:8" s="560" customFormat="1" ht="13.2" hidden="1" customHeight="1">
      <c r="A371" s="607" t="s">
        <v>471</v>
      </c>
      <c r="B371" s="607" t="s">
        <v>1222</v>
      </c>
      <c r="C371" s="690"/>
      <c r="D371" s="1013">
        <v>0</v>
      </c>
      <c r="E371" s="949">
        <v>0</v>
      </c>
      <c r="F371" s="581">
        <v>0</v>
      </c>
      <c r="G371" s="750" t="s">
        <v>1663</v>
      </c>
      <c r="H371" s="743">
        <v>45.75</v>
      </c>
    </row>
    <row r="372" spans="1:8" s="560" customFormat="1" ht="13.2" hidden="1" customHeight="1">
      <c r="A372" s="604" t="s">
        <v>873</v>
      </c>
      <c r="B372" s="604" t="s">
        <v>1223</v>
      </c>
      <c r="C372" s="614" t="s">
        <v>36</v>
      </c>
      <c r="D372" s="1013">
        <v>0</v>
      </c>
      <c r="E372" s="949">
        <v>0</v>
      </c>
      <c r="F372" s="581">
        <v>0</v>
      </c>
      <c r="G372" s="750" t="s">
        <v>1664</v>
      </c>
      <c r="H372" s="743">
        <v>18.920000000000002</v>
      </c>
    </row>
    <row r="373" spans="1:8" s="560" customFormat="1" ht="13.2" hidden="1" customHeight="1">
      <c r="A373" s="604" t="s">
        <v>874</v>
      </c>
      <c r="B373" s="604" t="s">
        <v>1224</v>
      </c>
      <c r="C373" s="614" t="s">
        <v>36</v>
      </c>
      <c r="D373" s="1013">
        <v>0</v>
      </c>
      <c r="E373" s="949">
        <v>0</v>
      </c>
      <c r="F373" s="581">
        <v>0</v>
      </c>
      <c r="G373" s="750"/>
      <c r="H373" s="743">
        <v>0</v>
      </c>
    </row>
    <row r="374" spans="1:8" s="560" customFormat="1" ht="13.2" hidden="1" customHeight="1">
      <c r="A374" s="607" t="s">
        <v>472</v>
      </c>
      <c r="B374" s="607" t="s">
        <v>1225</v>
      </c>
      <c r="C374" s="690"/>
      <c r="D374" s="1013">
        <v>0</v>
      </c>
      <c r="E374" s="949">
        <v>0</v>
      </c>
      <c r="F374" s="581">
        <v>0</v>
      </c>
      <c r="G374" s="750" t="s">
        <v>1665</v>
      </c>
      <c r="H374" s="743">
        <v>83.58</v>
      </c>
    </row>
    <row r="375" spans="1:8" s="560" customFormat="1" ht="13.2" hidden="1" customHeight="1">
      <c r="A375" s="604" t="s">
        <v>875</v>
      </c>
      <c r="B375" s="604" t="s">
        <v>1226</v>
      </c>
      <c r="C375" s="614" t="s">
        <v>36</v>
      </c>
      <c r="D375" s="1013">
        <v>0</v>
      </c>
      <c r="E375" s="949">
        <v>0</v>
      </c>
      <c r="F375" s="581">
        <v>0</v>
      </c>
      <c r="G375" s="750" t="s">
        <v>1663</v>
      </c>
      <c r="H375" s="743">
        <v>45.75</v>
      </c>
    </row>
    <row r="376" spans="1:8" s="560" customFormat="1" ht="13.2" hidden="1" customHeight="1">
      <c r="A376" s="604" t="s">
        <v>876</v>
      </c>
      <c r="B376" s="604" t="s">
        <v>1227</v>
      </c>
      <c r="C376" s="614" t="s">
        <v>36</v>
      </c>
      <c r="D376" s="1013">
        <v>0</v>
      </c>
      <c r="E376" s="949">
        <v>0</v>
      </c>
      <c r="F376" s="581">
        <v>0</v>
      </c>
      <c r="G376" s="750" t="s">
        <v>1666</v>
      </c>
      <c r="H376" s="743">
        <v>12.95</v>
      </c>
    </row>
    <row r="377" spans="1:8" s="560" customFormat="1" ht="13.2" hidden="1" customHeight="1">
      <c r="A377" s="604" t="s">
        <v>877</v>
      </c>
      <c r="B377" s="604" t="s">
        <v>1228</v>
      </c>
      <c r="C377" s="614" t="s">
        <v>36</v>
      </c>
      <c r="D377" s="1013">
        <v>0</v>
      </c>
      <c r="E377" s="949">
        <v>0</v>
      </c>
      <c r="F377" s="581">
        <v>0</v>
      </c>
      <c r="G377" s="750" t="s">
        <v>1667</v>
      </c>
      <c r="H377" s="743">
        <v>24.87</v>
      </c>
    </row>
    <row r="378" spans="1:8" s="560" customFormat="1" ht="13.2" hidden="1" customHeight="1">
      <c r="A378" s="604" t="s">
        <v>878</v>
      </c>
      <c r="B378" s="604" t="s">
        <v>1229</v>
      </c>
      <c r="C378" s="614" t="s">
        <v>36</v>
      </c>
      <c r="D378" s="1013">
        <v>0</v>
      </c>
      <c r="E378" s="949">
        <v>0</v>
      </c>
      <c r="F378" s="581">
        <v>0</v>
      </c>
      <c r="G378" s="750" t="s">
        <v>1668</v>
      </c>
      <c r="H378" s="743">
        <v>17.22</v>
      </c>
    </row>
    <row r="379" spans="1:8" s="560" customFormat="1" ht="13.2" hidden="1" customHeight="1">
      <c r="A379" s="604" t="s">
        <v>879</v>
      </c>
      <c r="B379" s="604" t="s">
        <v>1230</v>
      </c>
      <c r="C379" s="614" t="s">
        <v>36</v>
      </c>
      <c r="D379" s="1013">
        <v>0</v>
      </c>
      <c r="E379" s="949">
        <v>0</v>
      </c>
      <c r="F379" s="581">
        <v>0</v>
      </c>
      <c r="G379" s="750" t="s">
        <v>1669</v>
      </c>
      <c r="H379" s="743">
        <v>48.7</v>
      </c>
    </row>
    <row r="380" spans="1:8" s="560" customFormat="1" ht="13.2" hidden="1" customHeight="1">
      <c r="A380" s="604" t="s">
        <v>880</v>
      </c>
      <c r="B380" s="604" t="s">
        <v>1231</v>
      </c>
      <c r="C380" s="614" t="s">
        <v>37</v>
      </c>
      <c r="D380" s="1013">
        <v>0</v>
      </c>
      <c r="E380" s="949">
        <v>0</v>
      </c>
      <c r="F380" s="581">
        <v>0</v>
      </c>
      <c r="G380" s="750" t="s">
        <v>1670</v>
      </c>
      <c r="H380" s="743">
        <v>172.48</v>
      </c>
    </row>
    <row r="381" spans="1:8" s="560" customFormat="1" ht="13.2" hidden="1" customHeight="1">
      <c r="A381" s="604" t="s">
        <v>881</v>
      </c>
      <c r="B381" s="604" t="s">
        <v>1232</v>
      </c>
      <c r="C381" s="614" t="s">
        <v>37</v>
      </c>
      <c r="D381" s="1013">
        <v>0</v>
      </c>
      <c r="E381" s="949">
        <v>0</v>
      </c>
      <c r="F381" s="581">
        <v>0</v>
      </c>
      <c r="G381" s="750"/>
      <c r="H381" s="743">
        <v>0</v>
      </c>
    </row>
    <row r="382" spans="1:8" s="560" customFormat="1" ht="13.2" hidden="1" customHeight="1">
      <c r="A382" s="607" t="s">
        <v>473</v>
      </c>
      <c r="B382" s="607" t="s">
        <v>1233</v>
      </c>
      <c r="C382" s="690"/>
      <c r="D382" s="1013">
        <v>0</v>
      </c>
      <c r="E382" s="949">
        <v>0</v>
      </c>
      <c r="F382" s="581">
        <v>0</v>
      </c>
      <c r="G382" s="750" t="s">
        <v>1671</v>
      </c>
      <c r="H382" s="743">
        <v>38.24</v>
      </c>
    </row>
    <row r="383" spans="1:8" s="560" customFormat="1" ht="13.2" hidden="1" customHeight="1">
      <c r="A383" s="604" t="s">
        <v>882</v>
      </c>
      <c r="B383" s="604" t="s">
        <v>1234</v>
      </c>
      <c r="C383" s="614" t="s">
        <v>36</v>
      </c>
      <c r="D383" s="1013">
        <v>0</v>
      </c>
      <c r="E383" s="949">
        <v>0</v>
      </c>
      <c r="F383" s="581">
        <v>0</v>
      </c>
      <c r="G383" s="750"/>
      <c r="H383" s="743">
        <v>0</v>
      </c>
    </row>
    <row r="384" spans="1:8" s="560" customFormat="1" ht="13.2" hidden="1" customHeight="1">
      <c r="A384" s="607" t="s">
        <v>883</v>
      </c>
      <c r="B384" s="607" t="s">
        <v>1235</v>
      </c>
      <c r="C384" s="690"/>
      <c r="D384" s="1013">
        <v>0</v>
      </c>
      <c r="E384" s="949">
        <v>0</v>
      </c>
      <c r="F384" s="581">
        <v>0</v>
      </c>
      <c r="G384" s="750" t="s">
        <v>1672</v>
      </c>
      <c r="H384" s="743">
        <v>33.03</v>
      </c>
    </row>
    <row r="385" spans="1:8" s="560" customFormat="1" ht="13.2" hidden="1" customHeight="1">
      <c r="A385" s="604" t="s">
        <v>884</v>
      </c>
      <c r="B385" s="604" t="s">
        <v>1236</v>
      </c>
      <c r="C385" s="614" t="s">
        <v>36</v>
      </c>
      <c r="D385" s="1013">
        <v>0</v>
      </c>
      <c r="E385" s="949">
        <v>0</v>
      </c>
      <c r="F385" s="581">
        <v>0</v>
      </c>
      <c r="G385" s="750" t="s">
        <v>1673</v>
      </c>
      <c r="H385" s="743">
        <v>30.08</v>
      </c>
    </row>
    <row r="386" spans="1:8" s="560" customFormat="1" ht="13.2" hidden="1" customHeight="1">
      <c r="A386" s="604" t="s">
        <v>885</v>
      </c>
      <c r="B386" s="604" t="s">
        <v>1237</v>
      </c>
      <c r="C386" s="614" t="s">
        <v>36</v>
      </c>
      <c r="D386" s="1013">
        <v>0</v>
      </c>
      <c r="E386" s="949">
        <v>0</v>
      </c>
      <c r="F386" s="581">
        <v>0</v>
      </c>
      <c r="G386" s="750" t="s">
        <v>1674</v>
      </c>
      <c r="H386" s="743">
        <v>2.95</v>
      </c>
    </row>
    <row r="387" spans="1:8" s="560" customFormat="1" ht="13.2" hidden="1" customHeight="1">
      <c r="A387" s="604" t="s">
        <v>886</v>
      </c>
      <c r="B387" s="604" t="s">
        <v>1238</v>
      </c>
      <c r="C387" s="614" t="s">
        <v>36</v>
      </c>
      <c r="D387" s="1013">
        <v>0</v>
      </c>
      <c r="E387" s="949">
        <v>0</v>
      </c>
      <c r="F387" s="581">
        <v>0</v>
      </c>
      <c r="G387" s="750"/>
      <c r="H387" s="743">
        <v>0</v>
      </c>
    </row>
    <row r="388" spans="1:8" s="560" customFormat="1" ht="13.2" hidden="1" customHeight="1">
      <c r="A388" s="607" t="s">
        <v>887</v>
      </c>
      <c r="B388" s="607" t="s">
        <v>1239</v>
      </c>
      <c r="C388" s="690"/>
      <c r="D388" s="1013">
        <v>0</v>
      </c>
      <c r="E388" s="949">
        <v>0</v>
      </c>
      <c r="F388" s="581">
        <v>0</v>
      </c>
      <c r="G388" s="750" t="s">
        <v>1675</v>
      </c>
      <c r="H388" s="743">
        <v>6.15</v>
      </c>
    </row>
    <row r="389" spans="1:8" s="560" customFormat="1" ht="13.2" hidden="1" customHeight="1">
      <c r="A389" s="604" t="s">
        <v>888</v>
      </c>
      <c r="B389" s="604" t="s">
        <v>1280</v>
      </c>
      <c r="C389" s="614" t="s">
        <v>37</v>
      </c>
      <c r="D389" s="1013">
        <v>0</v>
      </c>
      <c r="E389" s="949">
        <v>0</v>
      </c>
      <c r="F389" s="581">
        <v>0</v>
      </c>
      <c r="G389" s="750" t="s">
        <v>1676</v>
      </c>
      <c r="H389" s="743">
        <v>2.77</v>
      </c>
    </row>
    <row r="390" spans="1:8" s="560" customFormat="1" ht="13.2" hidden="1" customHeight="1">
      <c r="A390" s="604" t="s">
        <v>889</v>
      </c>
      <c r="B390" s="604" t="s">
        <v>1241</v>
      </c>
      <c r="C390" s="614" t="s">
        <v>36</v>
      </c>
      <c r="D390" s="1013">
        <v>0</v>
      </c>
      <c r="E390" s="949">
        <v>0</v>
      </c>
      <c r="F390" s="581">
        <v>0</v>
      </c>
      <c r="G390" s="750"/>
      <c r="H390" s="743">
        <v>0</v>
      </c>
    </row>
    <row r="391" spans="1:8" s="560" customFormat="1" ht="13.2" hidden="1" customHeight="1">
      <c r="A391" s="607" t="s">
        <v>890</v>
      </c>
      <c r="B391" s="607" t="s">
        <v>1242</v>
      </c>
      <c r="C391" s="690"/>
      <c r="D391" s="1013">
        <v>0</v>
      </c>
      <c r="E391" s="949">
        <v>0</v>
      </c>
      <c r="F391" s="581">
        <v>0</v>
      </c>
      <c r="G391" s="750" t="s">
        <v>1677</v>
      </c>
      <c r="H391" s="743">
        <v>8.3000000000000007</v>
      </c>
    </row>
    <row r="392" spans="1:8" s="560" customFormat="1" ht="13.2" hidden="1" customHeight="1">
      <c r="A392" s="604" t="s">
        <v>891</v>
      </c>
      <c r="B392" s="604" t="s">
        <v>1243</v>
      </c>
      <c r="C392" s="614" t="s">
        <v>36</v>
      </c>
      <c r="D392" s="1013">
        <v>0</v>
      </c>
      <c r="E392" s="949">
        <v>0</v>
      </c>
      <c r="F392" s="581">
        <v>0</v>
      </c>
      <c r="G392" s="750"/>
      <c r="H392" s="743">
        <v>0</v>
      </c>
    </row>
    <row r="393" spans="1:8" s="560" customFormat="1" ht="13.2" hidden="1" customHeight="1">
      <c r="A393" s="604" t="s">
        <v>892</v>
      </c>
      <c r="B393" s="604" t="s">
        <v>1244</v>
      </c>
      <c r="C393" s="690"/>
      <c r="D393" s="1013">
        <v>0</v>
      </c>
      <c r="E393" s="949">
        <v>0</v>
      </c>
      <c r="F393" s="581">
        <v>0</v>
      </c>
      <c r="G393" s="750" t="s">
        <v>1678</v>
      </c>
      <c r="H393" s="743">
        <v>6.66</v>
      </c>
    </row>
    <row r="394" spans="1:8" s="560" customFormat="1" ht="13.2" hidden="1" customHeight="1">
      <c r="A394" s="604" t="s">
        <v>893</v>
      </c>
      <c r="B394" s="604" t="s">
        <v>1245</v>
      </c>
      <c r="C394" s="614" t="s">
        <v>36</v>
      </c>
      <c r="D394" s="1013">
        <v>0</v>
      </c>
      <c r="E394" s="949">
        <v>0</v>
      </c>
      <c r="F394" s="581">
        <v>0</v>
      </c>
      <c r="G394" s="750" t="s">
        <v>1679</v>
      </c>
      <c r="H394" s="743">
        <v>7.76</v>
      </c>
    </row>
    <row r="395" spans="1:8" s="560" customFormat="1" ht="13.2" hidden="1" customHeight="1">
      <c r="A395" s="604" t="s">
        <v>894</v>
      </c>
      <c r="B395" s="604" t="s">
        <v>1272</v>
      </c>
      <c r="C395" s="614" t="s">
        <v>36</v>
      </c>
      <c r="D395" s="1013">
        <v>0</v>
      </c>
      <c r="E395" s="949">
        <v>0</v>
      </c>
      <c r="F395" s="581">
        <v>0</v>
      </c>
      <c r="G395" s="750" t="s">
        <v>1680</v>
      </c>
      <c r="H395" s="743">
        <v>25.31</v>
      </c>
    </row>
    <row r="396" spans="1:8" s="560" customFormat="1" ht="13.2" hidden="1" customHeight="1">
      <c r="A396" s="604" t="s">
        <v>895</v>
      </c>
      <c r="B396" s="604" t="s">
        <v>1247</v>
      </c>
      <c r="C396" s="614" t="s">
        <v>37</v>
      </c>
      <c r="D396" s="1013">
        <v>0</v>
      </c>
      <c r="E396" s="949">
        <v>0</v>
      </c>
      <c r="F396" s="581">
        <v>0</v>
      </c>
      <c r="G396" s="750"/>
      <c r="H396" s="743">
        <v>0</v>
      </c>
    </row>
    <row r="397" spans="1:8" s="560" customFormat="1" ht="13.2" hidden="1" customHeight="1">
      <c r="A397" s="607" t="s">
        <v>896</v>
      </c>
      <c r="B397" s="607" t="s">
        <v>1184</v>
      </c>
      <c r="C397" s="690"/>
      <c r="D397" s="1013">
        <v>0</v>
      </c>
      <c r="E397" s="949">
        <v>0</v>
      </c>
      <c r="F397" s="581">
        <v>0</v>
      </c>
      <c r="G397" s="750" t="s">
        <v>1681</v>
      </c>
      <c r="H397" s="743">
        <v>34.93</v>
      </c>
    </row>
    <row r="398" spans="1:8" s="560" customFormat="1" ht="13.2" hidden="1" customHeight="1">
      <c r="A398" s="604" t="s">
        <v>897</v>
      </c>
      <c r="B398" s="604" t="s">
        <v>1248</v>
      </c>
      <c r="C398" s="614" t="s">
        <v>36</v>
      </c>
      <c r="D398" s="1013">
        <v>0</v>
      </c>
      <c r="E398" s="949">
        <v>0</v>
      </c>
      <c r="F398" s="581">
        <v>0</v>
      </c>
      <c r="G398" s="750" t="s">
        <v>1675</v>
      </c>
      <c r="H398" s="743">
        <v>6.15</v>
      </c>
    </row>
    <row r="399" spans="1:8" s="560" customFormat="1" ht="13.2" hidden="1" customHeight="1">
      <c r="A399" s="604" t="s">
        <v>898</v>
      </c>
      <c r="B399" s="604" t="s">
        <v>1249</v>
      </c>
      <c r="C399" s="614" t="s">
        <v>37</v>
      </c>
      <c r="D399" s="1013">
        <v>0</v>
      </c>
      <c r="E399" s="949">
        <v>0</v>
      </c>
      <c r="F399" s="581">
        <v>0</v>
      </c>
      <c r="G399" s="750"/>
      <c r="H399" s="743">
        <v>0</v>
      </c>
    </row>
    <row r="400" spans="1:8" s="560" customFormat="1" ht="13.2" hidden="1" customHeight="1">
      <c r="A400" s="607" t="s">
        <v>899</v>
      </c>
      <c r="B400" s="607" t="s">
        <v>1250</v>
      </c>
      <c r="C400" s="690"/>
      <c r="D400" s="1013">
        <v>0</v>
      </c>
      <c r="E400" s="949">
        <v>0</v>
      </c>
      <c r="F400" s="581">
        <v>0</v>
      </c>
      <c r="G400" s="750" t="s">
        <v>1682</v>
      </c>
      <c r="H400" s="743">
        <v>3.78</v>
      </c>
    </row>
    <row r="401" spans="1:8" s="560" customFormat="1" ht="13.2" hidden="1" customHeight="1">
      <c r="A401" s="604" t="s">
        <v>900</v>
      </c>
      <c r="B401" s="604" t="s">
        <v>1251</v>
      </c>
      <c r="C401" s="614" t="s">
        <v>36</v>
      </c>
      <c r="D401" s="1013">
        <v>0</v>
      </c>
      <c r="E401" s="949">
        <v>0</v>
      </c>
      <c r="F401" s="581">
        <v>0</v>
      </c>
      <c r="G401" s="750" t="s">
        <v>1683</v>
      </c>
      <c r="H401" s="743">
        <v>1.47</v>
      </c>
    </row>
    <row r="402" spans="1:8" s="560" customFormat="1" ht="13.2" hidden="1" customHeight="1">
      <c r="A402" s="604" t="s">
        <v>901</v>
      </c>
      <c r="B402" s="604" t="s">
        <v>1281</v>
      </c>
      <c r="C402" s="614" t="s">
        <v>36</v>
      </c>
      <c r="D402" s="1013">
        <v>0</v>
      </c>
      <c r="E402" s="949">
        <v>0</v>
      </c>
      <c r="F402" s="581">
        <v>0</v>
      </c>
      <c r="G402" s="750"/>
      <c r="H402" s="743">
        <v>0</v>
      </c>
    </row>
    <row r="403" spans="1:8" s="560" customFormat="1" ht="13.2" hidden="1" customHeight="1">
      <c r="A403" s="607" t="s">
        <v>902</v>
      </c>
      <c r="B403" s="607" t="s">
        <v>1252</v>
      </c>
      <c r="C403" s="690"/>
      <c r="D403" s="1013">
        <v>0</v>
      </c>
      <c r="E403" s="949">
        <v>0</v>
      </c>
      <c r="F403" s="581">
        <v>0</v>
      </c>
      <c r="G403" s="750" t="s">
        <v>1627</v>
      </c>
      <c r="H403" s="743">
        <v>9</v>
      </c>
    </row>
    <row r="404" spans="1:8" s="560" customFormat="1" ht="13.2" hidden="1" customHeight="1">
      <c r="A404" s="604" t="s">
        <v>903</v>
      </c>
      <c r="B404" s="604" t="s">
        <v>1253</v>
      </c>
      <c r="C404" s="614" t="s">
        <v>1437</v>
      </c>
      <c r="D404" s="1013">
        <v>0</v>
      </c>
      <c r="E404" s="949">
        <v>0</v>
      </c>
      <c r="F404" s="581">
        <v>0</v>
      </c>
      <c r="G404" s="750" t="s">
        <v>1684</v>
      </c>
      <c r="H404" s="743">
        <v>2</v>
      </c>
    </row>
    <row r="405" spans="1:8" s="560" customFormat="1" ht="13.2" hidden="1" customHeight="1">
      <c r="A405" s="604" t="s">
        <v>904</v>
      </c>
      <c r="B405" s="604" t="s">
        <v>1254</v>
      </c>
      <c r="C405" s="614" t="s">
        <v>35</v>
      </c>
      <c r="D405" s="1013">
        <v>0</v>
      </c>
      <c r="E405" s="949">
        <v>0</v>
      </c>
      <c r="F405" s="581">
        <v>0</v>
      </c>
      <c r="G405" s="750" t="s">
        <v>1441</v>
      </c>
      <c r="H405" s="743">
        <v>1</v>
      </c>
    </row>
    <row r="406" spans="1:8" s="560" customFormat="1" ht="13.2" hidden="1" customHeight="1">
      <c r="A406" s="604" t="s">
        <v>905</v>
      </c>
      <c r="B406" s="604" t="s">
        <v>1282</v>
      </c>
      <c r="C406" s="614" t="s">
        <v>35</v>
      </c>
      <c r="D406" s="1013">
        <v>0</v>
      </c>
      <c r="E406" s="949">
        <v>0</v>
      </c>
      <c r="F406" s="581">
        <v>0</v>
      </c>
      <c r="G406" s="750"/>
      <c r="H406" s="743">
        <v>0</v>
      </c>
    </row>
    <row r="407" spans="1:8" s="560" customFormat="1" ht="13.2" hidden="1" customHeight="1">
      <c r="A407" s="607" t="s">
        <v>906</v>
      </c>
      <c r="B407" s="607" t="s">
        <v>1255</v>
      </c>
      <c r="C407" s="690"/>
      <c r="D407" s="1013">
        <v>0</v>
      </c>
      <c r="E407" s="949">
        <v>0</v>
      </c>
      <c r="F407" s="581">
        <v>0</v>
      </c>
      <c r="G407" s="750" t="s">
        <v>1685</v>
      </c>
      <c r="H407" s="743">
        <v>7.54</v>
      </c>
    </row>
    <row r="408" spans="1:8" s="560" customFormat="1" ht="13.2" hidden="1" customHeight="1">
      <c r="A408" s="604" t="s">
        <v>907</v>
      </c>
      <c r="B408" s="604" t="s">
        <v>1256</v>
      </c>
      <c r="C408" s="614" t="s">
        <v>36</v>
      </c>
      <c r="D408" s="1013">
        <v>0</v>
      </c>
      <c r="E408" s="949">
        <v>0</v>
      </c>
      <c r="F408" s="581">
        <v>0</v>
      </c>
      <c r="G408" s="750" t="s">
        <v>1686</v>
      </c>
      <c r="H408" s="743">
        <v>1.25</v>
      </c>
    </row>
    <row r="409" spans="1:8" s="560" customFormat="1" ht="13.2" hidden="1" customHeight="1">
      <c r="A409" s="604" t="s">
        <v>908</v>
      </c>
      <c r="B409" s="604" t="s">
        <v>1257</v>
      </c>
      <c r="C409" s="614" t="s">
        <v>36</v>
      </c>
      <c r="D409" s="1013">
        <v>0</v>
      </c>
      <c r="E409" s="949">
        <v>0</v>
      </c>
      <c r="F409" s="581">
        <v>0</v>
      </c>
      <c r="G409" s="750"/>
      <c r="H409" s="743">
        <v>0</v>
      </c>
    </row>
    <row r="410" spans="1:8" s="560" customFormat="1" ht="13.2" hidden="1" customHeight="1">
      <c r="A410" s="607" t="s">
        <v>909</v>
      </c>
      <c r="B410" s="607" t="s">
        <v>1258</v>
      </c>
      <c r="C410" s="690"/>
      <c r="D410" s="1013">
        <v>0</v>
      </c>
      <c r="E410" s="949">
        <v>0</v>
      </c>
      <c r="F410" s="581">
        <v>0</v>
      </c>
      <c r="G410" s="750" t="s">
        <v>1671</v>
      </c>
      <c r="H410" s="743">
        <v>38.24</v>
      </c>
    </row>
    <row r="411" spans="1:8" s="560" customFormat="1" ht="13.2" hidden="1" customHeight="1">
      <c r="A411" s="604" t="s">
        <v>910</v>
      </c>
      <c r="B411" s="604" t="s">
        <v>1259</v>
      </c>
      <c r="C411" s="614" t="s">
        <v>36</v>
      </c>
      <c r="D411" s="1013">
        <v>0</v>
      </c>
      <c r="E411" s="949">
        <v>0</v>
      </c>
      <c r="F411" s="581">
        <v>0</v>
      </c>
      <c r="G411" s="750" t="s">
        <v>1665</v>
      </c>
      <c r="H411" s="743">
        <v>83.58</v>
      </c>
    </row>
    <row r="412" spans="1:8" s="560" customFormat="1" ht="13.2" hidden="1" customHeight="1">
      <c r="A412" s="604" t="s">
        <v>911</v>
      </c>
      <c r="B412" s="604" t="s">
        <v>1260</v>
      </c>
      <c r="C412" s="614" t="s">
        <v>36</v>
      </c>
      <c r="D412" s="1013">
        <v>0</v>
      </c>
      <c r="E412" s="949">
        <v>0</v>
      </c>
      <c r="F412" s="581">
        <v>0</v>
      </c>
      <c r="G412" s="750" t="s">
        <v>1663</v>
      </c>
      <c r="H412" s="743">
        <v>45.75</v>
      </c>
    </row>
    <row r="413" spans="1:8" s="560" customFormat="1" ht="13.2" hidden="1" customHeight="1">
      <c r="A413" s="604" t="s">
        <v>912</v>
      </c>
      <c r="B413" s="604" t="s">
        <v>1261</v>
      </c>
      <c r="C413" s="614" t="s">
        <v>36</v>
      </c>
      <c r="D413" s="1013">
        <v>0</v>
      </c>
      <c r="E413" s="949">
        <v>0</v>
      </c>
      <c r="F413" s="581">
        <v>0</v>
      </c>
      <c r="G413" s="750" t="s">
        <v>1666</v>
      </c>
      <c r="H413" s="743">
        <v>12.95</v>
      </c>
    </row>
    <row r="414" spans="1:8" s="560" customFormat="1" ht="13.2" hidden="1" customHeight="1">
      <c r="A414" s="604" t="s">
        <v>913</v>
      </c>
      <c r="B414" s="604" t="s">
        <v>1262</v>
      </c>
      <c r="C414" s="614" t="s">
        <v>36</v>
      </c>
      <c r="D414" s="1013">
        <v>0</v>
      </c>
      <c r="E414" s="949">
        <v>0</v>
      </c>
      <c r="F414" s="581">
        <v>0</v>
      </c>
      <c r="G414" s="750" t="s">
        <v>1667</v>
      </c>
      <c r="H414" s="743">
        <v>24.87</v>
      </c>
    </row>
    <row r="415" spans="1:8" s="560" customFormat="1" ht="13.2" hidden="1" customHeight="1">
      <c r="A415" s="604" t="s">
        <v>914</v>
      </c>
      <c r="B415" s="604" t="s">
        <v>1263</v>
      </c>
      <c r="C415" s="614" t="s">
        <v>36</v>
      </c>
      <c r="D415" s="1013">
        <v>0</v>
      </c>
      <c r="E415" s="949">
        <v>0</v>
      </c>
      <c r="F415" s="581">
        <v>0</v>
      </c>
      <c r="G415" s="750" t="s">
        <v>1678</v>
      </c>
      <c r="H415" s="743">
        <v>6.66</v>
      </c>
    </row>
    <row r="416" spans="1:8" s="560" customFormat="1" ht="13.2" hidden="1" customHeight="1">
      <c r="A416" s="604" t="s">
        <v>915</v>
      </c>
      <c r="B416" s="604" t="s">
        <v>1264</v>
      </c>
      <c r="C416" s="614" t="s">
        <v>36</v>
      </c>
      <c r="D416" s="1013">
        <v>0</v>
      </c>
      <c r="E416" s="949">
        <v>0</v>
      </c>
      <c r="F416" s="581">
        <v>0</v>
      </c>
      <c r="G416" s="750" t="s">
        <v>1687</v>
      </c>
      <c r="H416" s="743">
        <v>12.48</v>
      </c>
    </row>
    <row r="417" spans="1:8" s="560" customFormat="1" ht="13.2" hidden="1" customHeight="1">
      <c r="A417" s="604" t="s">
        <v>916</v>
      </c>
      <c r="B417" s="604" t="s">
        <v>1265</v>
      </c>
      <c r="C417" s="614" t="s">
        <v>36</v>
      </c>
      <c r="D417" s="1013">
        <v>0</v>
      </c>
      <c r="E417" s="949">
        <v>0</v>
      </c>
      <c r="F417" s="581">
        <v>0</v>
      </c>
      <c r="G417" s="750"/>
      <c r="H417" s="743">
        <v>0</v>
      </c>
    </row>
    <row r="418" spans="1:8" s="560" customFormat="1" ht="13.2" hidden="1" customHeight="1">
      <c r="A418" s="607" t="s">
        <v>917</v>
      </c>
      <c r="B418" s="607" t="s">
        <v>1266</v>
      </c>
      <c r="C418" s="690"/>
      <c r="D418" s="1013">
        <v>0</v>
      </c>
      <c r="E418" s="949">
        <v>0</v>
      </c>
      <c r="F418" s="581">
        <v>0</v>
      </c>
      <c r="G418" s="750" t="s">
        <v>1441</v>
      </c>
      <c r="H418" s="743">
        <v>1</v>
      </c>
    </row>
    <row r="419" spans="1:8" s="560" customFormat="1" ht="13.2" hidden="1" customHeight="1">
      <c r="A419" s="604" t="s">
        <v>918</v>
      </c>
      <c r="B419" s="604" t="s">
        <v>1267</v>
      </c>
      <c r="C419" s="614" t="s">
        <v>1436</v>
      </c>
      <c r="D419" s="1013">
        <v>0</v>
      </c>
      <c r="E419" s="949">
        <v>0</v>
      </c>
      <c r="F419" s="581">
        <v>0</v>
      </c>
      <c r="G419" s="750" t="s">
        <v>1441</v>
      </c>
      <c r="H419" s="743">
        <v>1</v>
      </c>
    </row>
    <row r="420" spans="1:8" s="560" customFormat="1" ht="13.2" hidden="1" customHeight="1">
      <c r="A420" s="604" t="s">
        <v>919</v>
      </c>
      <c r="B420" s="604" t="s">
        <v>1268</v>
      </c>
      <c r="C420" s="614" t="s">
        <v>63</v>
      </c>
      <c r="D420" s="1013">
        <v>0</v>
      </c>
      <c r="E420" s="949">
        <v>0</v>
      </c>
      <c r="F420" s="581">
        <v>0</v>
      </c>
      <c r="G420" s="750" t="s">
        <v>1688</v>
      </c>
      <c r="H420" s="743">
        <v>6.79</v>
      </c>
    </row>
    <row r="421" spans="1:8" s="560" customFormat="1" ht="13.2" hidden="1" customHeight="1">
      <c r="A421" s="604" t="s">
        <v>920</v>
      </c>
      <c r="B421" s="604" t="s">
        <v>1269</v>
      </c>
      <c r="C421" s="614" t="s">
        <v>36</v>
      </c>
      <c r="D421" s="1013">
        <v>0</v>
      </c>
      <c r="E421" s="949">
        <v>0</v>
      </c>
      <c r="F421" s="581">
        <v>0</v>
      </c>
      <c r="G421" s="750"/>
      <c r="H421" s="743">
        <v>0</v>
      </c>
    </row>
    <row r="422" spans="1:8" s="560" customFormat="1" ht="13.2" hidden="1" customHeight="1">
      <c r="A422" s="492" t="s">
        <v>504</v>
      </c>
      <c r="B422" s="608" t="s">
        <v>1283</v>
      </c>
      <c r="C422" s="690"/>
      <c r="D422" s="1013">
        <v>0</v>
      </c>
      <c r="E422" s="949">
        <v>0</v>
      </c>
      <c r="F422" s="581">
        <v>0</v>
      </c>
      <c r="G422" s="750"/>
      <c r="H422" s="743">
        <v>0</v>
      </c>
    </row>
    <row r="423" spans="1:8" s="560" customFormat="1" ht="13.2" hidden="1" customHeight="1">
      <c r="A423" s="607" t="s">
        <v>505</v>
      </c>
      <c r="B423" s="607" t="s">
        <v>1222</v>
      </c>
      <c r="C423" s="690"/>
      <c r="D423" s="1013">
        <v>0</v>
      </c>
      <c r="E423" s="949">
        <v>0</v>
      </c>
      <c r="F423" s="581">
        <v>0</v>
      </c>
      <c r="G423" s="750" t="s">
        <v>1689</v>
      </c>
      <c r="H423" s="743">
        <v>56.66</v>
      </c>
    </row>
    <row r="424" spans="1:8" s="560" customFormat="1" ht="13.2" hidden="1" customHeight="1">
      <c r="A424" s="604" t="s">
        <v>506</v>
      </c>
      <c r="B424" s="604" t="s">
        <v>1223</v>
      </c>
      <c r="C424" s="614" t="s">
        <v>36</v>
      </c>
      <c r="D424" s="1013">
        <v>0</v>
      </c>
      <c r="E424" s="949">
        <v>0</v>
      </c>
      <c r="F424" s="581">
        <v>0</v>
      </c>
      <c r="G424" s="750" t="s">
        <v>1690</v>
      </c>
      <c r="H424" s="743">
        <v>8.17</v>
      </c>
    </row>
    <row r="425" spans="1:8" s="560" customFormat="1" ht="13.2" hidden="1" customHeight="1">
      <c r="A425" s="604" t="s">
        <v>507</v>
      </c>
      <c r="B425" s="604" t="s">
        <v>1224</v>
      </c>
      <c r="C425" s="614" t="s">
        <v>36</v>
      </c>
      <c r="D425" s="1013">
        <v>0</v>
      </c>
      <c r="E425" s="949">
        <v>0</v>
      </c>
      <c r="F425" s="581">
        <v>0</v>
      </c>
      <c r="G425" s="750"/>
      <c r="H425" s="743">
        <v>0</v>
      </c>
    </row>
    <row r="426" spans="1:8" s="560" customFormat="1" ht="13.2" hidden="1" customHeight="1">
      <c r="A426" s="607" t="s">
        <v>508</v>
      </c>
      <c r="B426" s="607" t="s">
        <v>1225</v>
      </c>
      <c r="C426" s="690"/>
      <c r="D426" s="1013">
        <v>0</v>
      </c>
      <c r="E426" s="949">
        <v>0</v>
      </c>
      <c r="F426" s="581">
        <v>0</v>
      </c>
      <c r="G426" s="750" t="s">
        <v>1691</v>
      </c>
      <c r="H426" s="743">
        <v>77.680000000000007</v>
      </c>
    </row>
    <row r="427" spans="1:8" s="560" customFormat="1" ht="13.2" hidden="1" customHeight="1">
      <c r="A427" s="604" t="s">
        <v>509</v>
      </c>
      <c r="B427" s="604" t="s">
        <v>1226</v>
      </c>
      <c r="C427" s="614" t="s">
        <v>36</v>
      </c>
      <c r="D427" s="1013">
        <v>0</v>
      </c>
      <c r="E427" s="949">
        <v>0</v>
      </c>
      <c r="F427" s="581">
        <v>0</v>
      </c>
      <c r="G427" s="750" t="s">
        <v>1692</v>
      </c>
      <c r="H427" s="743">
        <v>51.98</v>
      </c>
    </row>
    <row r="428" spans="1:8" s="560" customFormat="1" ht="13.2" hidden="1" customHeight="1">
      <c r="A428" s="604" t="s">
        <v>921</v>
      </c>
      <c r="B428" s="604" t="s">
        <v>1227</v>
      </c>
      <c r="C428" s="614" t="s">
        <v>36</v>
      </c>
      <c r="D428" s="1013">
        <v>0</v>
      </c>
      <c r="E428" s="949">
        <v>0</v>
      </c>
      <c r="F428" s="581">
        <v>0</v>
      </c>
      <c r="G428" s="750" t="s">
        <v>1693</v>
      </c>
      <c r="H428" s="743">
        <v>12</v>
      </c>
    </row>
    <row r="429" spans="1:8" s="560" customFormat="1" ht="13.2" hidden="1" customHeight="1">
      <c r="A429" s="604" t="s">
        <v>922</v>
      </c>
      <c r="B429" s="604" t="s">
        <v>1228</v>
      </c>
      <c r="C429" s="614" t="s">
        <v>36</v>
      </c>
      <c r="D429" s="1013">
        <v>0</v>
      </c>
      <c r="E429" s="949">
        <v>0</v>
      </c>
      <c r="F429" s="581">
        <v>0</v>
      </c>
      <c r="G429" s="750" t="s">
        <v>1694</v>
      </c>
      <c r="H429" s="743">
        <v>19.97</v>
      </c>
    </row>
    <row r="430" spans="1:8" s="560" customFormat="1" ht="13.2" hidden="1" customHeight="1">
      <c r="A430" s="604" t="s">
        <v>923</v>
      </c>
      <c r="B430" s="604" t="s">
        <v>1229</v>
      </c>
      <c r="C430" s="614" t="s">
        <v>36</v>
      </c>
      <c r="D430" s="1013">
        <v>0</v>
      </c>
      <c r="E430" s="949">
        <v>0</v>
      </c>
      <c r="F430" s="581">
        <v>0</v>
      </c>
      <c r="G430" s="750" t="s">
        <v>1695</v>
      </c>
      <c r="H430" s="743">
        <v>35.729999999999997</v>
      </c>
    </row>
    <row r="431" spans="1:8" s="560" customFormat="1" ht="13.2" hidden="1" customHeight="1">
      <c r="A431" s="604" t="s">
        <v>924</v>
      </c>
      <c r="B431" s="604" t="s">
        <v>1230</v>
      </c>
      <c r="C431" s="614" t="s">
        <v>36</v>
      </c>
      <c r="D431" s="1013">
        <v>0</v>
      </c>
      <c r="E431" s="949">
        <v>0</v>
      </c>
      <c r="F431" s="581">
        <v>0</v>
      </c>
      <c r="G431" s="750" t="s">
        <v>1696</v>
      </c>
      <c r="H431" s="743">
        <v>35.9</v>
      </c>
    </row>
    <row r="432" spans="1:8" s="560" customFormat="1" ht="13.2" hidden="1" customHeight="1">
      <c r="A432" s="604" t="s">
        <v>925</v>
      </c>
      <c r="B432" s="604" t="s">
        <v>1231</v>
      </c>
      <c r="C432" s="614" t="s">
        <v>37</v>
      </c>
      <c r="D432" s="1013">
        <v>0</v>
      </c>
      <c r="E432" s="949">
        <v>0</v>
      </c>
      <c r="F432" s="581">
        <v>0</v>
      </c>
      <c r="G432" s="750" t="s">
        <v>1697</v>
      </c>
      <c r="H432" s="743">
        <v>151.28</v>
      </c>
    </row>
    <row r="433" spans="1:8" s="560" customFormat="1" ht="13.2" hidden="1" customHeight="1">
      <c r="A433" s="604" t="s">
        <v>926</v>
      </c>
      <c r="B433" s="604" t="s">
        <v>1232</v>
      </c>
      <c r="C433" s="614" t="s">
        <v>37</v>
      </c>
      <c r="D433" s="1013">
        <v>0</v>
      </c>
      <c r="E433" s="949">
        <v>0</v>
      </c>
      <c r="F433" s="581">
        <v>0</v>
      </c>
      <c r="G433" s="750"/>
      <c r="H433" s="743">
        <v>0</v>
      </c>
    </row>
    <row r="434" spans="1:8" s="560" customFormat="1" ht="13.2" hidden="1" customHeight="1">
      <c r="A434" s="607" t="s">
        <v>510</v>
      </c>
      <c r="B434" s="607" t="s">
        <v>1233</v>
      </c>
      <c r="C434" s="690"/>
      <c r="D434" s="1013">
        <v>0</v>
      </c>
      <c r="E434" s="949">
        <v>0</v>
      </c>
      <c r="F434" s="581">
        <v>0</v>
      </c>
      <c r="G434" s="750" t="s">
        <v>1698</v>
      </c>
      <c r="H434" s="743">
        <v>33.950000000000003</v>
      </c>
    </row>
    <row r="435" spans="1:8" s="560" customFormat="1" ht="13.2" hidden="1" customHeight="1">
      <c r="A435" s="604" t="s">
        <v>511</v>
      </c>
      <c r="B435" s="604" t="s">
        <v>1234</v>
      </c>
      <c r="C435" s="614" t="s">
        <v>36</v>
      </c>
      <c r="D435" s="1013">
        <v>0</v>
      </c>
      <c r="E435" s="949">
        <v>0</v>
      </c>
      <c r="F435" s="581">
        <v>0</v>
      </c>
      <c r="G435" s="750"/>
      <c r="H435" s="743">
        <v>0</v>
      </c>
    </row>
    <row r="436" spans="1:8" s="560" customFormat="1" ht="13.2" hidden="1" customHeight="1">
      <c r="A436" s="607" t="s">
        <v>927</v>
      </c>
      <c r="B436" s="607" t="s">
        <v>1235</v>
      </c>
      <c r="C436" s="690"/>
      <c r="D436" s="1013">
        <v>0</v>
      </c>
      <c r="E436" s="949">
        <v>0</v>
      </c>
      <c r="F436" s="581">
        <v>0</v>
      </c>
      <c r="G436" s="750" t="s">
        <v>1699</v>
      </c>
      <c r="H436" s="743">
        <v>22.08</v>
      </c>
    </row>
    <row r="437" spans="1:8" s="560" customFormat="1" ht="13.2" hidden="1" customHeight="1">
      <c r="A437" s="604" t="s">
        <v>928</v>
      </c>
      <c r="B437" s="604" t="s">
        <v>1236</v>
      </c>
      <c r="C437" s="614" t="s">
        <v>36</v>
      </c>
      <c r="D437" s="1013">
        <v>0</v>
      </c>
      <c r="E437" s="949">
        <v>0</v>
      </c>
      <c r="F437" s="581">
        <v>0</v>
      </c>
      <c r="G437" s="750" t="s">
        <v>1700</v>
      </c>
      <c r="H437" s="743">
        <v>12.13</v>
      </c>
    </row>
    <row r="438" spans="1:8" s="560" customFormat="1" ht="13.2" hidden="1" customHeight="1">
      <c r="A438" s="604" t="s">
        <v>929</v>
      </c>
      <c r="B438" s="604" t="s">
        <v>1237</v>
      </c>
      <c r="C438" s="614" t="s">
        <v>36</v>
      </c>
      <c r="D438" s="1013">
        <v>0</v>
      </c>
      <c r="E438" s="949">
        <v>0</v>
      </c>
      <c r="F438" s="581">
        <v>0</v>
      </c>
      <c r="G438" s="750" t="s">
        <v>1701</v>
      </c>
      <c r="H438" s="743">
        <v>9.9499999999999993</v>
      </c>
    </row>
    <row r="439" spans="1:8" s="560" customFormat="1" ht="13.2" hidden="1" customHeight="1">
      <c r="A439" s="604" t="s">
        <v>930</v>
      </c>
      <c r="B439" s="604" t="s">
        <v>1238</v>
      </c>
      <c r="C439" s="614" t="s">
        <v>36</v>
      </c>
      <c r="D439" s="1013">
        <v>0</v>
      </c>
      <c r="E439" s="949">
        <v>0</v>
      </c>
      <c r="F439" s="581">
        <v>0</v>
      </c>
      <c r="G439" s="750"/>
      <c r="H439" s="743">
        <v>0</v>
      </c>
    </row>
    <row r="440" spans="1:8" s="560" customFormat="1" ht="13.2" hidden="1" customHeight="1">
      <c r="A440" s="607" t="s">
        <v>931</v>
      </c>
      <c r="B440" s="607" t="s">
        <v>1242</v>
      </c>
      <c r="C440" s="690"/>
      <c r="D440" s="1013">
        <v>0</v>
      </c>
      <c r="E440" s="949">
        <v>0</v>
      </c>
      <c r="F440" s="581">
        <v>0</v>
      </c>
      <c r="G440" s="750" t="s">
        <v>1702</v>
      </c>
      <c r="H440" s="743">
        <v>8.93</v>
      </c>
    </row>
    <row r="441" spans="1:8" s="560" customFormat="1" ht="13.2" hidden="1" customHeight="1">
      <c r="A441" s="604" t="s">
        <v>932</v>
      </c>
      <c r="B441" s="604" t="s">
        <v>1243</v>
      </c>
      <c r="C441" s="614" t="s">
        <v>36</v>
      </c>
      <c r="D441" s="1013">
        <v>0</v>
      </c>
      <c r="E441" s="949">
        <v>0</v>
      </c>
      <c r="F441" s="581">
        <v>0</v>
      </c>
      <c r="G441" s="750"/>
      <c r="H441" s="743">
        <v>0</v>
      </c>
    </row>
    <row r="442" spans="1:8" s="560" customFormat="1" ht="13.2" hidden="1" customHeight="1">
      <c r="A442" s="607" t="s">
        <v>933</v>
      </c>
      <c r="B442" s="607" t="s">
        <v>1244</v>
      </c>
      <c r="C442" s="690"/>
      <c r="D442" s="1013">
        <v>0</v>
      </c>
      <c r="E442" s="949">
        <v>0</v>
      </c>
      <c r="F442" s="581">
        <v>0</v>
      </c>
      <c r="G442" s="750" t="s">
        <v>1703</v>
      </c>
      <c r="H442" s="743">
        <v>6.91</v>
      </c>
    </row>
    <row r="443" spans="1:8" s="560" customFormat="1" ht="13.2" hidden="1" customHeight="1">
      <c r="A443" s="604" t="s">
        <v>934</v>
      </c>
      <c r="B443" s="604" t="s">
        <v>1245</v>
      </c>
      <c r="C443" s="614" t="s">
        <v>36</v>
      </c>
      <c r="D443" s="1013">
        <v>0</v>
      </c>
      <c r="E443" s="949">
        <v>0</v>
      </c>
      <c r="F443" s="581">
        <v>0</v>
      </c>
      <c r="G443" s="750" t="s">
        <v>1704</v>
      </c>
      <c r="H443" s="743">
        <v>8.86</v>
      </c>
    </row>
    <row r="444" spans="1:8" s="560" customFormat="1" ht="13.2" hidden="1" customHeight="1">
      <c r="A444" s="604" t="s">
        <v>935</v>
      </c>
      <c r="B444" s="604" t="s">
        <v>1272</v>
      </c>
      <c r="C444" s="614" t="s">
        <v>36</v>
      </c>
      <c r="D444" s="1013">
        <v>0</v>
      </c>
      <c r="E444" s="949">
        <v>0</v>
      </c>
      <c r="F444" s="581">
        <v>0</v>
      </c>
      <c r="G444" s="750" t="s">
        <v>1705</v>
      </c>
      <c r="H444" s="743">
        <v>10.78</v>
      </c>
    </row>
    <row r="445" spans="1:8" s="560" customFormat="1" ht="13.2" hidden="1" customHeight="1">
      <c r="A445" s="604" t="s">
        <v>936</v>
      </c>
      <c r="B445" s="604" t="s">
        <v>1246</v>
      </c>
      <c r="C445" s="614" t="s">
        <v>37</v>
      </c>
      <c r="D445" s="1013">
        <v>0</v>
      </c>
      <c r="E445" s="949">
        <v>0</v>
      </c>
      <c r="F445" s="581">
        <v>0</v>
      </c>
      <c r="G445" s="750" t="s">
        <v>1706</v>
      </c>
      <c r="H445" s="743">
        <v>14.4</v>
      </c>
    </row>
    <row r="446" spans="1:8" s="560" customFormat="1" ht="13.2" hidden="1" customHeight="1">
      <c r="A446" s="604" t="s">
        <v>937</v>
      </c>
      <c r="B446" s="604" t="s">
        <v>1247</v>
      </c>
      <c r="C446" s="614" t="s">
        <v>37</v>
      </c>
      <c r="D446" s="1013">
        <v>0</v>
      </c>
      <c r="E446" s="949">
        <v>0</v>
      </c>
      <c r="F446" s="581">
        <v>0</v>
      </c>
      <c r="G446" s="750"/>
      <c r="H446" s="743">
        <v>0</v>
      </c>
    </row>
    <row r="447" spans="1:8" s="560" customFormat="1" ht="13.2" hidden="1" customHeight="1">
      <c r="A447" s="607" t="s">
        <v>938</v>
      </c>
      <c r="B447" s="607" t="s">
        <v>1184</v>
      </c>
      <c r="C447" s="690"/>
      <c r="D447" s="1013">
        <v>0</v>
      </c>
      <c r="E447" s="949">
        <v>0</v>
      </c>
      <c r="F447" s="581">
        <v>0</v>
      </c>
      <c r="G447" s="750" t="s">
        <v>1707</v>
      </c>
      <c r="H447" s="743">
        <v>21.28</v>
      </c>
    </row>
    <row r="448" spans="1:8" s="560" customFormat="1" ht="13.2" hidden="1" customHeight="1">
      <c r="A448" s="604" t="s">
        <v>939</v>
      </c>
      <c r="B448" s="604" t="s">
        <v>1248</v>
      </c>
      <c r="C448" s="614" t="s">
        <v>36</v>
      </c>
      <c r="D448" s="1013">
        <v>0</v>
      </c>
      <c r="E448" s="949">
        <v>0</v>
      </c>
      <c r="F448" s="581">
        <v>0</v>
      </c>
      <c r="G448" s="750" t="s">
        <v>1675</v>
      </c>
      <c r="H448" s="743">
        <v>6.15</v>
      </c>
    </row>
    <row r="449" spans="1:8" s="560" customFormat="1" ht="13.2" hidden="1" customHeight="1">
      <c r="A449" s="604" t="s">
        <v>940</v>
      </c>
      <c r="B449" s="604" t="s">
        <v>1249</v>
      </c>
      <c r="C449" s="614" t="s">
        <v>37</v>
      </c>
      <c r="D449" s="1013">
        <v>0</v>
      </c>
      <c r="E449" s="949">
        <v>0</v>
      </c>
      <c r="F449" s="581">
        <v>0</v>
      </c>
      <c r="G449" s="750"/>
      <c r="H449" s="743">
        <v>0</v>
      </c>
    </row>
    <row r="450" spans="1:8" s="560" customFormat="1" ht="13.2" hidden="1" customHeight="1">
      <c r="A450" s="607" t="s">
        <v>941</v>
      </c>
      <c r="B450" s="607" t="s">
        <v>1250</v>
      </c>
      <c r="C450" s="690"/>
      <c r="D450" s="1013">
        <v>0</v>
      </c>
      <c r="E450" s="949">
        <v>0</v>
      </c>
      <c r="F450" s="581">
        <v>0</v>
      </c>
      <c r="G450" s="750" t="s">
        <v>1708</v>
      </c>
      <c r="H450" s="743">
        <v>1.89</v>
      </c>
    </row>
    <row r="451" spans="1:8" s="560" customFormat="1" ht="13.2" hidden="1" customHeight="1">
      <c r="A451" s="604" t="s">
        <v>942</v>
      </c>
      <c r="B451" s="604" t="s">
        <v>1251</v>
      </c>
      <c r="C451" s="614" t="s">
        <v>36</v>
      </c>
      <c r="D451" s="1013">
        <v>0</v>
      </c>
      <c r="E451" s="949">
        <v>0</v>
      </c>
      <c r="F451" s="581">
        <v>0</v>
      </c>
      <c r="G451" s="750" t="s">
        <v>1709</v>
      </c>
      <c r="H451" s="743">
        <v>3.15</v>
      </c>
    </row>
    <row r="452" spans="1:8" s="560" customFormat="1" ht="13.2" hidden="1" customHeight="1">
      <c r="A452" s="604" t="s">
        <v>943</v>
      </c>
      <c r="B452" s="604" t="s">
        <v>1281</v>
      </c>
      <c r="C452" s="614" t="s">
        <v>36</v>
      </c>
      <c r="D452" s="1013">
        <v>0</v>
      </c>
      <c r="E452" s="949">
        <v>0</v>
      </c>
      <c r="F452" s="581">
        <v>0</v>
      </c>
      <c r="G452" s="750"/>
      <c r="H452" s="743">
        <v>0</v>
      </c>
    </row>
    <row r="453" spans="1:8" s="560" customFormat="1" ht="13.2" hidden="1" customHeight="1">
      <c r="A453" s="607" t="s">
        <v>944</v>
      </c>
      <c r="B453" s="607" t="s">
        <v>1252</v>
      </c>
      <c r="C453" s="690"/>
      <c r="D453" s="1013">
        <v>0</v>
      </c>
      <c r="E453" s="949">
        <v>0</v>
      </c>
      <c r="F453" s="581">
        <v>0</v>
      </c>
      <c r="G453" s="750" t="s">
        <v>1627</v>
      </c>
      <c r="H453" s="743">
        <v>9</v>
      </c>
    </row>
    <row r="454" spans="1:8" s="560" customFormat="1" ht="13.2" hidden="1" customHeight="1">
      <c r="A454" s="604" t="s">
        <v>945</v>
      </c>
      <c r="B454" s="604" t="s">
        <v>1253</v>
      </c>
      <c r="C454" s="614" t="s">
        <v>1437</v>
      </c>
      <c r="D454" s="1013">
        <v>0</v>
      </c>
      <c r="E454" s="949">
        <v>0</v>
      </c>
      <c r="F454" s="581">
        <v>0</v>
      </c>
      <c r="G454" s="750" t="s">
        <v>1441</v>
      </c>
      <c r="H454" s="743">
        <v>1</v>
      </c>
    </row>
    <row r="455" spans="1:8" s="560" customFormat="1" ht="13.2" hidden="1" customHeight="1">
      <c r="A455" s="604" t="s">
        <v>946</v>
      </c>
      <c r="B455" s="604" t="s">
        <v>1254</v>
      </c>
      <c r="C455" s="614" t="s">
        <v>35</v>
      </c>
      <c r="D455" s="1013">
        <v>0</v>
      </c>
      <c r="E455" s="949">
        <v>0</v>
      </c>
      <c r="F455" s="581">
        <v>0</v>
      </c>
      <c r="G455" s="750" t="s">
        <v>1684</v>
      </c>
      <c r="H455" s="743">
        <v>2</v>
      </c>
    </row>
    <row r="456" spans="1:8" s="560" customFormat="1" ht="13.2" hidden="1" customHeight="1">
      <c r="A456" s="604" t="s">
        <v>947</v>
      </c>
      <c r="B456" s="604" t="s">
        <v>1282</v>
      </c>
      <c r="C456" s="614" t="s">
        <v>35</v>
      </c>
      <c r="D456" s="1013">
        <v>0</v>
      </c>
      <c r="E456" s="949">
        <v>0</v>
      </c>
      <c r="F456" s="581">
        <v>0</v>
      </c>
      <c r="G456" s="750"/>
      <c r="H456" s="743">
        <v>0</v>
      </c>
    </row>
    <row r="457" spans="1:8" s="560" customFormat="1" ht="13.2" hidden="1" customHeight="1">
      <c r="A457" s="607" t="s">
        <v>948</v>
      </c>
      <c r="B457" s="607" t="s">
        <v>1255</v>
      </c>
      <c r="C457" s="690"/>
      <c r="D457" s="1013">
        <v>0</v>
      </c>
      <c r="E457" s="949">
        <v>0</v>
      </c>
      <c r="F457" s="581">
        <v>0</v>
      </c>
      <c r="G457" s="750" t="s">
        <v>1710</v>
      </c>
      <c r="H457" s="743">
        <v>4.96</v>
      </c>
    </row>
    <row r="458" spans="1:8" s="560" customFormat="1" ht="13.2" hidden="1" customHeight="1">
      <c r="A458" s="604" t="s">
        <v>949</v>
      </c>
      <c r="B458" s="604" t="s">
        <v>1256</v>
      </c>
      <c r="C458" s="614" t="s">
        <v>36</v>
      </c>
      <c r="D458" s="1013">
        <v>0</v>
      </c>
      <c r="E458" s="949">
        <v>0</v>
      </c>
      <c r="F458" s="581">
        <v>0</v>
      </c>
      <c r="G458" s="750" t="s">
        <v>1474</v>
      </c>
      <c r="H458" s="743">
        <v>1.2</v>
      </c>
    </row>
    <row r="459" spans="1:8" s="560" customFormat="1" ht="13.2" hidden="1" customHeight="1">
      <c r="A459" s="604" t="s">
        <v>950</v>
      </c>
      <c r="B459" s="604" t="s">
        <v>1257</v>
      </c>
      <c r="C459" s="614" t="s">
        <v>36</v>
      </c>
      <c r="D459" s="1013">
        <v>0</v>
      </c>
      <c r="E459" s="949">
        <v>0</v>
      </c>
      <c r="F459" s="581">
        <v>0</v>
      </c>
      <c r="G459" s="750"/>
      <c r="H459" s="743">
        <v>0</v>
      </c>
    </row>
    <row r="460" spans="1:8" s="560" customFormat="1" ht="13.2" hidden="1" customHeight="1">
      <c r="A460" s="607" t="s">
        <v>951</v>
      </c>
      <c r="B460" s="607" t="s">
        <v>1258</v>
      </c>
      <c r="C460" s="690"/>
      <c r="D460" s="1013">
        <v>0</v>
      </c>
      <c r="E460" s="949">
        <v>0</v>
      </c>
      <c r="F460" s="581">
        <v>0</v>
      </c>
      <c r="G460" s="750" t="s">
        <v>1698</v>
      </c>
      <c r="H460" s="743">
        <v>33.950000000000003</v>
      </c>
    </row>
    <row r="461" spans="1:8" s="560" customFormat="1" ht="13.2" hidden="1" customHeight="1">
      <c r="A461" s="604" t="s">
        <v>952</v>
      </c>
      <c r="B461" s="604" t="s">
        <v>1259</v>
      </c>
      <c r="C461" s="614" t="s">
        <v>36</v>
      </c>
      <c r="D461" s="1013">
        <v>0</v>
      </c>
      <c r="E461" s="949">
        <v>0</v>
      </c>
      <c r="F461" s="581">
        <v>0</v>
      </c>
      <c r="G461" s="750" t="s">
        <v>1691</v>
      </c>
      <c r="H461" s="743">
        <v>77.680000000000007</v>
      </c>
    </row>
    <row r="462" spans="1:8" s="560" customFormat="1" ht="13.2" hidden="1" customHeight="1">
      <c r="A462" s="604" t="s">
        <v>953</v>
      </c>
      <c r="B462" s="604" t="s">
        <v>1260</v>
      </c>
      <c r="C462" s="614" t="s">
        <v>36</v>
      </c>
      <c r="D462" s="1013">
        <v>0</v>
      </c>
      <c r="E462" s="949">
        <v>0</v>
      </c>
      <c r="F462" s="581">
        <v>0</v>
      </c>
      <c r="G462" s="750" t="s">
        <v>1692</v>
      </c>
      <c r="H462" s="743">
        <v>51.98</v>
      </c>
    </row>
    <row r="463" spans="1:8" s="560" customFormat="1" ht="13.2" hidden="1" customHeight="1">
      <c r="A463" s="604" t="s">
        <v>954</v>
      </c>
      <c r="B463" s="604" t="s">
        <v>1261</v>
      </c>
      <c r="C463" s="614" t="s">
        <v>36</v>
      </c>
      <c r="D463" s="1013">
        <v>0</v>
      </c>
      <c r="E463" s="949">
        <v>0</v>
      </c>
      <c r="F463" s="581">
        <v>0</v>
      </c>
      <c r="G463" s="750" t="s">
        <v>1693</v>
      </c>
      <c r="H463" s="743">
        <v>12</v>
      </c>
    </row>
    <row r="464" spans="1:8" s="560" customFormat="1" ht="13.2" hidden="1" customHeight="1">
      <c r="A464" s="604" t="s">
        <v>955</v>
      </c>
      <c r="B464" s="604" t="s">
        <v>1262</v>
      </c>
      <c r="C464" s="614" t="s">
        <v>36</v>
      </c>
      <c r="D464" s="1013">
        <v>0</v>
      </c>
      <c r="E464" s="949">
        <v>0</v>
      </c>
      <c r="F464" s="581">
        <v>0</v>
      </c>
      <c r="G464" s="750" t="s">
        <v>1694</v>
      </c>
      <c r="H464" s="743">
        <v>19.97</v>
      </c>
    </row>
    <row r="465" spans="1:8" s="560" customFormat="1" ht="13.2" hidden="1" customHeight="1">
      <c r="A465" s="604" t="s">
        <v>956</v>
      </c>
      <c r="B465" s="604" t="s">
        <v>1263</v>
      </c>
      <c r="C465" s="614" t="s">
        <v>36</v>
      </c>
      <c r="D465" s="1013">
        <v>0</v>
      </c>
      <c r="E465" s="949">
        <v>0</v>
      </c>
      <c r="F465" s="581">
        <v>0</v>
      </c>
      <c r="G465" s="750" t="s">
        <v>1703</v>
      </c>
      <c r="H465" s="743">
        <v>6.91</v>
      </c>
    </row>
    <row r="466" spans="1:8" s="560" customFormat="1" ht="13.2" hidden="1" customHeight="1">
      <c r="A466" s="604" t="s">
        <v>957</v>
      </c>
      <c r="B466" s="604" t="s">
        <v>1264</v>
      </c>
      <c r="C466" s="614" t="s">
        <v>36</v>
      </c>
      <c r="D466" s="1013">
        <v>0</v>
      </c>
      <c r="E466" s="949">
        <v>0</v>
      </c>
      <c r="F466" s="581">
        <v>0</v>
      </c>
      <c r="G466" s="750" t="s">
        <v>1711</v>
      </c>
      <c r="H466" s="743">
        <v>10.5</v>
      </c>
    </row>
    <row r="467" spans="1:8" s="560" customFormat="1" ht="13.2" hidden="1" customHeight="1">
      <c r="A467" s="604" t="s">
        <v>958</v>
      </c>
      <c r="B467" s="604" t="s">
        <v>1265</v>
      </c>
      <c r="C467" s="614" t="s">
        <v>36</v>
      </c>
      <c r="D467" s="1013">
        <v>0</v>
      </c>
      <c r="E467" s="949">
        <v>0</v>
      </c>
      <c r="F467" s="581">
        <v>0</v>
      </c>
      <c r="G467" s="750"/>
      <c r="H467" s="743">
        <v>0</v>
      </c>
    </row>
    <row r="468" spans="1:8" s="560" customFormat="1" ht="13.2" hidden="1" customHeight="1">
      <c r="A468" s="607" t="s">
        <v>959</v>
      </c>
      <c r="B468" s="607" t="s">
        <v>1266</v>
      </c>
      <c r="C468" s="690"/>
      <c r="D468" s="1013">
        <v>0</v>
      </c>
      <c r="E468" s="949">
        <v>0</v>
      </c>
      <c r="F468" s="581">
        <v>0</v>
      </c>
      <c r="G468" s="750" t="s">
        <v>1712</v>
      </c>
      <c r="H468" s="743">
        <v>11</v>
      </c>
    </row>
    <row r="469" spans="1:8" s="560" customFormat="1" ht="13.2" hidden="1" customHeight="1">
      <c r="A469" s="604" t="s">
        <v>960</v>
      </c>
      <c r="B469" s="604" t="s">
        <v>1267</v>
      </c>
      <c r="C469" s="614" t="s">
        <v>1436</v>
      </c>
      <c r="D469" s="1013">
        <v>0</v>
      </c>
      <c r="E469" s="949">
        <v>0</v>
      </c>
      <c r="F469" s="581">
        <v>0</v>
      </c>
      <c r="G469" s="750" t="s">
        <v>1441</v>
      </c>
      <c r="H469" s="743">
        <v>1</v>
      </c>
    </row>
    <row r="470" spans="1:8" s="560" customFormat="1" ht="13.2" hidden="1" customHeight="1">
      <c r="A470" s="604" t="s">
        <v>961</v>
      </c>
      <c r="B470" s="604" t="s">
        <v>1268</v>
      </c>
      <c r="C470" s="614" t="s">
        <v>63</v>
      </c>
      <c r="D470" s="1013">
        <v>0</v>
      </c>
      <c r="E470" s="949">
        <v>0</v>
      </c>
      <c r="F470" s="581">
        <v>0</v>
      </c>
      <c r="G470" s="750" t="s">
        <v>1713</v>
      </c>
      <c r="H470" s="743">
        <v>8.15</v>
      </c>
    </row>
    <row r="471" spans="1:8" s="560" customFormat="1" ht="13.2" hidden="1" customHeight="1">
      <c r="A471" s="604" t="s">
        <v>962</v>
      </c>
      <c r="B471" s="604" t="s">
        <v>1269</v>
      </c>
      <c r="C471" s="614" t="s">
        <v>36</v>
      </c>
      <c r="D471" s="1013">
        <v>0</v>
      </c>
      <c r="E471" s="949">
        <v>0</v>
      </c>
      <c r="F471" s="581">
        <v>0</v>
      </c>
      <c r="G471" s="750"/>
      <c r="H471" s="743">
        <v>0</v>
      </c>
    </row>
    <row r="472" spans="1:8" s="560" customFormat="1" ht="13.2" hidden="1" customHeight="1">
      <c r="A472" s="492" t="s">
        <v>512</v>
      </c>
      <c r="B472" s="608" t="s">
        <v>1284</v>
      </c>
      <c r="C472" s="690"/>
      <c r="D472" s="1013">
        <v>0</v>
      </c>
      <c r="E472" s="949">
        <v>0</v>
      </c>
      <c r="F472" s="581">
        <v>0</v>
      </c>
      <c r="G472" s="750"/>
      <c r="H472" s="743">
        <v>0</v>
      </c>
    </row>
    <row r="473" spans="1:8" s="560" customFormat="1" ht="13.2" hidden="1" customHeight="1">
      <c r="A473" s="607" t="s">
        <v>513</v>
      </c>
      <c r="B473" s="607" t="s">
        <v>1222</v>
      </c>
      <c r="C473" s="690"/>
      <c r="D473" s="1013">
        <v>0</v>
      </c>
      <c r="E473" s="949">
        <v>0</v>
      </c>
      <c r="F473" s="581">
        <v>0</v>
      </c>
      <c r="G473" s="750" t="s">
        <v>1714</v>
      </c>
      <c r="H473" s="743">
        <v>239.98</v>
      </c>
    </row>
    <row r="474" spans="1:8" s="560" customFormat="1" ht="13.2" hidden="1" customHeight="1">
      <c r="A474" s="604" t="s">
        <v>514</v>
      </c>
      <c r="B474" s="604" t="s">
        <v>1285</v>
      </c>
      <c r="C474" s="614" t="s">
        <v>36</v>
      </c>
      <c r="D474" s="1013">
        <v>0</v>
      </c>
      <c r="E474" s="949">
        <v>0</v>
      </c>
      <c r="F474" s="581">
        <v>0</v>
      </c>
      <c r="G474" s="750"/>
      <c r="H474" s="743">
        <v>0</v>
      </c>
    </row>
    <row r="475" spans="1:8" s="560" customFormat="1" ht="13.2" hidden="1" customHeight="1">
      <c r="A475" s="607" t="s">
        <v>963</v>
      </c>
      <c r="B475" s="607" t="s">
        <v>1225</v>
      </c>
      <c r="C475" s="690"/>
      <c r="D475" s="1013">
        <v>0</v>
      </c>
      <c r="E475" s="949">
        <v>0</v>
      </c>
      <c r="F475" s="581">
        <v>0</v>
      </c>
      <c r="G475" s="750" t="s">
        <v>1715</v>
      </c>
      <c r="H475" s="743">
        <v>117.85</v>
      </c>
    </row>
    <row r="476" spans="1:8" s="560" customFormat="1" ht="13.2" hidden="1" customHeight="1">
      <c r="A476" s="604" t="s">
        <v>964</v>
      </c>
      <c r="B476" s="604" t="s">
        <v>1286</v>
      </c>
      <c r="C476" s="614" t="s">
        <v>36</v>
      </c>
      <c r="D476" s="1013">
        <v>0</v>
      </c>
      <c r="E476" s="949">
        <v>0</v>
      </c>
      <c r="F476" s="581">
        <v>0</v>
      </c>
      <c r="G476" s="750" t="s">
        <v>1716</v>
      </c>
      <c r="H476" s="743">
        <v>65.94</v>
      </c>
    </row>
    <row r="477" spans="1:8" s="560" customFormat="1" ht="13.2" hidden="1" customHeight="1">
      <c r="A477" s="604" t="s">
        <v>965</v>
      </c>
      <c r="B477" s="604" t="s">
        <v>1287</v>
      </c>
      <c r="C477" s="614" t="s">
        <v>36</v>
      </c>
      <c r="D477" s="1013">
        <v>0</v>
      </c>
      <c r="E477" s="949">
        <v>0</v>
      </c>
      <c r="F477" s="581">
        <v>0</v>
      </c>
      <c r="G477" s="750" t="s">
        <v>1576</v>
      </c>
      <c r="H477" s="743">
        <v>49.66</v>
      </c>
    </row>
    <row r="478" spans="1:8" s="560" customFormat="1" ht="13.2" hidden="1" customHeight="1">
      <c r="A478" s="604" t="s">
        <v>966</v>
      </c>
      <c r="B478" s="604" t="s">
        <v>1288</v>
      </c>
      <c r="C478" s="614" t="s">
        <v>36</v>
      </c>
      <c r="D478" s="1013">
        <v>0</v>
      </c>
      <c r="E478" s="949">
        <v>0</v>
      </c>
      <c r="F478" s="581">
        <v>0</v>
      </c>
      <c r="G478" s="750"/>
      <c r="H478" s="743">
        <v>0</v>
      </c>
    </row>
    <row r="479" spans="1:8" s="560" customFormat="1" ht="13.2" hidden="1" customHeight="1">
      <c r="A479" s="607" t="s">
        <v>967</v>
      </c>
      <c r="B479" s="607" t="s">
        <v>1277</v>
      </c>
      <c r="C479" s="690"/>
      <c r="D479" s="1013">
        <v>0</v>
      </c>
      <c r="E479" s="949">
        <v>0</v>
      </c>
      <c r="F479" s="581">
        <v>0</v>
      </c>
      <c r="G479" s="750" t="s">
        <v>1717</v>
      </c>
      <c r="H479" s="743">
        <v>7.98</v>
      </c>
    </row>
    <row r="480" spans="1:8" s="560" customFormat="1" ht="13.2" hidden="1" customHeight="1">
      <c r="A480" s="604" t="s">
        <v>968</v>
      </c>
      <c r="B480" s="604" t="s">
        <v>1289</v>
      </c>
      <c r="C480" s="614" t="s">
        <v>36</v>
      </c>
      <c r="D480" s="1013">
        <v>0</v>
      </c>
      <c r="E480" s="949">
        <v>0</v>
      </c>
      <c r="F480" s="581">
        <v>0</v>
      </c>
      <c r="G480" s="750"/>
      <c r="H480" s="743">
        <v>0</v>
      </c>
    </row>
    <row r="481" spans="1:8" s="560" customFormat="1" ht="13.2" hidden="1" customHeight="1">
      <c r="A481" s="607" t="s">
        <v>969</v>
      </c>
      <c r="B481" s="607" t="s">
        <v>1258</v>
      </c>
      <c r="C481" s="690"/>
      <c r="D481" s="1013">
        <v>0</v>
      </c>
      <c r="E481" s="949">
        <v>0</v>
      </c>
      <c r="F481" s="581">
        <v>0</v>
      </c>
      <c r="G481" s="750" t="s">
        <v>1715</v>
      </c>
      <c r="H481" s="743">
        <v>117.85</v>
      </c>
    </row>
    <row r="482" spans="1:8" s="560" customFormat="1" ht="13.2" hidden="1" customHeight="1">
      <c r="A482" s="604" t="s">
        <v>970</v>
      </c>
      <c r="B482" s="604" t="s">
        <v>1290</v>
      </c>
      <c r="C482" s="614" t="s">
        <v>36</v>
      </c>
      <c r="D482" s="1013">
        <v>0</v>
      </c>
      <c r="E482" s="949">
        <v>0</v>
      </c>
      <c r="F482" s="581">
        <v>0</v>
      </c>
      <c r="G482" s="750" t="s">
        <v>1716</v>
      </c>
      <c r="H482" s="743">
        <v>65.94</v>
      </c>
    </row>
    <row r="483" spans="1:8" s="560" customFormat="1" ht="13.2" hidden="1" customHeight="1">
      <c r="A483" s="604" t="s">
        <v>971</v>
      </c>
      <c r="B483" s="604" t="s">
        <v>1262</v>
      </c>
      <c r="C483" s="614" t="s">
        <v>36</v>
      </c>
      <c r="D483" s="1013">
        <v>0</v>
      </c>
      <c r="E483" s="949">
        <v>0</v>
      </c>
      <c r="F483" s="581">
        <v>0</v>
      </c>
      <c r="G483" s="750" t="s">
        <v>1576</v>
      </c>
      <c r="H483" s="743">
        <v>49.66</v>
      </c>
    </row>
    <row r="484" spans="1:8" s="560" customFormat="1" ht="13.2" hidden="1" customHeight="1">
      <c r="A484" s="604" t="s">
        <v>972</v>
      </c>
      <c r="B484" s="604" t="s">
        <v>1263</v>
      </c>
      <c r="C484" s="614" t="s">
        <v>36</v>
      </c>
      <c r="D484" s="1013">
        <v>0</v>
      </c>
      <c r="E484" s="949">
        <v>0</v>
      </c>
      <c r="F484" s="581">
        <v>0</v>
      </c>
      <c r="G484" s="750"/>
      <c r="H484" s="743">
        <v>0</v>
      </c>
    </row>
    <row r="485" spans="1:8" s="560" customFormat="1" ht="13.2" hidden="1" customHeight="1">
      <c r="A485" s="492" t="s">
        <v>973</v>
      </c>
      <c r="B485" s="608" t="s">
        <v>1291</v>
      </c>
      <c r="C485" s="690"/>
      <c r="D485" s="1013">
        <v>0</v>
      </c>
      <c r="E485" s="949">
        <v>0</v>
      </c>
      <c r="F485" s="581">
        <v>0</v>
      </c>
      <c r="G485" s="750" t="s">
        <v>1718</v>
      </c>
      <c r="H485" s="743">
        <v>154.19</v>
      </c>
    </row>
    <row r="486" spans="1:8" s="560" customFormat="1" ht="13.2" hidden="1" customHeight="1">
      <c r="A486" s="607" t="s">
        <v>974</v>
      </c>
      <c r="B486" s="607" t="s">
        <v>1292</v>
      </c>
      <c r="C486" s="614" t="s">
        <v>36</v>
      </c>
      <c r="D486" s="1013">
        <v>0</v>
      </c>
      <c r="E486" s="949">
        <v>0</v>
      </c>
      <c r="F486" s="581">
        <v>0</v>
      </c>
      <c r="G486" s="750" t="s">
        <v>1719</v>
      </c>
      <c r="H486" s="743">
        <v>48.81</v>
      </c>
    </row>
    <row r="487" spans="1:8" s="560" customFormat="1" ht="13.2" hidden="1" customHeight="1">
      <c r="A487" s="607" t="s">
        <v>975</v>
      </c>
      <c r="B487" s="607" t="s">
        <v>1293</v>
      </c>
      <c r="C487" s="614" t="s">
        <v>36</v>
      </c>
      <c r="D487" s="1013">
        <v>0</v>
      </c>
      <c r="E487" s="949">
        <v>0</v>
      </c>
      <c r="F487" s="581">
        <v>0</v>
      </c>
      <c r="G487" s="750"/>
      <c r="H487" s="743">
        <v>0</v>
      </c>
    </row>
    <row r="488" spans="1:8" s="560" customFormat="1" ht="13.2" hidden="1" customHeight="1">
      <c r="A488" s="492" t="s">
        <v>976</v>
      </c>
      <c r="B488" s="608" t="s">
        <v>1294</v>
      </c>
      <c r="C488" s="690"/>
      <c r="D488" s="1013">
        <v>0</v>
      </c>
      <c r="E488" s="949">
        <v>0</v>
      </c>
      <c r="F488" s="581">
        <v>0</v>
      </c>
      <c r="G488" s="750"/>
      <c r="H488" s="743">
        <v>0</v>
      </c>
    </row>
    <row r="489" spans="1:8" s="560" customFormat="1" ht="13.2" hidden="1" customHeight="1">
      <c r="A489" s="607" t="s">
        <v>977</v>
      </c>
      <c r="B489" s="607" t="s">
        <v>1235</v>
      </c>
      <c r="C489" s="690"/>
      <c r="D489" s="1013">
        <v>0</v>
      </c>
      <c r="E489" s="949">
        <v>0</v>
      </c>
      <c r="F489" s="581">
        <v>0</v>
      </c>
      <c r="G489" s="750" t="s">
        <v>1594</v>
      </c>
      <c r="H489" s="743">
        <v>60</v>
      </c>
    </row>
    <row r="490" spans="1:8" s="560" customFormat="1" ht="13.2" hidden="1" customHeight="1">
      <c r="A490" s="604" t="s">
        <v>978</v>
      </c>
      <c r="B490" s="604" t="s">
        <v>1295</v>
      </c>
      <c r="C490" s="614" t="s">
        <v>36</v>
      </c>
      <c r="D490" s="1013">
        <v>0</v>
      </c>
      <c r="E490" s="949">
        <v>0</v>
      </c>
      <c r="F490" s="581">
        <v>0</v>
      </c>
      <c r="G490" s="750" t="s">
        <v>1619</v>
      </c>
      <c r="H490" s="743">
        <v>5.18</v>
      </c>
    </row>
    <row r="491" spans="1:8" s="560" customFormat="1" ht="13.2" hidden="1" customHeight="1">
      <c r="A491" s="604" t="s">
        <v>979</v>
      </c>
      <c r="B491" s="604" t="s">
        <v>1296</v>
      </c>
      <c r="C491" s="614" t="s">
        <v>36</v>
      </c>
      <c r="D491" s="1013">
        <v>0</v>
      </c>
      <c r="E491" s="949">
        <v>0</v>
      </c>
      <c r="F491" s="581">
        <v>0</v>
      </c>
      <c r="G491" s="750"/>
      <c r="H491" s="743">
        <v>0</v>
      </c>
    </row>
    <row r="492" spans="1:8" s="560" customFormat="1" ht="13.2" hidden="1" customHeight="1">
      <c r="A492" s="607" t="s">
        <v>980</v>
      </c>
      <c r="B492" s="607" t="s">
        <v>1239</v>
      </c>
      <c r="C492" s="690"/>
      <c r="D492" s="1013">
        <v>0</v>
      </c>
      <c r="E492" s="949">
        <v>0</v>
      </c>
      <c r="F492" s="581">
        <v>0</v>
      </c>
      <c r="G492" s="750" t="s">
        <v>1720</v>
      </c>
      <c r="H492" s="743">
        <v>73.98</v>
      </c>
    </row>
    <row r="493" spans="1:8" s="560" customFormat="1" ht="13.2" hidden="1" customHeight="1">
      <c r="A493" s="604" t="s">
        <v>981</v>
      </c>
      <c r="B493" s="604" t="s">
        <v>1297</v>
      </c>
      <c r="C493" s="614" t="s">
        <v>37</v>
      </c>
      <c r="D493" s="1013">
        <v>0</v>
      </c>
      <c r="E493" s="949">
        <v>0</v>
      </c>
      <c r="F493" s="581">
        <v>0</v>
      </c>
      <c r="G493" s="750" t="s">
        <v>1721</v>
      </c>
      <c r="H493" s="743">
        <v>44.39</v>
      </c>
    </row>
    <row r="494" spans="1:8" s="560" customFormat="1" ht="13.2" hidden="1" customHeight="1">
      <c r="A494" s="604" t="s">
        <v>982</v>
      </c>
      <c r="B494" s="604" t="s">
        <v>1241</v>
      </c>
      <c r="C494" s="614" t="s">
        <v>36</v>
      </c>
      <c r="D494" s="1013">
        <v>0</v>
      </c>
      <c r="E494" s="949">
        <v>0</v>
      </c>
      <c r="F494" s="581">
        <v>0</v>
      </c>
      <c r="G494" s="750"/>
      <c r="H494" s="743">
        <v>0</v>
      </c>
    </row>
    <row r="495" spans="1:8" s="560" customFormat="1" ht="13.2" hidden="1" customHeight="1">
      <c r="A495" s="607" t="s">
        <v>983</v>
      </c>
      <c r="B495" s="607" t="s">
        <v>1298</v>
      </c>
      <c r="C495" s="690"/>
      <c r="D495" s="1013">
        <v>0</v>
      </c>
      <c r="E495" s="949">
        <v>0</v>
      </c>
      <c r="F495" s="581">
        <v>0</v>
      </c>
      <c r="G495" s="750" t="s">
        <v>1722</v>
      </c>
      <c r="H495" s="743">
        <v>64</v>
      </c>
    </row>
    <row r="496" spans="1:8" s="560" customFormat="1" ht="13.2" hidden="1" customHeight="1">
      <c r="A496" s="604" t="s">
        <v>984</v>
      </c>
      <c r="B496" s="604" t="s">
        <v>1299</v>
      </c>
      <c r="C496" s="614" t="s">
        <v>36</v>
      </c>
      <c r="D496" s="1013">
        <v>0</v>
      </c>
      <c r="E496" s="949">
        <v>0</v>
      </c>
      <c r="F496" s="581">
        <v>0</v>
      </c>
      <c r="G496" s="750"/>
      <c r="H496" s="743">
        <v>0</v>
      </c>
    </row>
    <row r="497" spans="1:8" s="560" customFormat="1" ht="13.2" hidden="1" customHeight="1">
      <c r="A497" s="607" t="s">
        <v>985</v>
      </c>
      <c r="B497" s="607" t="s">
        <v>1186</v>
      </c>
      <c r="C497" s="690"/>
      <c r="D497" s="1013">
        <v>0</v>
      </c>
      <c r="E497" s="949">
        <v>0</v>
      </c>
      <c r="F497" s="581">
        <v>0</v>
      </c>
      <c r="G497" s="750" t="s">
        <v>1723</v>
      </c>
      <c r="H497" s="743">
        <v>22</v>
      </c>
    </row>
    <row r="498" spans="1:8" s="560" customFormat="1" ht="13.2" hidden="1" customHeight="1">
      <c r="A498" s="604" t="s">
        <v>986</v>
      </c>
      <c r="B498" s="604" t="s">
        <v>1300</v>
      </c>
      <c r="C498" s="614" t="s">
        <v>37</v>
      </c>
      <c r="D498" s="1013">
        <v>0</v>
      </c>
      <c r="E498" s="949">
        <v>0</v>
      </c>
      <c r="F498" s="581">
        <v>0</v>
      </c>
      <c r="G498" s="750" t="s">
        <v>1441</v>
      </c>
      <c r="H498" s="743">
        <v>1</v>
      </c>
    </row>
    <row r="499" spans="1:8" s="560" customFormat="1" ht="13.2" hidden="1" customHeight="1">
      <c r="A499" s="604" t="s">
        <v>987</v>
      </c>
      <c r="B499" s="604" t="s">
        <v>1301</v>
      </c>
      <c r="C499" s="614" t="s">
        <v>1436</v>
      </c>
      <c r="D499" s="1013">
        <v>0</v>
      </c>
      <c r="E499" s="949">
        <v>0</v>
      </c>
      <c r="F499" s="581">
        <v>0</v>
      </c>
      <c r="G499" s="750"/>
      <c r="H499" s="743">
        <v>0</v>
      </c>
    </row>
    <row r="500" spans="1:8" s="560" customFormat="1" ht="13.2" hidden="1" customHeight="1">
      <c r="A500" s="492" t="s">
        <v>988</v>
      </c>
      <c r="B500" s="608" t="s">
        <v>1302</v>
      </c>
      <c r="C500" s="690"/>
      <c r="D500" s="1013">
        <v>0</v>
      </c>
      <c r="E500" s="949">
        <v>0</v>
      </c>
      <c r="F500" s="581">
        <v>0</v>
      </c>
      <c r="G500" s="750"/>
      <c r="H500" s="743">
        <v>0</v>
      </c>
    </row>
    <row r="501" spans="1:8" s="560" customFormat="1" ht="13.2" hidden="1" customHeight="1">
      <c r="A501" s="607" t="s">
        <v>989</v>
      </c>
      <c r="B501" s="607" t="s">
        <v>1235</v>
      </c>
      <c r="C501" s="690"/>
      <c r="D501" s="1013">
        <v>0</v>
      </c>
      <c r="E501" s="949">
        <v>0</v>
      </c>
      <c r="F501" s="581">
        <v>0</v>
      </c>
      <c r="G501" s="750" t="s">
        <v>1724</v>
      </c>
      <c r="H501" s="743">
        <v>28.21</v>
      </c>
    </row>
    <row r="502" spans="1:8" s="560" customFormat="1" ht="13.2" hidden="1" customHeight="1">
      <c r="A502" s="604" t="s">
        <v>990</v>
      </c>
      <c r="B502" s="604" t="s">
        <v>1303</v>
      </c>
      <c r="C502" s="614" t="s">
        <v>36</v>
      </c>
      <c r="D502" s="1013">
        <v>0</v>
      </c>
      <c r="E502" s="949">
        <v>0</v>
      </c>
      <c r="F502" s="581">
        <v>0</v>
      </c>
      <c r="G502" s="750"/>
      <c r="H502" s="743">
        <v>0</v>
      </c>
    </row>
    <row r="503" spans="1:8" s="560" customFormat="1" ht="13.2" hidden="1" customHeight="1">
      <c r="A503" s="607" t="s">
        <v>991</v>
      </c>
      <c r="B503" s="607" t="s">
        <v>1304</v>
      </c>
      <c r="C503" s="690"/>
      <c r="D503" s="1013">
        <v>0</v>
      </c>
      <c r="E503" s="949">
        <v>0</v>
      </c>
      <c r="F503" s="581">
        <v>0</v>
      </c>
      <c r="G503" s="750" t="s">
        <v>1725</v>
      </c>
      <c r="H503" s="743">
        <v>5.9</v>
      </c>
    </row>
    <row r="504" spans="1:8" s="560" customFormat="1" ht="13.2" hidden="1" customHeight="1">
      <c r="A504" s="604" t="s">
        <v>992</v>
      </c>
      <c r="B504" s="604" t="s">
        <v>1305</v>
      </c>
      <c r="C504" s="614" t="s">
        <v>39</v>
      </c>
      <c r="D504" s="1013">
        <v>0</v>
      </c>
      <c r="E504" s="949">
        <v>0</v>
      </c>
      <c r="F504" s="581">
        <v>0</v>
      </c>
      <c r="G504" s="750" t="s">
        <v>1664</v>
      </c>
      <c r="H504" s="743">
        <v>18.920000000000002</v>
      </c>
    </row>
    <row r="505" spans="1:8" s="560" customFormat="1" ht="13.2" hidden="1" customHeight="1">
      <c r="A505" s="604" t="s">
        <v>993</v>
      </c>
      <c r="B505" s="604" t="s">
        <v>1182</v>
      </c>
      <c r="C505" s="614" t="s">
        <v>36</v>
      </c>
      <c r="D505" s="1013">
        <v>0</v>
      </c>
      <c r="E505" s="949">
        <v>0</v>
      </c>
      <c r="F505" s="581">
        <v>0</v>
      </c>
      <c r="G505" s="750"/>
      <c r="H505" s="743">
        <v>0</v>
      </c>
    </row>
    <row r="506" spans="1:8" s="560" customFormat="1" ht="13.2" hidden="1" customHeight="1">
      <c r="A506" s="607" t="s">
        <v>994</v>
      </c>
      <c r="B506" s="607" t="s">
        <v>1277</v>
      </c>
      <c r="C506" s="690"/>
      <c r="D506" s="1013">
        <v>0</v>
      </c>
      <c r="E506" s="949">
        <v>0</v>
      </c>
      <c r="F506" s="581">
        <v>0</v>
      </c>
      <c r="G506" s="750" t="s">
        <v>1614</v>
      </c>
      <c r="H506" s="743">
        <v>90.62</v>
      </c>
    </row>
    <row r="507" spans="1:8" s="560" customFormat="1" ht="13.2" hidden="1" customHeight="1">
      <c r="A507" s="604" t="s">
        <v>995</v>
      </c>
      <c r="B507" s="604" t="s">
        <v>1306</v>
      </c>
      <c r="C507" s="614" t="s">
        <v>37</v>
      </c>
      <c r="D507" s="1013">
        <v>0</v>
      </c>
      <c r="E507" s="949">
        <v>0</v>
      </c>
      <c r="F507" s="581">
        <v>0</v>
      </c>
      <c r="G507" s="750"/>
      <c r="H507" s="743">
        <v>0</v>
      </c>
    </row>
    <row r="508" spans="1:8" s="560" customFormat="1" ht="13.2" hidden="1" customHeight="1">
      <c r="A508" s="607" t="s">
        <v>996</v>
      </c>
      <c r="B508" s="607" t="s">
        <v>1307</v>
      </c>
      <c r="C508" s="690"/>
      <c r="D508" s="1013">
        <v>0</v>
      </c>
      <c r="E508" s="949">
        <v>0</v>
      </c>
      <c r="F508" s="581">
        <v>0</v>
      </c>
      <c r="G508" s="750" t="s">
        <v>1726</v>
      </c>
      <c r="H508" s="743">
        <v>36.799999999999997</v>
      </c>
    </row>
    <row r="509" spans="1:8" s="560" customFormat="1" ht="13.2" hidden="1" customHeight="1">
      <c r="A509" s="604" t="s">
        <v>997</v>
      </c>
      <c r="B509" s="604" t="s">
        <v>1300</v>
      </c>
      <c r="C509" s="614" t="s">
        <v>37</v>
      </c>
      <c r="D509" s="1013">
        <v>0</v>
      </c>
      <c r="E509" s="949">
        <v>0</v>
      </c>
      <c r="F509" s="581">
        <v>0</v>
      </c>
      <c r="G509" s="750"/>
      <c r="H509" s="743">
        <v>0</v>
      </c>
    </row>
    <row r="510" spans="1:8" s="560" customFormat="1" ht="13.2" hidden="1" customHeight="1">
      <c r="A510" s="492" t="s">
        <v>998</v>
      </c>
      <c r="B510" s="608" t="s">
        <v>1308</v>
      </c>
      <c r="C510" s="690"/>
      <c r="D510" s="1013">
        <v>0</v>
      </c>
      <c r="E510" s="949">
        <v>0</v>
      </c>
      <c r="F510" s="581">
        <v>0</v>
      </c>
      <c r="G510" s="750"/>
      <c r="H510" s="743">
        <v>0</v>
      </c>
    </row>
    <row r="511" spans="1:8" s="560" customFormat="1" ht="13.2" hidden="1" customHeight="1">
      <c r="A511" s="607" t="s">
        <v>999</v>
      </c>
      <c r="B511" s="607" t="s">
        <v>1309</v>
      </c>
      <c r="C511" s="690"/>
      <c r="D511" s="1013">
        <v>0</v>
      </c>
      <c r="E511" s="949">
        <v>0</v>
      </c>
      <c r="F511" s="581">
        <v>0</v>
      </c>
      <c r="G511" s="750" t="s">
        <v>1727</v>
      </c>
      <c r="H511" s="743">
        <v>42.32</v>
      </c>
    </row>
    <row r="512" spans="1:8" s="560" customFormat="1" ht="13.2" hidden="1" customHeight="1">
      <c r="A512" s="604" t="s">
        <v>1000</v>
      </c>
      <c r="B512" s="604" t="s">
        <v>1310</v>
      </c>
      <c r="C512" s="614" t="s">
        <v>36</v>
      </c>
      <c r="D512" s="1013">
        <v>0</v>
      </c>
      <c r="E512" s="949">
        <v>0</v>
      </c>
      <c r="F512" s="581">
        <v>0</v>
      </c>
      <c r="G512" s="750" t="s">
        <v>1727</v>
      </c>
      <c r="H512" s="743">
        <v>42.32</v>
      </c>
    </row>
    <row r="513" spans="1:8" s="560" customFormat="1" ht="13.2" hidden="1" customHeight="1">
      <c r="A513" s="604" t="s">
        <v>1001</v>
      </c>
      <c r="B513" s="604" t="s">
        <v>1311</v>
      </c>
      <c r="C513" s="614" t="s">
        <v>36</v>
      </c>
      <c r="D513" s="1013">
        <v>0</v>
      </c>
      <c r="E513" s="949">
        <v>0</v>
      </c>
      <c r="F513" s="581">
        <v>0</v>
      </c>
      <c r="G513" s="750" t="s">
        <v>1728</v>
      </c>
      <c r="H513" s="743">
        <v>10</v>
      </c>
    </row>
    <row r="514" spans="1:8" s="560" customFormat="1" ht="13.95" hidden="1" customHeight="1">
      <c r="A514" s="604" t="s">
        <v>1002</v>
      </c>
      <c r="B514" s="604" t="s">
        <v>1312</v>
      </c>
      <c r="C514" s="614" t="s">
        <v>35</v>
      </c>
      <c r="D514" s="1013">
        <v>0</v>
      </c>
      <c r="E514" s="949">
        <v>0</v>
      </c>
      <c r="F514" s="581">
        <v>0</v>
      </c>
      <c r="G514" s="750"/>
      <c r="H514" s="743">
        <v>0</v>
      </c>
    </row>
    <row r="515" spans="1:8" s="897" customFormat="1" ht="13.2" hidden="1" customHeight="1">
      <c r="A515" s="1016" t="s">
        <v>474</v>
      </c>
      <c r="B515" s="1016" t="s">
        <v>1313</v>
      </c>
      <c r="C515" s="1018"/>
      <c r="D515" s="1013">
        <v>0</v>
      </c>
      <c r="E515" s="949">
        <v>0</v>
      </c>
      <c r="F515" s="581">
        <v>0</v>
      </c>
      <c r="G515" s="902"/>
      <c r="H515" s="896">
        <v>0</v>
      </c>
    </row>
    <row r="516" spans="1:8" s="560" customFormat="1" ht="13.2" hidden="1" customHeight="1">
      <c r="A516" s="492" t="s">
        <v>475</v>
      </c>
      <c r="B516" s="608" t="s">
        <v>1314</v>
      </c>
      <c r="C516" s="690"/>
      <c r="D516" s="1013">
        <v>0</v>
      </c>
      <c r="E516" s="949">
        <v>0</v>
      </c>
      <c r="F516" s="581">
        <v>0</v>
      </c>
      <c r="G516" s="750" t="s">
        <v>1657</v>
      </c>
      <c r="H516" s="743">
        <v>4</v>
      </c>
    </row>
    <row r="517" spans="1:8" s="560" customFormat="1" ht="13.2" hidden="1" customHeight="1">
      <c r="A517" s="607" t="s">
        <v>476</v>
      </c>
      <c r="B517" s="607" t="s">
        <v>1315</v>
      </c>
      <c r="C517" s="614" t="s">
        <v>1436</v>
      </c>
      <c r="D517" s="1013">
        <v>0</v>
      </c>
      <c r="E517" s="949">
        <v>0</v>
      </c>
      <c r="F517" s="581">
        <v>0</v>
      </c>
      <c r="G517" s="750" t="s">
        <v>1684</v>
      </c>
      <c r="H517" s="743">
        <v>2</v>
      </c>
    </row>
    <row r="518" spans="1:8" s="560" customFormat="1" ht="13.2" hidden="1" customHeight="1">
      <c r="A518" s="607" t="s">
        <v>477</v>
      </c>
      <c r="B518" s="607" t="s">
        <v>1316</v>
      </c>
      <c r="C518" s="614" t="s">
        <v>1436</v>
      </c>
      <c r="D518" s="1013">
        <v>0</v>
      </c>
      <c r="E518" s="949">
        <v>0</v>
      </c>
      <c r="F518" s="581">
        <v>0</v>
      </c>
      <c r="G518" s="750" t="s">
        <v>1657</v>
      </c>
      <c r="H518" s="743">
        <v>4</v>
      </c>
    </row>
    <row r="519" spans="1:8" s="560" customFormat="1" ht="13.2" hidden="1" customHeight="1">
      <c r="A519" s="607" t="s">
        <v>478</v>
      </c>
      <c r="B519" s="607" t="s">
        <v>1317</v>
      </c>
      <c r="C519" s="614" t="s">
        <v>1436</v>
      </c>
      <c r="D519" s="1013">
        <v>0</v>
      </c>
      <c r="E519" s="949">
        <v>0</v>
      </c>
      <c r="F519" s="581">
        <v>0</v>
      </c>
      <c r="G519" s="750" t="s">
        <v>1684</v>
      </c>
      <c r="H519" s="743">
        <v>2</v>
      </c>
    </row>
    <row r="520" spans="1:8" s="560" customFormat="1" ht="13.2" hidden="1" customHeight="1">
      <c r="A520" s="607" t="s">
        <v>1003</v>
      </c>
      <c r="B520" s="607" t="s">
        <v>1318</v>
      </c>
      <c r="C520" s="614" t="s">
        <v>1436</v>
      </c>
      <c r="D520" s="1013">
        <v>0</v>
      </c>
      <c r="E520" s="949">
        <v>0</v>
      </c>
      <c r="F520" s="581">
        <v>0</v>
      </c>
      <c r="G520" s="750" t="s">
        <v>1441</v>
      </c>
      <c r="H520" s="743">
        <v>1</v>
      </c>
    </row>
    <row r="521" spans="1:8" s="560" customFormat="1" ht="13.2" hidden="1" customHeight="1">
      <c r="A521" s="607" t="s">
        <v>1004</v>
      </c>
      <c r="B521" s="607" t="s">
        <v>1319</v>
      </c>
      <c r="C521" s="614" t="s">
        <v>1436</v>
      </c>
      <c r="D521" s="1013">
        <v>0</v>
      </c>
      <c r="E521" s="949">
        <v>0</v>
      </c>
      <c r="F521" s="581">
        <v>0</v>
      </c>
      <c r="G521" s="750" t="s">
        <v>1603</v>
      </c>
      <c r="H521" s="743">
        <v>6</v>
      </c>
    </row>
    <row r="522" spans="1:8" s="560" customFormat="1" ht="13.2" hidden="1" customHeight="1">
      <c r="A522" s="607" t="s">
        <v>1005</v>
      </c>
      <c r="B522" s="607" t="s">
        <v>1320</v>
      </c>
      <c r="C522" s="614" t="s">
        <v>1436</v>
      </c>
      <c r="D522" s="1013">
        <v>0</v>
      </c>
      <c r="E522" s="949">
        <v>0</v>
      </c>
      <c r="F522" s="581">
        <v>0</v>
      </c>
      <c r="G522" s="750" t="s">
        <v>1657</v>
      </c>
      <c r="H522" s="743">
        <v>4</v>
      </c>
    </row>
    <row r="523" spans="1:8" s="560" customFormat="1" ht="13.2" hidden="1" customHeight="1">
      <c r="A523" s="607" t="s">
        <v>1006</v>
      </c>
      <c r="B523" s="607" t="s">
        <v>1321</v>
      </c>
      <c r="C523" s="614" t="s">
        <v>1436</v>
      </c>
      <c r="D523" s="1013">
        <v>0</v>
      </c>
      <c r="E523" s="949">
        <v>0</v>
      </c>
      <c r="F523" s="581">
        <v>0</v>
      </c>
      <c r="G523" s="750" t="s">
        <v>1441</v>
      </c>
      <c r="H523" s="743">
        <v>1</v>
      </c>
    </row>
    <row r="524" spans="1:8" s="560" customFormat="1" ht="13.2" hidden="1" customHeight="1">
      <c r="A524" s="607" t="s">
        <v>1007</v>
      </c>
      <c r="B524" s="607" t="s">
        <v>1322</v>
      </c>
      <c r="C524" s="614" t="s">
        <v>1437</v>
      </c>
      <c r="D524" s="1013">
        <v>0</v>
      </c>
      <c r="E524" s="949">
        <v>0</v>
      </c>
      <c r="F524" s="581">
        <v>0</v>
      </c>
      <c r="G524" s="750" t="s">
        <v>1441</v>
      </c>
      <c r="H524" s="743">
        <v>1</v>
      </c>
    </row>
    <row r="525" spans="1:8" s="560" customFormat="1" ht="13.2" hidden="1" customHeight="1">
      <c r="A525" s="607" t="s">
        <v>1008</v>
      </c>
      <c r="B525" s="607" t="s">
        <v>1323</v>
      </c>
      <c r="C525" s="614" t="s">
        <v>40</v>
      </c>
      <c r="D525" s="1013">
        <v>0</v>
      </c>
      <c r="E525" s="949">
        <v>0</v>
      </c>
      <c r="F525" s="581">
        <v>0</v>
      </c>
      <c r="G525" s="750" t="s">
        <v>1441</v>
      </c>
      <c r="H525" s="743">
        <v>1</v>
      </c>
    </row>
    <row r="526" spans="1:8" s="560" customFormat="1" ht="13.2" hidden="1" customHeight="1">
      <c r="A526" s="607" t="s">
        <v>1009</v>
      </c>
      <c r="B526" s="607" t="s">
        <v>1324</v>
      </c>
      <c r="C526" s="614" t="s">
        <v>1436</v>
      </c>
      <c r="D526" s="1013">
        <v>0</v>
      </c>
      <c r="E526" s="949">
        <v>0</v>
      </c>
      <c r="F526" s="581">
        <v>0</v>
      </c>
      <c r="G526" s="750" t="s">
        <v>1729</v>
      </c>
      <c r="H526" s="743">
        <v>19</v>
      </c>
    </row>
    <row r="527" spans="1:8" s="560" customFormat="1" ht="13.2" hidden="1" customHeight="1">
      <c r="A527" s="607" t="s">
        <v>1010</v>
      </c>
      <c r="B527" s="607" t="s">
        <v>1325</v>
      </c>
      <c r="C527" s="614" t="s">
        <v>1437</v>
      </c>
      <c r="D527" s="1013">
        <v>0</v>
      </c>
      <c r="E527" s="949">
        <v>0</v>
      </c>
      <c r="F527" s="581">
        <v>0</v>
      </c>
      <c r="G527" s="750"/>
      <c r="H527" s="743">
        <v>0</v>
      </c>
    </row>
    <row r="528" spans="1:8" s="560" customFormat="1" ht="13.2" hidden="1" customHeight="1">
      <c r="A528" s="492" t="s">
        <v>479</v>
      </c>
      <c r="B528" s="608" t="s">
        <v>1326</v>
      </c>
      <c r="C528" s="690"/>
      <c r="D528" s="1013">
        <v>0</v>
      </c>
      <c r="E528" s="949">
        <v>0</v>
      </c>
      <c r="F528" s="581">
        <v>0</v>
      </c>
      <c r="G528" s="750" t="s">
        <v>1657</v>
      </c>
      <c r="H528" s="743">
        <v>4</v>
      </c>
    </row>
    <row r="529" spans="1:8" s="560" customFormat="1" ht="13.2" hidden="1" customHeight="1">
      <c r="A529" s="607" t="s">
        <v>480</v>
      </c>
      <c r="B529" s="607" t="s">
        <v>1327</v>
      </c>
      <c r="C529" s="614" t="s">
        <v>1438</v>
      </c>
      <c r="D529" s="1013">
        <v>0</v>
      </c>
      <c r="E529" s="949">
        <v>0</v>
      </c>
      <c r="F529" s="581">
        <v>0</v>
      </c>
      <c r="G529" s="750" t="s">
        <v>1603</v>
      </c>
      <c r="H529" s="743">
        <v>6</v>
      </c>
    </row>
    <row r="530" spans="1:8" s="560" customFormat="1" ht="13.2" hidden="1" customHeight="1">
      <c r="A530" s="607" t="s">
        <v>481</v>
      </c>
      <c r="B530" s="607" t="s">
        <v>1328</v>
      </c>
      <c r="C530" s="614" t="s">
        <v>1438</v>
      </c>
      <c r="D530" s="1013">
        <v>0</v>
      </c>
      <c r="E530" s="949">
        <v>0</v>
      </c>
      <c r="F530" s="581">
        <v>0</v>
      </c>
      <c r="G530" s="750" t="s">
        <v>1728</v>
      </c>
      <c r="H530" s="743">
        <v>10</v>
      </c>
    </row>
    <row r="531" spans="1:8" s="560" customFormat="1" ht="13.2" hidden="1" customHeight="1">
      <c r="A531" s="607" t="s">
        <v>482</v>
      </c>
      <c r="B531" s="607" t="s">
        <v>1329</v>
      </c>
      <c r="C531" s="614" t="s">
        <v>1438</v>
      </c>
      <c r="D531" s="1013">
        <v>0</v>
      </c>
      <c r="E531" s="949">
        <v>0</v>
      </c>
      <c r="F531" s="581">
        <v>0</v>
      </c>
      <c r="G531" s="750" t="s">
        <v>1730</v>
      </c>
      <c r="H531" s="743">
        <v>32.450000000000003</v>
      </c>
    </row>
    <row r="532" spans="1:8" s="560" customFormat="1" ht="13.2" hidden="1" customHeight="1">
      <c r="A532" s="607" t="s">
        <v>1011</v>
      </c>
      <c r="B532" s="607" t="s">
        <v>1330</v>
      </c>
      <c r="C532" s="614" t="s">
        <v>37</v>
      </c>
      <c r="D532" s="1013">
        <v>0</v>
      </c>
      <c r="E532" s="949">
        <v>0</v>
      </c>
      <c r="F532" s="581">
        <v>0</v>
      </c>
      <c r="G532" s="750" t="s">
        <v>1731</v>
      </c>
      <c r="H532" s="743">
        <v>45.55</v>
      </c>
    </row>
    <row r="533" spans="1:8" s="560" customFormat="1" ht="13.2" hidden="1" customHeight="1">
      <c r="A533" s="607" t="s">
        <v>1012</v>
      </c>
      <c r="B533" s="607" t="s">
        <v>1331</v>
      </c>
      <c r="C533" s="614" t="s">
        <v>37</v>
      </c>
      <c r="D533" s="1013">
        <v>0</v>
      </c>
      <c r="E533" s="949">
        <v>0</v>
      </c>
      <c r="F533" s="581">
        <v>0</v>
      </c>
      <c r="G533" s="750" t="s">
        <v>1657</v>
      </c>
      <c r="H533" s="743">
        <v>4</v>
      </c>
    </row>
    <row r="534" spans="1:8" s="560" customFormat="1" ht="13.2" hidden="1" customHeight="1">
      <c r="A534" s="607" t="s">
        <v>1013</v>
      </c>
      <c r="B534" s="607" t="s">
        <v>1332</v>
      </c>
      <c r="C534" s="614" t="s">
        <v>1436</v>
      </c>
      <c r="D534" s="1013">
        <v>0</v>
      </c>
      <c r="E534" s="949">
        <v>0</v>
      </c>
      <c r="F534" s="581">
        <v>0</v>
      </c>
      <c r="G534" s="750" t="s">
        <v>1684</v>
      </c>
      <c r="H534" s="743">
        <v>2</v>
      </c>
    </row>
    <row r="535" spans="1:8" s="560" customFormat="1" ht="13.2" hidden="1" customHeight="1">
      <c r="A535" s="607" t="s">
        <v>1014</v>
      </c>
      <c r="B535" s="607" t="s">
        <v>1333</v>
      </c>
      <c r="C535" s="614" t="s">
        <v>1436</v>
      </c>
      <c r="D535" s="1013">
        <v>0</v>
      </c>
      <c r="E535" s="949">
        <v>0</v>
      </c>
      <c r="F535" s="581">
        <v>0</v>
      </c>
      <c r="G535" s="750" t="s">
        <v>1603</v>
      </c>
      <c r="H535" s="743">
        <v>6</v>
      </c>
    </row>
    <row r="536" spans="1:8" s="560" customFormat="1" ht="13.2" hidden="1" customHeight="1">
      <c r="A536" s="607" t="s">
        <v>1015</v>
      </c>
      <c r="B536" s="607" t="s">
        <v>1334</v>
      </c>
      <c r="C536" s="614" t="s">
        <v>1436</v>
      </c>
      <c r="D536" s="1013">
        <v>0</v>
      </c>
      <c r="E536" s="949">
        <v>0</v>
      </c>
      <c r="F536" s="581">
        <v>0</v>
      </c>
      <c r="G536" s="750" t="s">
        <v>1603</v>
      </c>
      <c r="H536" s="743">
        <v>6</v>
      </c>
    </row>
    <row r="537" spans="1:8" s="560" customFormat="1" ht="13.2" hidden="1" customHeight="1">
      <c r="A537" s="607" t="s">
        <v>1016</v>
      </c>
      <c r="B537" s="607" t="s">
        <v>1335</v>
      </c>
      <c r="C537" s="614" t="s">
        <v>1436</v>
      </c>
      <c r="D537" s="1013">
        <v>0</v>
      </c>
      <c r="E537" s="949">
        <v>0</v>
      </c>
      <c r="F537" s="581">
        <v>0</v>
      </c>
      <c r="G537" s="750" t="s">
        <v>1603</v>
      </c>
      <c r="H537" s="743">
        <v>6</v>
      </c>
    </row>
    <row r="538" spans="1:8" s="560" customFormat="1" ht="13.2" hidden="1" customHeight="1">
      <c r="A538" s="607" t="s">
        <v>1017</v>
      </c>
      <c r="B538" s="607" t="s">
        <v>1336</v>
      </c>
      <c r="C538" s="614" t="s">
        <v>1437</v>
      </c>
      <c r="D538" s="1013">
        <v>0</v>
      </c>
      <c r="E538" s="949">
        <v>0</v>
      </c>
      <c r="F538" s="581">
        <v>0</v>
      </c>
      <c r="G538" s="750"/>
      <c r="H538" s="743">
        <v>0</v>
      </c>
    </row>
    <row r="539" spans="1:8" s="560" customFormat="1" ht="13.2" hidden="1" customHeight="1">
      <c r="A539" s="492" t="s">
        <v>483</v>
      </c>
      <c r="B539" s="608" t="s">
        <v>1337</v>
      </c>
      <c r="C539" s="690"/>
      <c r="D539" s="1013">
        <v>0</v>
      </c>
      <c r="E539" s="949">
        <v>0</v>
      </c>
      <c r="F539" s="581">
        <v>0</v>
      </c>
      <c r="G539" s="750" t="s">
        <v>1732</v>
      </c>
      <c r="H539" s="743">
        <v>18.04</v>
      </c>
    </row>
    <row r="540" spans="1:8" s="560" customFormat="1" ht="13.2" hidden="1" customHeight="1">
      <c r="A540" s="607" t="s">
        <v>484</v>
      </c>
      <c r="B540" s="607" t="s">
        <v>1338</v>
      </c>
      <c r="C540" s="614" t="s">
        <v>39</v>
      </c>
      <c r="D540" s="1013">
        <v>0</v>
      </c>
      <c r="E540" s="949">
        <v>0</v>
      </c>
      <c r="F540" s="581">
        <v>0</v>
      </c>
      <c r="G540" s="750" t="s">
        <v>1732</v>
      </c>
      <c r="H540" s="743">
        <v>18.04</v>
      </c>
    </row>
    <row r="541" spans="1:8" s="560" customFormat="1" ht="13.2" hidden="1" customHeight="1">
      <c r="A541" s="607" t="s">
        <v>485</v>
      </c>
      <c r="B541" s="607" t="s">
        <v>1339</v>
      </c>
      <c r="C541" s="614" t="s">
        <v>39</v>
      </c>
      <c r="D541" s="1013">
        <v>0</v>
      </c>
      <c r="E541" s="949">
        <v>0</v>
      </c>
      <c r="F541" s="581">
        <v>0</v>
      </c>
      <c r="G541" s="750" t="s">
        <v>1441</v>
      </c>
      <c r="H541" s="743">
        <v>1</v>
      </c>
    </row>
    <row r="542" spans="1:8" s="560" customFormat="1" ht="13.2" hidden="1" customHeight="1">
      <c r="A542" s="607" t="s">
        <v>1018</v>
      </c>
      <c r="B542" s="607" t="s">
        <v>1340</v>
      </c>
      <c r="C542" s="614" t="s">
        <v>35</v>
      </c>
      <c r="D542" s="1013">
        <v>0</v>
      </c>
      <c r="E542" s="949">
        <v>0</v>
      </c>
      <c r="F542" s="581">
        <v>0</v>
      </c>
      <c r="G542" s="750" t="s">
        <v>1441</v>
      </c>
      <c r="H542" s="743">
        <v>1</v>
      </c>
    </row>
    <row r="543" spans="1:8" s="560" customFormat="1" ht="13.2" hidden="1" customHeight="1">
      <c r="A543" s="607" t="s">
        <v>1019</v>
      </c>
      <c r="B543" s="607" t="s">
        <v>1341</v>
      </c>
      <c r="C543" s="614" t="s">
        <v>40</v>
      </c>
      <c r="D543" s="1013">
        <v>0</v>
      </c>
      <c r="E543" s="949">
        <v>0</v>
      </c>
      <c r="F543" s="581">
        <v>0</v>
      </c>
      <c r="G543" s="750"/>
      <c r="H543" s="743">
        <v>0</v>
      </c>
    </row>
    <row r="544" spans="1:8" s="560" customFormat="1" ht="13.2" hidden="1" customHeight="1">
      <c r="A544" s="492" t="s">
        <v>486</v>
      </c>
      <c r="B544" s="608" t="s">
        <v>1342</v>
      </c>
      <c r="C544" s="690"/>
      <c r="D544" s="1013">
        <v>0</v>
      </c>
      <c r="E544" s="949">
        <v>0</v>
      </c>
      <c r="F544" s="581">
        <v>0</v>
      </c>
      <c r="G544" s="750" t="s">
        <v>1733</v>
      </c>
      <c r="H544" s="743">
        <v>10.08</v>
      </c>
    </row>
    <row r="545" spans="1:8" s="560" customFormat="1" ht="13.2" hidden="1" customHeight="1">
      <c r="A545" s="607" t="s">
        <v>487</v>
      </c>
      <c r="B545" s="607" t="s">
        <v>1338</v>
      </c>
      <c r="C545" s="614" t="s">
        <v>39</v>
      </c>
      <c r="D545" s="1013">
        <v>0</v>
      </c>
      <c r="E545" s="949">
        <v>0</v>
      </c>
      <c r="F545" s="581">
        <v>0</v>
      </c>
      <c r="G545" s="750" t="s">
        <v>1733</v>
      </c>
      <c r="H545" s="743">
        <v>10.08</v>
      </c>
    </row>
    <row r="546" spans="1:8" s="560" customFormat="1" ht="13.2" hidden="1" customHeight="1">
      <c r="A546" s="607" t="s">
        <v>488</v>
      </c>
      <c r="B546" s="607" t="s">
        <v>1339</v>
      </c>
      <c r="C546" s="614" t="s">
        <v>39</v>
      </c>
      <c r="D546" s="1013">
        <v>0</v>
      </c>
      <c r="E546" s="949">
        <v>0</v>
      </c>
      <c r="F546" s="581">
        <v>0</v>
      </c>
      <c r="G546" s="750" t="s">
        <v>1734</v>
      </c>
      <c r="H546" s="743">
        <v>5.04</v>
      </c>
    </row>
    <row r="547" spans="1:8" s="560" customFormat="1" ht="13.2" hidden="1" customHeight="1">
      <c r="A547" s="607" t="s">
        <v>489</v>
      </c>
      <c r="B547" s="607" t="s">
        <v>1343</v>
      </c>
      <c r="C547" s="614" t="s">
        <v>39</v>
      </c>
      <c r="D547" s="1013">
        <v>0</v>
      </c>
      <c r="E547" s="949">
        <v>0</v>
      </c>
      <c r="F547" s="581">
        <v>0</v>
      </c>
      <c r="G547" s="750" t="s">
        <v>1441</v>
      </c>
      <c r="H547" s="743">
        <v>1</v>
      </c>
    </row>
    <row r="548" spans="1:8" s="560" customFormat="1" ht="13.2" hidden="1" customHeight="1">
      <c r="A548" s="607" t="s">
        <v>490</v>
      </c>
      <c r="B548" s="607" t="s">
        <v>1344</v>
      </c>
      <c r="C548" s="614" t="s">
        <v>40</v>
      </c>
      <c r="D548" s="1013">
        <v>0</v>
      </c>
      <c r="E548" s="949">
        <v>0</v>
      </c>
      <c r="F548" s="581">
        <v>0</v>
      </c>
      <c r="G548" s="750" t="s">
        <v>1588</v>
      </c>
      <c r="H548" s="743">
        <v>24</v>
      </c>
    </row>
    <row r="549" spans="1:8" s="560" customFormat="1" ht="13.2" hidden="1" customHeight="1">
      <c r="A549" s="607" t="s">
        <v>1020</v>
      </c>
      <c r="B549" s="607" t="s">
        <v>1345</v>
      </c>
      <c r="C549" s="614" t="s">
        <v>37</v>
      </c>
      <c r="D549" s="1013">
        <v>0</v>
      </c>
      <c r="E549" s="949">
        <v>0</v>
      </c>
      <c r="F549" s="581">
        <v>0</v>
      </c>
      <c r="G549" s="750"/>
      <c r="H549" s="743">
        <v>0</v>
      </c>
    </row>
    <row r="550" spans="1:8" ht="13.2" hidden="1" customHeight="1">
      <c r="A550" s="492" t="s">
        <v>491</v>
      </c>
      <c r="B550" s="608" t="s">
        <v>1346</v>
      </c>
      <c r="C550" s="690"/>
      <c r="D550" s="1013">
        <v>0</v>
      </c>
      <c r="E550" s="949">
        <v>0</v>
      </c>
      <c r="F550" s="581">
        <v>0</v>
      </c>
      <c r="G550" s="750" t="s">
        <v>1479</v>
      </c>
      <c r="H550" s="743">
        <v>15</v>
      </c>
    </row>
    <row r="551" spans="1:8" ht="13.2" hidden="1" customHeight="1">
      <c r="A551" s="607" t="s">
        <v>492</v>
      </c>
      <c r="B551" s="607" t="s">
        <v>1347</v>
      </c>
      <c r="C551" s="614" t="s">
        <v>1438</v>
      </c>
      <c r="D551" s="1013">
        <v>0</v>
      </c>
      <c r="E551" s="949">
        <v>0</v>
      </c>
      <c r="F551" s="581">
        <v>0</v>
      </c>
      <c r="G551" s="750" t="s">
        <v>1735</v>
      </c>
      <c r="H551" s="743">
        <v>31.6</v>
      </c>
    </row>
    <row r="552" spans="1:8" ht="13.2" hidden="1" customHeight="1">
      <c r="A552" s="607" t="s">
        <v>493</v>
      </c>
      <c r="B552" s="607" t="s">
        <v>1348</v>
      </c>
      <c r="C552" s="614" t="s">
        <v>37</v>
      </c>
      <c r="D552" s="1013">
        <v>0</v>
      </c>
      <c r="E552" s="949">
        <v>0</v>
      </c>
      <c r="F552" s="581">
        <v>0</v>
      </c>
      <c r="G552" s="750" t="s">
        <v>1736</v>
      </c>
      <c r="H552" s="743">
        <v>46.35</v>
      </c>
    </row>
    <row r="553" spans="1:8" ht="13.2" hidden="1" customHeight="1">
      <c r="A553" s="607" t="s">
        <v>494</v>
      </c>
      <c r="B553" s="607" t="s">
        <v>1349</v>
      </c>
      <c r="C553" s="614" t="s">
        <v>37</v>
      </c>
      <c r="D553" s="1013">
        <v>0</v>
      </c>
      <c r="E553" s="949">
        <v>0</v>
      </c>
      <c r="F553" s="581">
        <v>0</v>
      </c>
      <c r="G553" s="750" t="s">
        <v>1603</v>
      </c>
      <c r="H553" s="743">
        <v>6</v>
      </c>
    </row>
    <row r="554" spans="1:8" ht="13.2" hidden="1" customHeight="1">
      <c r="A554" s="607" t="s">
        <v>1021</v>
      </c>
      <c r="B554" s="607" t="s">
        <v>1350</v>
      </c>
      <c r="C554" s="614" t="s">
        <v>1436</v>
      </c>
      <c r="D554" s="1013">
        <v>0</v>
      </c>
      <c r="E554" s="949">
        <v>0</v>
      </c>
      <c r="F554" s="581">
        <v>0</v>
      </c>
      <c r="G554" s="750" t="s">
        <v>1441</v>
      </c>
      <c r="H554" s="743">
        <v>1</v>
      </c>
    </row>
    <row r="555" spans="1:8" ht="13.2" hidden="1" customHeight="1">
      <c r="A555" s="607" t="s">
        <v>1022</v>
      </c>
      <c r="B555" s="607" t="s">
        <v>1351</v>
      </c>
      <c r="C555" s="614" t="s">
        <v>1437</v>
      </c>
      <c r="D555" s="1013">
        <v>0</v>
      </c>
      <c r="E555" s="949">
        <v>0</v>
      </c>
      <c r="F555" s="581">
        <v>0</v>
      </c>
      <c r="G555" s="750" t="s">
        <v>1684</v>
      </c>
      <c r="H555" s="743">
        <v>2</v>
      </c>
    </row>
    <row r="556" spans="1:8" ht="13.2" hidden="1" customHeight="1">
      <c r="A556" s="607" t="s">
        <v>1023</v>
      </c>
      <c r="B556" s="607" t="s">
        <v>1352</v>
      </c>
      <c r="C556" s="614" t="s">
        <v>1436</v>
      </c>
      <c r="D556" s="1013">
        <v>0</v>
      </c>
      <c r="E556" s="949">
        <v>0</v>
      </c>
      <c r="F556" s="581">
        <v>0</v>
      </c>
      <c r="G556" s="750"/>
      <c r="H556" s="743">
        <v>0</v>
      </c>
    </row>
    <row r="557" spans="1:8" ht="13.2" hidden="1" customHeight="1">
      <c r="A557" s="492" t="s">
        <v>1024</v>
      </c>
      <c r="B557" s="608" t="s">
        <v>1353</v>
      </c>
      <c r="C557" s="614"/>
      <c r="D557" s="1013">
        <v>0</v>
      </c>
      <c r="E557" s="949">
        <v>0</v>
      </c>
      <c r="F557" s="581">
        <v>0</v>
      </c>
      <c r="G557" s="750" t="s">
        <v>1441</v>
      </c>
      <c r="H557" s="743">
        <v>1</v>
      </c>
    </row>
    <row r="558" spans="1:8" ht="13.2" hidden="1" customHeight="1">
      <c r="A558" s="607" t="s">
        <v>495</v>
      </c>
      <c r="B558" s="607" t="s">
        <v>1354</v>
      </c>
      <c r="C558" s="614" t="s">
        <v>63</v>
      </c>
      <c r="D558" s="1013">
        <v>0</v>
      </c>
      <c r="E558" s="949">
        <v>0</v>
      </c>
      <c r="F558" s="581">
        <v>0</v>
      </c>
      <c r="G558" s="750" t="s">
        <v>1737</v>
      </c>
      <c r="H558" s="743">
        <v>77.95</v>
      </c>
    </row>
    <row r="559" spans="1:8" ht="13.2" hidden="1" customHeight="1">
      <c r="A559" s="607" t="s">
        <v>496</v>
      </c>
      <c r="B559" s="607" t="s">
        <v>1355</v>
      </c>
      <c r="C559" s="614" t="s">
        <v>37</v>
      </c>
      <c r="D559" s="1013">
        <v>0</v>
      </c>
      <c r="E559" s="949">
        <v>0</v>
      </c>
      <c r="F559" s="581">
        <v>0</v>
      </c>
      <c r="G559" s="750"/>
      <c r="H559" s="743">
        <v>0</v>
      </c>
    </row>
    <row r="560" spans="1:8" ht="13.2" hidden="1" customHeight="1">
      <c r="A560" s="492" t="s">
        <v>1025</v>
      </c>
      <c r="B560" s="608" t="s">
        <v>1356</v>
      </c>
      <c r="C560" s="614"/>
      <c r="D560" s="1013">
        <v>0</v>
      </c>
      <c r="E560" s="949">
        <v>0</v>
      </c>
      <c r="F560" s="581">
        <v>0</v>
      </c>
      <c r="G560" s="750" t="s">
        <v>1738</v>
      </c>
      <c r="H560" s="743">
        <v>110.78</v>
      </c>
    </row>
    <row r="561" spans="1:8" ht="13.2" hidden="1" customHeight="1">
      <c r="A561" s="607" t="s">
        <v>1026</v>
      </c>
      <c r="B561" s="607" t="s">
        <v>1357</v>
      </c>
      <c r="C561" s="614" t="s">
        <v>37</v>
      </c>
      <c r="D561" s="1013">
        <v>0</v>
      </c>
      <c r="E561" s="949">
        <v>0</v>
      </c>
      <c r="F561" s="581">
        <v>0</v>
      </c>
      <c r="G561" s="750" t="s">
        <v>1739</v>
      </c>
      <c r="H561" s="743">
        <v>34</v>
      </c>
    </row>
    <row r="562" spans="1:8" ht="13.2" hidden="1" customHeight="1">
      <c r="A562" s="607" t="s">
        <v>1027</v>
      </c>
      <c r="B562" s="607" t="s">
        <v>1358</v>
      </c>
      <c r="C562" s="614" t="s">
        <v>1436</v>
      </c>
      <c r="D562" s="1013">
        <v>0</v>
      </c>
      <c r="E562" s="949">
        <v>0</v>
      </c>
      <c r="F562" s="581">
        <v>0</v>
      </c>
      <c r="G562" s="750" t="s">
        <v>1740</v>
      </c>
      <c r="H562" s="743">
        <v>35.200000000000003</v>
      </c>
    </row>
    <row r="563" spans="1:8" ht="13.2" hidden="1" customHeight="1">
      <c r="A563" s="607" t="s">
        <v>1028</v>
      </c>
      <c r="B563" s="607" t="s">
        <v>1359</v>
      </c>
      <c r="C563" s="614" t="s">
        <v>36</v>
      </c>
      <c r="D563" s="1013">
        <v>0</v>
      </c>
      <c r="E563" s="949">
        <v>0</v>
      </c>
      <c r="F563" s="581">
        <v>0</v>
      </c>
      <c r="G563" s="750" t="s">
        <v>1741</v>
      </c>
      <c r="H563" s="743">
        <v>1.32</v>
      </c>
    </row>
    <row r="564" spans="1:8" ht="13.2" hidden="1" customHeight="1">
      <c r="A564" s="607" t="s">
        <v>1029</v>
      </c>
      <c r="B564" s="607" t="s">
        <v>1360</v>
      </c>
      <c r="C564" s="614" t="s">
        <v>39</v>
      </c>
      <c r="D564" s="1013">
        <v>0</v>
      </c>
      <c r="E564" s="949">
        <v>0</v>
      </c>
      <c r="F564" s="581">
        <v>0</v>
      </c>
      <c r="G564" s="750" t="s">
        <v>1742</v>
      </c>
      <c r="H564" s="743">
        <v>114.4</v>
      </c>
    </row>
    <row r="565" spans="1:8" ht="13.2" hidden="1" customHeight="1">
      <c r="A565" s="607" t="s">
        <v>1030</v>
      </c>
      <c r="B565" s="607" t="s">
        <v>1361</v>
      </c>
      <c r="C565" s="614" t="s">
        <v>47</v>
      </c>
      <c r="D565" s="1013">
        <v>0</v>
      </c>
      <c r="E565" s="949">
        <v>0</v>
      </c>
      <c r="F565" s="581">
        <v>0</v>
      </c>
      <c r="G565" s="750" t="s">
        <v>1743</v>
      </c>
      <c r="H565" s="743">
        <v>89.98</v>
      </c>
    </row>
    <row r="566" spans="1:8" ht="13.2" hidden="1" customHeight="1">
      <c r="A566" s="607" t="s">
        <v>1031</v>
      </c>
      <c r="B566" s="607" t="s">
        <v>1362</v>
      </c>
      <c r="C566" s="614" t="s">
        <v>37</v>
      </c>
      <c r="D566" s="1013">
        <v>0</v>
      </c>
      <c r="E566" s="949">
        <v>0</v>
      </c>
      <c r="F566" s="581">
        <v>0</v>
      </c>
      <c r="G566" s="750" t="s">
        <v>1744</v>
      </c>
      <c r="H566" s="743">
        <v>33.78</v>
      </c>
    </row>
    <row r="567" spans="1:8" ht="13.2" hidden="1" customHeight="1">
      <c r="A567" s="607" t="s">
        <v>1032</v>
      </c>
      <c r="B567" s="607" t="s">
        <v>1363</v>
      </c>
      <c r="C567" s="614" t="s">
        <v>37</v>
      </c>
      <c r="D567" s="1013">
        <v>0</v>
      </c>
      <c r="E567" s="949">
        <v>0</v>
      </c>
      <c r="F567" s="581">
        <v>0</v>
      </c>
      <c r="G567" s="750" t="s">
        <v>1745</v>
      </c>
      <c r="H567" s="743">
        <v>18</v>
      </c>
    </row>
    <row r="568" spans="1:8" ht="13.2" hidden="1" customHeight="1">
      <c r="A568" s="607" t="s">
        <v>1033</v>
      </c>
      <c r="B568" s="607" t="s">
        <v>1339</v>
      </c>
      <c r="C568" s="614" t="s">
        <v>39</v>
      </c>
      <c r="D568" s="1013">
        <v>0</v>
      </c>
      <c r="E568" s="949">
        <v>0</v>
      </c>
      <c r="F568" s="581">
        <v>0</v>
      </c>
      <c r="G568" s="750" t="s">
        <v>1746</v>
      </c>
      <c r="H568" s="743">
        <v>56.2</v>
      </c>
    </row>
    <row r="569" spans="1:8" ht="13.2" hidden="1" customHeight="1">
      <c r="A569" s="607" t="s">
        <v>1034</v>
      </c>
      <c r="B569" s="607" t="s">
        <v>1364</v>
      </c>
      <c r="C569" s="614" t="s">
        <v>37</v>
      </c>
      <c r="D569" s="1013">
        <v>0</v>
      </c>
      <c r="E569" s="949">
        <v>0</v>
      </c>
      <c r="F569" s="581">
        <v>0</v>
      </c>
      <c r="G569" s="750" t="s">
        <v>1746</v>
      </c>
      <c r="H569" s="743">
        <v>56.2</v>
      </c>
    </row>
    <row r="570" spans="1:8" ht="13.2" hidden="1" customHeight="1">
      <c r="A570" s="607" t="s">
        <v>1035</v>
      </c>
      <c r="B570" s="607" t="s">
        <v>1365</v>
      </c>
      <c r="C570" s="614" t="s">
        <v>37</v>
      </c>
      <c r="D570" s="1013">
        <v>0</v>
      </c>
      <c r="E570" s="949">
        <v>0</v>
      </c>
      <c r="F570" s="581">
        <v>0</v>
      </c>
      <c r="G570" s="750" t="s">
        <v>1747</v>
      </c>
      <c r="H570" s="743">
        <v>59.01</v>
      </c>
    </row>
    <row r="571" spans="1:8" s="559" customFormat="1" ht="13.2" hidden="1" customHeight="1">
      <c r="A571" s="607" t="s">
        <v>1036</v>
      </c>
      <c r="B571" s="607" t="s">
        <v>1366</v>
      </c>
      <c r="C571" s="614" t="s">
        <v>36</v>
      </c>
      <c r="D571" s="1013">
        <v>0</v>
      </c>
      <c r="E571" s="949">
        <v>0</v>
      </c>
      <c r="F571" s="581">
        <v>0</v>
      </c>
      <c r="G571" s="750" t="s">
        <v>1748</v>
      </c>
      <c r="H571" s="743">
        <v>36.119999999999997</v>
      </c>
    </row>
    <row r="572" spans="1:8" ht="13.2" hidden="1" customHeight="1">
      <c r="A572" s="607" t="s">
        <v>1037</v>
      </c>
      <c r="B572" s="607" t="s">
        <v>1367</v>
      </c>
      <c r="C572" s="614" t="s">
        <v>37</v>
      </c>
      <c r="D572" s="1013">
        <v>0</v>
      </c>
      <c r="E572" s="949">
        <v>0</v>
      </c>
      <c r="F572" s="581">
        <v>0</v>
      </c>
      <c r="G572" s="750" t="s">
        <v>1656</v>
      </c>
      <c r="H572" s="743">
        <v>20</v>
      </c>
    </row>
    <row r="573" spans="1:8" ht="13.95" hidden="1" customHeight="1">
      <c r="A573" s="607" t="s">
        <v>1038</v>
      </c>
      <c r="B573" s="607" t="s">
        <v>1368</v>
      </c>
      <c r="C573" s="614" t="s">
        <v>37</v>
      </c>
      <c r="D573" s="1013">
        <v>0</v>
      </c>
      <c r="E573" s="949">
        <v>0</v>
      </c>
      <c r="F573" s="581">
        <v>0</v>
      </c>
      <c r="G573" s="750"/>
      <c r="H573" s="743">
        <v>0</v>
      </c>
    </row>
    <row r="574" spans="1:8" s="1045" customFormat="1" ht="13.2" hidden="1" customHeight="1">
      <c r="A574" s="1016" t="s">
        <v>497</v>
      </c>
      <c r="B574" s="1016" t="s">
        <v>1369</v>
      </c>
      <c r="C574" s="1018"/>
      <c r="D574" s="1013">
        <v>0</v>
      </c>
      <c r="E574" s="949">
        <v>0</v>
      </c>
      <c r="F574" s="581">
        <v>0</v>
      </c>
      <c r="G574" s="902"/>
      <c r="H574" s="896">
        <v>0</v>
      </c>
    </row>
    <row r="575" spans="1:8" ht="13.2" hidden="1" customHeight="1">
      <c r="A575" s="492" t="s">
        <v>498</v>
      </c>
      <c r="B575" s="608" t="s">
        <v>1370</v>
      </c>
      <c r="C575" s="690"/>
      <c r="D575" s="1013">
        <v>0</v>
      </c>
      <c r="E575" s="949">
        <v>0</v>
      </c>
      <c r="F575" s="581">
        <v>0</v>
      </c>
      <c r="G575" s="750"/>
      <c r="H575" s="743">
        <v>0</v>
      </c>
    </row>
    <row r="576" spans="1:8" ht="13.2" hidden="1" customHeight="1">
      <c r="A576" s="607" t="s">
        <v>1039</v>
      </c>
      <c r="B576" s="607" t="s">
        <v>1371</v>
      </c>
      <c r="C576" s="690"/>
      <c r="D576" s="1013">
        <v>0</v>
      </c>
      <c r="E576" s="949">
        <v>0</v>
      </c>
      <c r="F576" s="581">
        <v>0</v>
      </c>
      <c r="G576" s="750" t="s">
        <v>1441</v>
      </c>
      <c r="H576" s="743">
        <v>1</v>
      </c>
    </row>
    <row r="577" spans="1:8" ht="13.2" hidden="1" customHeight="1">
      <c r="A577" s="604" t="s">
        <v>1040</v>
      </c>
      <c r="B577" s="604" t="s">
        <v>1372</v>
      </c>
      <c r="C577" s="614" t="s">
        <v>1439</v>
      </c>
      <c r="D577" s="1013">
        <v>0</v>
      </c>
      <c r="E577" s="949">
        <v>0</v>
      </c>
      <c r="F577" s="581">
        <v>0</v>
      </c>
      <c r="G577" s="750" t="s">
        <v>1441</v>
      </c>
      <c r="H577" s="743">
        <v>1</v>
      </c>
    </row>
    <row r="578" spans="1:8" ht="13.2" hidden="1" customHeight="1">
      <c r="A578" s="604" t="s">
        <v>1041</v>
      </c>
      <c r="B578" s="604" t="s">
        <v>1373</v>
      </c>
      <c r="C578" s="614" t="s">
        <v>1439</v>
      </c>
      <c r="D578" s="1013">
        <v>0</v>
      </c>
      <c r="E578" s="949">
        <v>0</v>
      </c>
      <c r="F578" s="581">
        <v>0</v>
      </c>
      <c r="G578" s="750" t="s">
        <v>1441</v>
      </c>
      <c r="H578" s="743">
        <v>1</v>
      </c>
    </row>
    <row r="579" spans="1:8" ht="13.2" hidden="1" customHeight="1">
      <c r="A579" s="604" t="s">
        <v>1042</v>
      </c>
      <c r="B579" s="604" t="s">
        <v>1374</v>
      </c>
      <c r="C579" s="614" t="s">
        <v>1439</v>
      </c>
      <c r="D579" s="1013">
        <v>0</v>
      </c>
      <c r="E579" s="949">
        <v>0</v>
      </c>
      <c r="F579" s="581">
        <v>0</v>
      </c>
      <c r="G579" s="750" t="s">
        <v>1441</v>
      </c>
      <c r="H579" s="743">
        <v>1</v>
      </c>
    </row>
    <row r="580" spans="1:8" ht="13.2" hidden="1" customHeight="1">
      <c r="A580" s="604" t="s">
        <v>1043</v>
      </c>
      <c r="B580" s="604" t="s">
        <v>1375</v>
      </c>
      <c r="C580" s="614" t="s">
        <v>1439</v>
      </c>
      <c r="D580" s="1013">
        <v>0</v>
      </c>
      <c r="E580" s="949">
        <v>0</v>
      </c>
      <c r="F580" s="581">
        <v>0</v>
      </c>
      <c r="G580" s="750"/>
      <c r="H580" s="743">
        <v>0</v>
      </c>
    </row>
    <row r="581" spans="1:8" ht="13.2" hidden="1" customHeight="1">
      <c r="A581" s="607" t="s">
        <v>1044</v>
      </c>
      <c r="B581" s="607" t="s">
        <v>1376</v>
      </c>
      <c r="C581" s="690"/>
      <c r="D581" s="1013">
        <v>0</v>
      </c>
      <c r="E581" s="949">
        <v>0</v>
      </c>
      <c r="F581" s="581">
        <v>0</v>
      </c>
      <c r="G581" s="750" t="s">
        <v>1749</v>
      </c>
      <c r="H581" s="743">
        <v>43</v>
      </c>
    </row>
    <row r="582" spans="1:8" ht="13.2" hidden="1" customHeight="1">
      <c r="A582" s="604" t="s">
        <v>1045</v>
      </c>
      <c r="B582" s="604" t="s">
        <v>1376</v>
      </c>
      <c r="C582" s="614" t="s">
        <v>1438</v>
      </c>
      <c r="D582" s="1013">
        <v>0</v>
      </c>
      <c r="E582" s="949">
        <v>0</v>
      </c>
      <c r="F582" s="581">
        <v>0</v>
      </c>
      <c r="G582" s="750" t="s">
        <v>1750</v>
      </c>
      <c r="H582" s="743">
        <v>7</v>
      </c>
    </row>
    <row r="583" spans="1:8" ht="13.2" hidden="1" customHeight="1">
      <c r="A583" s="604" t="s">
        <v>1046</v>
      </c>
      <c r="B583" s="604" t="s">
        <v>1377</v>
      </c>
      <c r="C583" s="614" t="s">
        <v>1438</v>
      </c>
      <c r="D583" s="1013">
        <v>0</v>
      </c>
      <c r="E583" s="949">
        <v>0</v>
      </c>
      <c r="F583" s="581">
        <v>0</v>
      </c>
      <c r="G583" s="750"/>
      <c r="H583" s="743">
        <v>0</v>
      </c>
    </row>
    <row r="584" spans="1:8" ht="13.2" hidden="1" customHeight="1">
      <c r="A584" s="607" t="s">
        <v>1047</v>
      </c>
      <c r="B584" s="607" t="s">
        <v>1378</v>
      </c>
      <c r="C584" s="690"/>
      <c r="D584" s="1013">
        <v>0</v>
      </c>
      <c r="E584" s="949">
        <v>0</v>
      </c>
      <c r="F584" s="581">
        <v>0</v>
      </c>
      <c r="G584" s="750" t="s">
        <v>1751</v>
      </c>
      <c r="H584" s="743">
        <v>17</v>
      </c>
    </row>
    <row r="585" spans="1:8" ht="13.2" hidden="1" customHeight="1">
      <c r="A585" s="604" t="s">
        <v>1048</v>
      </c>
      <c r="B585" s="604" t="s">
        <v>1379</v>
      </c>
      <c r="C585" s="614" t="s">
        <v>35</v>
      </c>
      <c r="D585" s="1013">
        <v>0</v>
      </c>
      <c r="E585" s="949">
        <v>0</v>
      </c>
      <c r="F585" s="581">
        <v>0</v>
      </c>
      <c r="G585" s="750" t="s">
        <v>1752</v>
      </c>
      <c r="H585" s="743">
        <v>23</v>
      </c>
    </row>
    <row r="586" spans="1:8" ht="13.2" hidden="1" customHeight="1">
      <c r="A586" s="604" t="s">
        <v>1049</v>
      </c>
      <c r="B586" s="604" t="s">
        <v>1380</v>
      </c>
      <c r="C586" s="614" t="s">
        <v>35</v>
      </c>
      <c r="D586" s="1013">
        <v>0</v>
      </c>
      <c r="E586" s="949">
        <v>0</v>
      </c>
      <c r="F586" s="581">
        <v>0</v>
      </c>
      <c r="G586" s="750" t="s">
        <v>1684</v>
      </c>
      <c r="H586" s="743">
        <v>2</v>
      </c>
    </row>
    <row r="587" spans="1:8" ht="13.2" hidden="1" customHeight="1">
      <c r="A587" s="604" t="s">
        <v>1050</v>
      </c>
      <c r="B587" s="604" t="s">
        <v>1381</v>
      </c>
      <c r="C587" s="614" t="s">
        <v>35</v>
      </c>
      <c r="D587" s="1013">
        <v>0</v>
      </c>
      <c r="E587" s="949">
        <v>0</v>
      </c>
      <c r="F587" s="581">
        <v>0</v>
      </c>
      <c r="G587" s="750" t="s">
        <v>1441</v>
      </c>
      <c r="H587" s="743">
        <v>1</v>
      </c>
    </row>
    <row r="588" spans="1:8" ht="13.2" hidden="1" customHeight="1">
      <c r="A588" s="604" t="s">
        <v>1051</v>
      </c>
      <c r="B588" s="604" t="s">
        <v>1382</v>
      </c>
      <c r="C588" s="614" t="s">
        <v>35</v>
      </c>
      <c r="D588" s="1013">
        <v>0</v>
      </c>
      <c r="E588" s="949">
        <v>0</v>
      </c>
      <c r="F588" s="581">
        <v>0</v>
      </c>
      <c r="G588" s="750" t="s">
        <v>1750</v>
      </c>
      <c r="H588" s="743">
        <v>7</v>
      </c>
    </row>
    <row r="589" spans="1:8" ht="13.2" hidden="1" customHeight="1">
      <c r="A589" s="604" t="s">
        <v>1052</v>
      </c>
      <c r="B589" s="604" t="s">
        <v>1383</v>
      </c>
      <c r="C589" s="614" t="s">
        <v>35</v>
      </c>
      <c r="D589" s="1013">
        <v>0</v>
      </c>
      <c r="E589" s="949">
        <v>0</v>
      </c>
      <c r="F589" s="581">
        <v>0</v>
      </c>
      <c r="G589" s="750"/>
      <c r="H589" s="743">
        <v>0</v>
      </c>
    </row>
    <row r="590" spans="1:8" ht="13.2" hidden="1" customHeight="1">
      <c r="A590" s="607" t="s">
        <v>1053</v>
      </c>
      <c r="B590" s="607" t="s">
        <v>1384</v>
      </c>
      <c r="C590" s="690"/>
      <c r="D590" s="1013">
        <v>0</v>
      </c>
      <c r="E590" s="949">
        <v>0</v>
      </c>
      <c r="F590" s="581">
        <v>0</v>
      </c>
      <c r="G590" s="750" t="s">
        <v>1475</v>
      </c>
      <c r="H590" s="743">
        <v>16</v>
      </c>
    </row>
    <row r="591" spans="1:8" ht="13.2" hidden="1" customHeight="1">
      <c r="A591" s="604" t="s">
        <v>1054</v>
      </c>
      <c r="B591" s="604" t="s">
        <v>1385</v>
      </c>
      <c r="C591" s="614" t="s">
        <v>1438</v>
      </c>
      <c r="D591" s="1013">
        <v>0</v>
      </c>
      <c r="E591" s="949">
        <v>0</v>
      </c>
      <c r="F591" s="581">
        <v>0</v>
      </c>
      <c r="G591" s="750" t="s">
        <v>1684</v>
      </c>
      <c r="H591" s="743">
        <v>2</v>
      </c>
    </row>
    <row r="592" spans="1:8" ht="13.2" hidden="1" customHeight="1">
      <c r="A592" s="604" t="s">
        <v>1055</v>
      </c>
      <c r="B592" s="604" t="s">
        <v>1386</v>
      </c>
      <c r="C592" s="614" t="s">
        <v>1438</v>
      </c>
      <c r="D592" s="1013">
        <v>0</v>
      </c>
      <c r="E592" s="949">
        <v>0</v>
      </c>
      <c r="F592" s="581">
        <v>0</v>
      </c>
      <c r="G592" s="750" t="s">
        <v>1684</v>
      </c>
      <c r="H592" s="743">
        <v>2</v>
      </c>
    </row>
    <row r="593" spans="1:8" ht="13.2" hidden="1" customHeight="1">
      <c r="A593" s="604" t="s">
        <v>1056</v>
      </c>
      <c r="B593" s="604" t="s">
        <v>1387</v>
      </c>
      <c r="C593" s="614" t="s">
        <v>1438</v>
      </c>
      <c r="D593" s="1013">
        <v>0</v>
      </c>
      <c r="E593" s="949">
        <v>0</v>
      </c>
      <c r="F593" s="581">
        <v>0</v>
      </c>
      <c r="G593" s="750"/>
      <c r="H593" s="743">
        <v>0</v>
      </c>
    </row>
    <row r="594" spans="1:8" ht="13.2" hidden="1" customHeight="1">
      <c r="A594" s="607" t="s">
        <v>1057</v>
      </c>
      <c r="B594" s="607" t="s">
        <v>1388</v>
      </c>
      <c r="C594" s="690"/>
      <c r="D594" s="1013">
        <v>0</v>
      </c>
      <c r="E594" s="949">
        <v>0</v>
      </c>
      <c r="F594" s="581">
        <v>0</v>
      </c>
      <c r="G594" s="750" t="s">
        <v>1753</v>
      </c>
      <c r="H594" s="743">
        <v>14</v>
      </c>
    </row>
    <row r="595" spans="1:8" ht="13.2" hidden="1" customHeight="1">
      <c r="A595" s="604" t="s">
        <v>1058</v>
      </c>
      <c r="B595" s="604" t="s">
        <v>1389</v>
      </c>
      <c r="C595" s="614" t="s">
        <v>1438</v>
      </c>
      <c r="D595" s="1013">
        <v>0</v>
      </c>
      <c r="E595" s="949">
        <v>0</v>
      </c>
      <c r="F595" s="581">
        <v>0</v>
      </c>
      <c r="G595" s="750" t="s">
        <v>1441</v>
      </c>
      <c r="H595" s="743">
        <v>1</v>
      </c>
    </row>
    <row r="596" spans="1:8" ht="13.2" hidden="1" customHeight="1">
      <c r="A596" s="604" t="s">
        <v>1059</v>
      </c>
      <c r="B596" s="604" t="s">
        <v>1390</v>
      </c>
      <c r="C596" s="614" t="s">
        <v>1438</v>
      </c>
      <c r="D596" s="1013">
        <v>0</v>
      </c>
      <c r="E596" s="949">
        <v>0</v>
      </c>
      <c r="F596" s="581">
        <v>0</v>
      </c>
      <c r="G596" s="750" t="s">
        <v>1604</v>
      </c>
      <c r="H596" s="743">
        <v>3</v>
      </c>
    </row>
    <row r="597" spans="1:8" ht="13.2" hidden="1" customHeight="1">
      <c r="A597" s="604" t="s">
        <v>1060</v>
      </c>
      <c r="B597" s="604" t="s">
        <v>1391</v>
      </c>
      <c r="C597" s="614" t="s">
        <v>1438</v>
      </c>
      <c r="D597" s="1013">
        <v>0</v>
      </c>
      <c r="E597" s="949">
        <v>0</v>
      </c>
      <c r="F597" s="581">
        <v>0</v>
      </c>
      <c r="G597" s="750" t="s">
        <v>1627</v>
      </c>
      <c r="H597" s="743">
        <v>9</v>
      </c>
    </row>
    <row r="598" spans="1:8" ht="13.2" hidden="1" customHeight="1">
      <c r="A598" s="604" t="s">
        <v>1061</v>
      </c>
      <c r="B598" s="604" t="s">
        <v>1392</v>
      </c>
      <c r="C598" s="614" t="s">
        <v>1438</v>
      </c>
      <c r="D598" s="1013">
        <v>0</v>
      </c>
      <c r="E598" s="949">
        <v>0</v>
      </c>
      <c r="F598" s="581">
        <v>0</v>
      </c>
      <c r="G598" s="750" t="s">
        <v>1441</v>
      </c>
      <c r="H598" s="743">
        <v>1</v>
      </c>
    </row>
    <row r="599" spans="1:8" ht="13.2" hidden="1" customHeight="1">
      <c r="A599" s="604" t="s">
        <v>1062</v>
      </c>
      <c r="B599" s="604" t="s">
        <v>1393</v>
      </c>
      <c r="C599" s="614" t="s">
        <v>1438</v>
      </c>
      <c r="D599" s="1013">
        <v>0</v>
      </c>
      <c r="E599" s="949">
        <v>0</v>
      </c>
      <c r="F599" s="581">
        <v>0</v>
      </c>
      <c r="G599" s="750"/>
      <c r="H599" s="743">
        <v>0</v>
      </c>
    </row>
    <row r="600" spans="1:8" ht="13.2" hidden="1" customHeight="1">
      <c r="A600" s="607" t="s">
        <v>1063</v>
      </c>
      <c r="B600" s="607" t="s">
        <v>1394</v>
      </c>
      <c r="C600" s="690"/>
      <c r="D600" s="1013">
        <v>0</v>
      </c>
      <c r="E600" s="949">
        <v>0</v>
      </c>
      <c r="F600" s="581">
        <v>0</v>
      </c>
      <c r="G600" s="750" t="s">
        <v>1441</v>
      </c>
      <c r="H600" s="743">
        <v>1</v>
      </c>
    </row>
    <row r="601" spans="1:8" ht="13.2" hidden="1" customHeight="1">
      <c r="A601" s="604" t="s">
        <v>1064</v>
      </c>
      <c r="B601" s="604" t="s">
        <v>1395</v>
      </c>
      <c r="C601" s="614" t="s">
        <v>1438</v>
      </c>
      <c r="D601" s="1013">
        <v>0</v>
      </c>
      <c r="E601" s="949">
        <v>0</v>
      </c>
      <c r="F601" s="581">
        <v>0</v>
      </c>
      <c r="G601" s="750" t="s">
        <v>1441</v>
      </c>
      <c r="H601" s="743">
        <v>1</v>
      </c>
    </row>
    <row r="602" spans="1:8" ht="13.2" hidden="1" customHeight="1">
      <c r="A602" s="604" t="s">
        <v>1065</v>
      </c>
      <c r="B602" s="604" t="s">
        <v>1396</v>
      </c>
      <c r="C602" s="614" t="s">
        <v>1438</v>
      </c>
      <c r="D602" s="1013">
        <v>0</v>
      </c>
      <c r="E602" s="949">
        <v>0</v>
      </c>
      <c r="F602" s="581">
        <v>0</v>
      </c>
      <c r="G602" s="750" t="s">
        <v>1712</v>
      </c>
      <c r="H602" s="743">
        <v>11</v>
      </c>
    </row>
    <row r="603" spans="1:8" ht="13.2" hidden="1" customHeight="1">
      <c r="A603" s="604" t="s">
        <v>1066</v>
      </c>
      <c r="B603" s="604" t="s">
        <v>1397</v>
      </c>
      <c r="C603" s="614" t="s">
        <v>1438</v>
      </c>
      <c r="D603" s="1013">
        <v>0</v>
      </c>
      <c r="E603" s="949">
        <v>0</v>
      </c>
      <c r="F603" s="581">
        <v>0</v>
      </c>
      <c r="G603" s="750" t="s">
        <v>1684</v>
      </c>
      <c r="H603" s="743">
        <v>2</v>
      </c>
    </row>
    <row r="604" spans="1:8" ht="13.2" hidden="1" customHeight="1">
      <c r="A604" s="604" t="s">
        <v>1067</v>
      </c>
      <c r="B604" s="604" t="s">
        <v>1398</v>
      </c>
      <c r="C604" s="614" t="s">
        <v>1438</v>
      </c>
      <c r="D604" s="1013">
        <v>0</v>
      </c>
      <c r="E604" s="949">
        <v>0</v>
      </c>
      <c r="F604" s="581">
        <v>0</v>
      </c>
      <c r="G604" s="750" t="s">
        <v>1684</v>
      </c>
      <c r="H604" s="743">
        <v>2</v>
      </c>
    </row>
    <row r="605" spans="1:8" ht="13.2" hidden="1" customHeight="1">
      <c r="A605" s="604" t="s">
        <v>1068</v>
      </c>
      <c r="B605" s="604" t="s">
        <v>1399</v>
      </c>
      <c r="C605" s="614" t="s">
        <v>1438</v>
      </c>
      <c r="D605" s="1013">
        <v>0</v>
      </c>
      <c r="E605" s="949">
        <v>0</v>
      </c>
      <c r="F605" s="581">
        <v>0</v>
      </c>
      <c r="G605" s="750"/>
      <c r="H605" s="743">
        <v>0</v>
      </c>
    </row>
    <row r="606" spans="1:8" ht="13.2" hidden="1" customHeight="1">
      <c r="A606" s="607" t="s">
        <v>1069</v>
      </c>
      <c r="B606" s="607" t="s">
        <v>1400</v>
      </c>
      <c r="C606" s="690"/>
      <c r="D606" s="1013">
        <v>0</v>
      </c>
      <c r="E606" s="949">
        <v>0</v>
      </c>
      <c r="F606" s="581">
        <v>0</v>
      </c>
      <c r="G606" s="750" t="s">
        <v>1441</v>
      </c>
      <c r="H606" s="743">
        <v>1</v>
      </c>
    </row>
    <row r="607" spans="1:8" ht="13.2" hidden="1" customHeight="1">
      <c r="A607" s="604" t="s">
        <v>1070</v>
      </c>
      <c r="B607" s="604" t="s">
        <v>1401</v>
      </c>
      <c r="C607" s="614" t="s">
        <v>35</v>
      </c>
      <c r="D607" s="1013">
        <v>0</v>
      </c>
      <c r="E607" s="949">
        <v>0</v>
      </c>
      <c r="F607" s="581">
        <v>0</v>
      </c>
      <c r="G607" s="750"/>
      <c r="H607" s="743">
        <v>0</v>
      </c>
    </row>
    <row r="608" spans="1:8" ht="13.2" hidden="1" customHeight="1">
      <c r="A608" s="607" t="s">
        <v>1071</v>
      </c>
      <c r="B608" s="607" t="s">
        <v>1402</v>
      </c>
      <c r="C608" s="690"/>
      <c r="D608" s="1013">
        <v>0</v>
      </c>
      <c r="E608" s="949">
        <v>0</v>
      </c>
      <c r="F608" s="581">
        <v>0</v>
      </c>
      <c r="G608" s="750" t="s">
        <v>1441</v>
      </c>
      <c r="H608" s="743">
        <v>1</v>
      </c>
    </row>
    <row r="609" spans="1:8" ht="13.2" hidden="1" customHeight="1">
      <c r="A609" s="604" t="s">
        <v>1072</v>
      </c>
      <c r="B609" s="604" t="s">
        <v>1403</v>
      </c>
      <c r="C609" s="614" t="s">
        <v>35</v>
      </c>
      <c r="D609" s="1013">
        <v>0</v>
      </c>
      <c r="E609" s="949">
        <v>0</v>
      </c>
      <c r="F609" s="581">
        <v>0</v>
      </c>
      <c r="G609" s="750"/>
      <c r="H609" s="743">
        <v>0</v>
      </c>
    </row>
    <row r="610" spans="1:8" ht="13.2" hidden="1" customHeight="1">
      <c r="A610" s="492" t="s">
        <v>499</v>
      </c>
      <c r="B610" s="608" t="s">
        <v>1404</v>
      </c>
      <c r="C610" s="690"/>
      <c r="D610" s="1013">
        <v>0</v>
      </c>
      <c r="E610" s="949">
        <v>0</v>
      </c>
      <c r="F610" s="581">
        <v>0</v>
      </c>
      <c r="G610" s="750"/>
      <c r="H610" s="743">
        <v>0</v>
      </c>
    </row>
    <row r="611" spans="1:8" ht="13.2" hidden="1" customHeight="1">
      <c r="A611" s="607" t="s">
        <v>1073</v>
      </c>
      <c r="B611" s="607" t="s">
        <v>1405</v>
      </c>
      <c r="C611" s="690"/>
      <c r="D611" s="1013">
        <v>0</v>
      </c>
      <c r="E611" s="949">
        <v>0</v>
      </c>
      <c r="F611" s="581">
        <v>0</v>
      </c>
      <c r="G611" s="750" t="s">
        <v>1754</v>
      </c>
      <c r="H611" s="743">
        <v>29</v>
      </c>
    </row>
    <row r="612" spans="1:8" ht="13.2" hidden="1" customHeight="1">
      <c r="A612" s="604" t="s">
        <v>1074</v>
      </c>
      <c r="B612" s="604" t="s">
        <v>1406</v>
      </c>
      <c r="C612" s="614" t="s">
        <v>37</v>
      </c>
      <c r="D612" s="1013">
        <v>0</v>
      </c>
      <c r="E612" s="949">
        <v>0</v>
      </c>
      <c r="F612" s="581">
        <v>0</v>
      </c>
      <c r="G612" s="750"/>
      <c r="H612" s="743">
        <v>0</v>
      </c>
    </row>
    <row r="613" spans="1:8" ht="13.2" hidden="1" customHeight="1">
      <c r="A613" s="607" t="s">
        <v>1075</v>
      </c>
      <c r="B613" s="607" t="s">
        <v>1407</v>
      </c>
      <c r="C613" s="690"/>
      <c r="D613" s="1013">
        <v>0</v>
      </c>
      <c r="E613" s="949">
        <v>0</v>
      </c>
      <c r="F613" s="581">
        <v>0</v>
      </c>
      <c r="G613" s="750" t="s">
        <v>1722</v>
      </c>
      <c r="H613" s="743">
        <v>64</v>
      </c>
    </row>
    <row r="614" spans="1:8" ht="13.2" hidden="1" customHeight="1">
      <c r="A614" s="604" t="s">
        <v>1076</v>
      </c>
      <c r="B614" s="604" t="s">
        <v>1408</v>
      </c>
      <c r="C614" s="614" t="s">
        <v>37</v>
      </c>
      <c r="D614" s="1013">
        <v>0</v>
      </c>
      <c r="E614" s="949">
        <v>0</v>
      </c>
      <c r="F614" s="581">
        <v>0</v>
      </c>
      <c r="G614" s="750"/>
      <c r="H614" s="743">
        <v>0</v>
      </c>
    </row>
    <row r="615" spans="1:8" ht="13.2" hidden="1" customHeight="1">
      <c r="A615" s="607" t="s">
        <v>1077</v>
      </c>
      <c r="B615" s="607" t="s">
        <v>1409</v>
      </c>
      <c r="C615" s="690"/>
      <c r="D615" s="1013">
        <v>0</v>
      </c>
      <c r="E615" s="949">
        <v>0</v>
      </c>
      <c r="F615" s="581">
        <v>0</v>
      </c>
      <c r="G615" s="750" t="s">
        <v>1722</v>
      </c>
      <c r="H615" s="743">
        <v>64</v>
      </c>
    </row>
    <row r="616" spans="1:8" ht="13.2" hidden="1" customHeight="1">
      <c r="A616" s="604" t="s">
        <v>1078</v>
      </c>
      <c r="B616" s="604" t="s">
        <v>1410</v>
      </c>
      <c r="C616" s="614" t="s">
        <v>37</v>
      </c>
      <c r="D616" s="1013">
        <v>0</v>
      </c>
      <c r="E616" s="949">
        <v>0</v>
      </c>
      <c r="F616" s="581">
        <v>0</v>
      </c>
      <c r="G616" s="750"/>
      <c r="H616" s="743">
        <v>0</v>
      </c>
    </row>
    <row r="617" spans="1:8" ht="13.2" hidden="1" customHeight="1">
      <c r="A617" s="607" t="s">
        <v>1079</v>
      </c>
      <c r="B617" s="607" t="s">
        <v>1411</v>
      </c>
      <c r="C617" s="690"/>
      <c r="D617" s="1013">
        <v>0</v>
      </c>
      <c r="E617" s="949">
        <v>0</v>
      </c>
      <c r="F617" s="581">
        <v>0</v>
      </c>
      <c r="G617" s="750" t="s">
        <v>1603</v>
      </c>
      <c r="H617" s="743">
        <v>6</v>
      </c>
    </row>
    <row r="618" spans="1:8" ht="13.2" hidden="1" customHeight="1">
      <c r="A618" s="604" t="s">
        <v>1080</v>
      </c>
      <c r="B618" s="604" t="s">
        <v>1412</v>
      </c>
      <c r="C618" s="614" t="s">
        <v>1438</v>
      </c>
      <c r="D618" s="1013">
        <v>0</v>
      </c>
      <c r="E618" s="949">
        <v>0</v>
      </c>
      <c r="F618" s="581">
        <v>0</v>
      </c>
      <c r="G618" s="750"/>
      <c r="H618" s="743">
        <v>0</v>
      </c>
    </row>
    <row r="619" spans="1:8" ht="13.2" hidden="1" customHeight="1">
      <c r="A619" s="607" t="s">
        <v>1081</v>
      </c>
      <c r="B619" s="607" t="s">
        <v>1378</v>
      </c>
      <c r="C619" s="690"/>
      <c r="D619" s="1013">
        <v>0</v>
      </c>
      <c r="E619" s="949">
        <v>0</v>
      </c>
      <c r="F619" s="581">
        <v>0</v>
      </c>
      <c r="G619" s="750" t="s">
        <v>1603</v>
      </c>
      <c r="H619" s="743">
        <v>6</v>
      </c>
    </row>
    <row r="620" spans="1:8" ht="13.2" hidden="1" customHeight="1">
      <c r="A620" s="604" t="s">
        <v>1082</v>
      </c>
      <c r="B620" s="604" t="s">
        <v>1413</v>
      </c>
      <c r="C620" s="614" t="s">
        <v>35</v>
      </c>
      <c r="D620" s="1013">
        <v>0</v>
      </c>
      <c r="E620" s="949">
        <v>0</v>
      </c>
      <c r="F620" s="581">
        <v>0</v>
      </c>
      <c r="G620" s="750"/>
      <c r="H620" s="743">
        <v>0</v>
      </c>
    </row>
    <row r="621" spans="1:8" ht="13.2" hidden="1" customHeight="1">
      <c r="A621" s="492" t="s">
        <v>1083</v>
      </c>
      <c r="B621" s="608" t="s">
        <v>1414</v>
      </c>
      <c r="C621" s="690"/>
      <c r="D621" s="1013">
        <v>0</v>
      </c>
      <c r="E621" s="949">
        <v>0</v>
      </c>
      <c r="F621" s="581">
        <v>0</v>
      </c>
      <c r="G621" s="750"/>
      <c r="H621" s="743">
        <v>0</v>
      </c>
    </row>
    <row r="622" spans="1:8" ht="13.2" hidden="1" customHeight="1">
      <c r="A622" s="607" t="s">
        <v>1084</v>
      </c>
      <c r="B622" s="607" t="s">
        <v>1405</v>
      </c>
      <c r="C622" s="690"/>
      <c r="D622" s="1013">
        <v>0</v>
      </c>
      <c r="E622" s="949">
        <v>0</v>
      </c>
      <c r="F622" s="581">
        <v>0</v>
      </c>
      <c r="G622" s="750" t="s">
        <v>1755</v>
      </c>
      <c r="H622" s="743">
        <v>56</v>
      </c>
    </row>
    <row r="623" spans="1:8" ht="13.2" hidden="1" customHeight="1">
      <c r="A623" s="604" t="s">
        <v>1085</v>
      </c>
      <c r="B623" s="604" t="s">
        <v>1406</v>
      </c>
      <c r="C623" s="614" t="s">
        <v>37</v>
      </c>
      <c r="D623" s="1013">
        <v>0</v>
      </c>
      <c r="E623" s="949">
        <v>0</v>
      </c>
      <c r="F623" s="581">
        <v>0</v>
      </c>
      <c r="G623" s="750"/>
      <c r="H623" s="743">
        <v>0</v>
      </c>
    </row>
    <row r="624" spans="1:8" ht="13.2" hidden="1" customHeight="1">
      <c r="A624" s="607" t="s">
        <v>1086</v>
      </c>
      <c r="B624" s="607" t="s">
        <v>1407</v>
      </c>
      <c r="C624" s="690"/>
      <c r="D624" s="1013">
        <v>0</v>
      </c>
      <c r="E624" s="949">
        <v>0</v>
      </c>
      <c r="F624" s="581">
        <v>0</v>
      </c>
      <c r="G624" s="750" t="s">
        <v>1756</v>
      </c>
      <c r="H624" s="743">
        <v>80</v>
      </c>
    </row>
    <row r="625" spans="1:8" ht="13.2" hidden="1" customHeight="1">
      <c r="A625" s="604" t="s">
        <v>1087</v>
      </c>
      <c r="B625" s="604" t="s">
        <v>1415</v>
      </c>
      <c r="C625" s="614" t="s">
        <v>37</v>
      </c>
      <c r="D625" s="1013">
        <v>0</v>
      </c>
      <c r="E625" s="949">
        <v>0</v>
      </c>
      <c r="F625" s="581">
        <v>0</v>
      </c>
      <c r="G625" s="750"/>
      <c r="H625" s="743">
        <v>0</v>
      </c>
    </row>
    <row r="626" spans="1:8" ht="13.2" hidden="1" customHeight="1">
      <c r="A626" s="607" t="s">
        <v>1088</v>
      </c>
      <c r="B626" s="607" t="s">
        <v>1409</v>
      </c>
      <c r="C626" s="690"/>
      <c r="D626" s="1013">
        <v>0</v>
      </c>
      <c r="E626" s="949">
        <v>0</v>
      </c>
      <c r="F626" s="581">
        <v>0</v>
      </c>
      <c r="G626" s="750" t="s">
        <v>1755</v>
      </c>
      <c r="H626" s="743">
        <v>56</v>
      </c>
    </row>
    <row r="627" spans="1:8" ht="13.2" hidden="1" customHeight="1">
      <c r="A627" s="604" t="s">
        <v>1089</v>
      </c>
      <c r="B627" s="604" t="s">
        <v>1416</v>
      </c>
      <c r="C627" s="614" t="s">
        <v>37</v>
      </c>
      <c r="D627" s="1013">
        <v>0</v>
      </c>
      <c r="E627" s="949">
        <v>0</v>
      </c>
      <c r="F627" s="581">
        <v>0</v>
      </c>
      <c r="G627" s="750"/>
      <c r="H627" s="743">
        <v>0</v>
      </c>
    </row>
    <row r="628" spans="1:8" ht="13.2" hidden="1" customHeight="1">
      <c r="A628" s="607" t="s">
        <v>1090</v>
      </c>
      <c r="B628" s="607" t="s">
        <v>1417</v>
      </c>
      <c r="C628" s="690"/>
      <c r="D628" s="1013">
        <v>0</v>
      </c>
      <c r="E628" s="949">
        <v>0</v>
      </c>
      <c r="F628" s="581">
        <v>0</v>
      </c>
      <c r="G628" s="750" t="s">
        <v>1603</v>
      </c>
      <c r="H628" s="743">
        <v>6</v>
      </c>
    </row>
    <row r="629" spans="1:8" ht="13.2" hidden="1" customHeight="1">
      <c r="A629" s="604" t="s">
        <v>1091</v>
      </c>
      <c r="B629" s="604" t="s">
        <v>1418</v>
      </c>
      <c r="C629" s="614" t="s">
        <v>35</v>
      </c>
      <c r="D629" s="1013">
        <v>0</v>
      </c>
      <c r="E629" s="949">
        <v>0</v>
      </c>
      <c r="F629" s="581">
        <v>0</v>
      </c>
      <c r="G629" s="750"/>
      <c r="H629" s="743">
        <v>0</v>
      </c>
    </row>
    <row r="630" spans="1:8" ht="13.2" hidden="1" customHeight="1">
      <c r="A630" s="607" t="s">
        <v>1092</v>
      </c>
      <c r="B630" s="607" t="s">
        <v>1419</v>
      </c>
      <c r="C630" s="690"/>
      <c r="D630" s="1013">
        <v>0</v>
      </c>
      <c r="E630" s="949">
        <v>0</v>
      </c>
      <c r="F630" s="581">
        <v>0</v>
      </c>
      <c r="G630" s="750" t="s">
        <v>1603</v>
      </c>
      <c r="H630" s="743">
        <v>6</v>
      </c>
    </row>
    <row r="631" spans="1:8" ht="13.2" hidden="1" customHeight="1">
      <c r="A631" s="604" t="s">
        <v>1093</v>
      </c>
      <c r="B631" s="604" t="s">
        <v>1420</v>
      </c>
      <c r="C631" s="614" t="s">
        <v>1438</v>
      </c>
      <c r="D631" s="1013">
        <v>0</v>
      </c>
      <c r="E631" s="949">
        <v>0</v>
      </c>
      <c r="F631" s="581">
        <v>0</v>
      </c>
      <c r="G631" s="750"/>
      <c r="H631" s="743">
        <v>0</v>
      </c>
    </row>
    <row r="632" spans="1:8" ht="13.2" hidden="1" customHeight="1">
      <c r="A632" s="607" t="s">
        <v>1094</v>
      </c>
      <c r="B632" s="607" t="s">
        <v>1402</v>
      </c>
      <c r="C632" s="690"/>
      <c r="D632" s="1013">
        <v>0</v>
      </c>
      <c r="E632" s="949">
        <v>0</v>
      </c>
      <c r="F632" s="581">
        <v>0</v>
      </c>
      <c r="G632" s="750" t="s">
        <v>1603</v>
      </c>
      <c r="H632" s="743">
        <v>6</v>
      </c>
    </row>
    <row r="633" spans="1:8" ht="13.2" hidden="1" customHeight="1">
      <c r="A633" s="604" t="s">
        <v>1095</v>
      </c>
      <c r="B633" s="604" t="s">
        <v>1421</v>
      </c>
      <c r="C633" s="614" t="s">
        <v>35</v>
      </c>
      <c r="D633" s="1013">
        <v>0</v>
      </c>
      <c r="E633" s="949">
        <v>0</v>
      </c>
      <c r="F633" s="581">
        <v>0</v>
      </c>
      <c r="G633" s="750"/>
      <c r="H633" s="743">
        <v>0</v>
      </c>
    </row>
    <row r="634" spans="1:8" ht="13.2" hidden="1" customHeight="1">
      <c r="A634" s="607" t="s">
        <v>1096</v>
      </c>
      <c r="B634" s="607" t="s">
        <v>1411</v>
      </c>
      <c r="C634" s="690"/>
      <c r="D634" s="1013">
        <v>0</v>
      </c>
      <c r="E634" s="949">
        <v>0</v>
      </c>
      <c r="F634" s="581">
        <v>0</v>
      </c>
      <c r="G634" s="750" t="s">
        <v>1603</v>
      </c>
      <c r="H634" s="743">
        <v>6</v>
      </c>
    </row>
    <row r="635" spans="1:8" ht="13.2" hidden="1" customHeight="1">
      <c r="A635" s="604" t="s">
        <v>1097</v>
      </c>
      <c r="B635" s="604" t="s">
        <v>1422</v>
      </c>
      <c r="C635" s="614" t="s">
        <v>1438</v>
      </c>
      <c r="D635" s="1013">
        <v>0</v>
      </c>
      <c r="E635" s="949">
        <v>0</v>
      </c>
      <c r="F635" s="581">
        <v>0</v>
      </c>
      <c r="G635" s="750"/>
      <c r="H635" s="743">
        <v>0</v>
      </c>
    </row>
    <row r="636" spans="1:8" ht="13.2" hidden="1" customHeight="1">
      <c r="A636" s="607" t="s">
        <v>1098</v>
      </c>
      <c r="B636" s="607" t="s">
        <v>1378</v>
      </c>
      <c r="C636" s="690"/>
      <c r="D636" s="1013">
        <v>0</v>
      </c>
      <c r="E636" s="949">
        <v>0</v>
      </c>
      <c r="F636" s="581">
        <v>0</v>
      </c>
      <c r="G636" s="750" t="s">
        <v>1603</v>
      </c>
      <c r="H636" s="743">
        <v>6</v>
      </c>
    </row>
    <row r="637" spans="1:8" ht="13.2" hidden="1" customHeight="1">
      <c r="A637" s="604" t="s">
        <v>1099</v>
      </c>
      <c r="B637" s="604" t="s">
        <v>1423</v>
      </c>
      <c r="C637" s="614" t="s">
        <v>35</v>
      </c>
      <c r="D637" s="1013">
        <v>0</v>
      </c>
      <c r="E637" s="949">
        <v>0</v>
      </c>
      <c r="F637" s="581">
        <v>0</v>
      </c>
      <c r="G637" s="750"/>
      <c r="H637" s="743">
        <v>0</v>
      </c>
    </row>
    <row r="638" spans="1:8" ht="13.2" hidden="1" customHeight="1">
      <c r="A638" s="492" t="s">
        <v>1100</v>
      </c>
      <c r="B638" s="608" t="s">
        <v>1424</v>
      </c>
      <c r="C638" s="690"/>
      <c r="D638" s="1013">
        <v>0</v>
      </c>
      <c r="E638" s="949">
        <v>0</v>
      </c>
      <c r="F638" s="581">
        <v>0</v>
      </c>
      <c r="G638" s="750"/>
      <c r="H638" s="743">
        <v>0</v>
      </c>
    </row>
    <row r="639" spans="1:8" ht="13.2" hidden="1" customHeight="1">
      <c r="A639" s="607" t="s">
        <v>1101</v>
      </c>
      <c r="B639" s="607" t="s">
        <v>1425</v>
      </c>
      <c r="C639" s="690"/>
      <c r="D639" s="1013">
        <v>0</v>
      </c>
      <c r="E639" s="949">
        <v>0</v>
      </c>
      <c r="F639" s="581">
        <v>0</v>
      </c>
      <c r="G639" s="750" t="s">
        <v>1441</v>
      </c>
      <c r="H639" s="743">
        <v>1</v>
      </c>
    </row>
    <row r="640" spans="1:8" ht="13.2" hidden="1" customHeight="1">
      <c r="A640" s="604" t="s">
        <v>1102</v>
      </c>
      <c r="B640" s="604" t="s">
        <v>1426</v>
      </c>
      <c r="C640" s="614" t="s">
        <v>1439</v>
      </c>
      <c r="D640" s="1013">
        <v>0</v>
      </c>
      <c r="E640" s="949">
        <v>0</v>
      </c>
      <c r="F640" s="581">
        <v>0</v>
      </c>
      <c r="G640" s="750"/>
      <c r="H640" s="743">
        <v>0</v>
      </c>
    </row>
    <row r="641" spans="1:8" ht="13.2" hidden="1" customHeight="1">
      <c r="A641" s="607" t="s">
        <v>1103</v>
      </c>
      <c r="B641" s="607" t="s">
        <v>1427</v>
      </c>
      <c r="C641" s="690"/>
      <c r="D641" s="1013">
        <v>0</v>
      </c>
      <c r="E641" s="949">
        <v>0</v>
      </c>
      <c r="F641" s="581">
        <v>0</v>
      </c>
      <c r="G641" s="750" t="s">
        <v>1684</v>
      </c>
      <c r="H641" s="743">
        <v>2</v>
      </c>
    </row>
    <row r="642" spans="1:8" ht="13.2" hidden="1" customHeight="1">
      <c r="A642" s="604" t="s">
        <v>1104</v>
      </c>
      <c r="B642" s="604" t="s">
        <v>1428</v>
      </c>
      <c r="C642" s="614" t="s">
        <v>1440</v>
      </c>
      <c r="D642" s="1013">
        <v>0</v>
      </c>
      <c r="E642" s="949">
        <v>0</v>
      </c>
      <c r="F642" s="581">
        <v>0</v>
      </c>
      <c r="G642" s="750"/>
      <c r="H642" s="743">
        <v>0</v>
      </c>
    </row>
    <row r="643" spans="1:8" ht="13.2" hidden="1" customHeight="1">
      <c r="A643" s="607" t="s">
        <v>1105</v>
      </c>
      <c r="B643" s="607" t="s">
        <v>1405</v>
      </c>
      <c r="C643" s="690"/>
      <c r="D643" s="1013">
        <v>0</v>
      </c>
      <c r="E643" s="949">
        <v>0</v>
      </c>
      <c r="F643" s="581">
        <v>0</v>
      </c>
      <c r="G643" s="750" t="s">
        <v>1757</v>
      </c>
      <c r="H643" s="743">
        <v>90</v>
      </c>
    </row>
    <row r="644" spans="1:8" ht="13.2" hidden="1" customHeight="1">
      <c r="A644" s="604" t="s">
        <v>1106</v>
      </c>
      <c r="B644" s="604" t="s">
        <v>1406</v>
      </c>
      <c r="C644" s="614" t="s">
        <v>37</v>
      </c>
      <c r="D644" s="1013">
        <v>0</v>
      </c>
      <c r="E644" s="949">
        <v>0</v>
      </c>
      <c r="F644" s="581">
        <v>0</v>
      </c>
      <c r="G644" s="750"/>
      <c r="H644" s="743">
        <v>0</v>
      </c>
    </row>
    <row r="645" spans="1:8" ht="13.2" hidden="1" customHeight="1">
      <c r="A645" s="607" t="s">
        <v>1107</v>
      </c>
      <c r="B645" s="607" t="s">
        <v>1407</v>
      </c>
      <c r="C645" s="690"/>
      <c r="D645" s="1013">
        <v>0</v>
      </c>
      <c r="E645" s="949">
        <v>0</v>
      </c>
      <c r="F645" s="581">
        <v>0</v>
      </c>
      <c r="G645" s="750">
        <v>12</v>
      </c>
      <c r="H645" s="743">
        <v>12</v>
      </c>
    </row>
    <row r="646" spans="1:8" ht="13.2" hidden="1" customHeight="1">
      <c r="A646" s="604" t="s">
        <v>1108</v>
      </c>
      <c r="B646" s="604" t="s">
        <v>1429</v>
      </c>
      <c r="C646" s="614" t="s">
        <v>37</v>
      </c>
      <c r="D646" s="1013">
        <v>0</v>
      </c>
      <c r="E646" s="949">
        <v>0</v>
      </c>
      <c r="F646" s="581">
        <v>0</v>
      </c>
      <c r="G646" s="750">
        <v>106</v>
      </c>
      <c r="H646" s="743">
        <v>106</v>
      </c>
    </row>
    <row r="647" spans="1:8" ht="13.2" hidden="1" customHeight="1">
      <c r="A647" s="604" t="s">
        <v>1109</v>
      </c>
      <c r="B647" s="604" t="s">
        <v>1430</v>
      </c>
      <c r="C647" s="614" t="s">
        <v>37</v>
      </c>
      <c r="D647" s="1013">
        <v>0</v>
      </c>
      <c r="E647" s="949">
        <v>0</v>
      </c>
      <c r="F647" s="581">
        <v>0</v>
      </c>
      <c r="G647" s="750"/>
      <c r="H647" s="743">
        <v>0</v>
      </c>
    </row>
    <row r="648" spans="1:8" ht="13.2" hidden="1" customHeight="1">
      <c r="A648" s="607" t="s">
        <v>1110</v>
      </c>
      <c r="B648" s="607" t="s">
        <v>1409</v>
      </c>
      <c r="C648" s="690"/>
      <c r="D648" s="1013">
        <v>0</v>
      </c>
      <c r="E648" s="949">
        <v>0</v>
      </c>
      <c r="F648" s="581">
        <v>0</v>
      </c>
      <c r="G648" s="750">
        <v>106</v>
      </c>
      <c r="H648" s="743">
        <v>106</v>
      </c>
    </row>
    <row r="649" spans="1:8" ht="13.2" hidden="1" customHeight="1">
      <c r="A649" s="604" t="s">
        <v>1111</v>
      </c>
      <c r="B649" s="604" t="s">
        <v>1431</v>
      </c>
      <c r="C649" s="614" t="s">
        <v>37</v>
      </c>
      <c r="D649" s="1013">
        <v>0</v>
      </c>
      <c r="E649" s="949">
        <v>0</v>
      </c>
      <c r="F649" s="581">
        <v>0</v>
      </c>
      <c r="G649" s="750"/>
      <c r="H649" s="743">
        <v>0</v>
      </c>
    </row>
    <row r="650" spans="1:8" ht="13.2" hidden="1" customHeight="1">
      <c r="A650" s="607" t="s">
        <v>1112</v>
      </c>
      <c r="B650" s="607" t="s">
        <v>1402</v>
      </c>
      <c r="C650" s="690"/>
      <c r="D650" s="1013">
        <v>0</v>
      </c>
      <c r="E650" s="949">
        <v>0</v>
      </c>
      <c r="F650" s="581">
        <v>0</v>
      </c>
      <c r="G650" s="750">
        <v>5</v>
      </c>
      <c r="H650" s="743">
        <v>5</v>
      </c>
    </row>
    <row r="651" spans="1:8" ht="13.2" hidden="1" customHeight="1">
      <c r="A651" s="604" t="s">
        <v>1113</v>
      </c>
      <c r="B651" s="604" t="s">
        <v>1403</v>
      </c>
      <c r="C651" s="614" t="s">
        <v>35</v>
      </c>
      <c r="D651" s="1013">
        <v>0</v>
      </c>
      <c r="E651" s="949">
        <v>0</v>
      </c>
      <c r="F651" s="581">
        <v>0</v>
      </c>
      <c r="G651" s="750"/>
      <c r="H651" s="743">
        <v>0</v>
      </c>
    </row>
    <row r="652" spans="1:8" ht="13.2" hidden="1" customHeight="1">
      <c r="A652" s="607" t="s">
        <v>1114</v>
      </c>
      <c r="B652" s="607" t="s">
        <v>1432</v>
      </c>
      <c r="C652" s="690"/>
      <c r="D652" s="1013">
        <v>0</v>
      </c>
      <c r="E652" s="949">
        <v>0</v>
      </c>
      <c r="F652" s="581">
        <v>0</v>
      </c>
      <c r="G652" s="750">
        <v>1</v>
      </c>
      <c r="H652" s="743">
        <v>1</v>
      </c>
    </row>
    <row r="653" spans="1:8" ht="13.2" hidden="1" customHeight="1">
      <c r="A653" s="604" t="s">
        <v>1115</v>
      </c>
      <c r="B653" s="604" t="s">
        <v>1433</v>
      </c>
      <c r="C653" s="614" t="s">
        <v>63</v>
      </c>
      <c r="D653" s="1013">
        <v>0</v>
      </c>
      <c r="E653" s="949">
        <v>0</v>
      </c>
      <c r="F653" s="581">
        <v>0</v>
      </c>
      <c r="G653" s="750"/>
      <c r="H653" s="743">
        <v>0</v>
      </c>
    </row>
    <row r="654" spans="1:8" ht="13.2" hidden="1" customHeight="1">
      <c r="A654" s="607" t="s">
        <v>1116</v>
      </c>
      <c r="B654" s="607" t="s">
        <v>1434</v>
      </c>
      <c r="C654" s="845"/>
      <c r="D654" s="1013">
        <v>0</v>
      </c>
      <c r="E654" s="949">
        <v>1</v>
      </c>
      <c r="F654" s="581">
        <v>1</v>
      </c>
      <c r="G654" s="750"/>
      <c r="H654" s="743">
        <v>-1</v>
      </c>
    </row>
    <row r="655" spans="1:8" ht="13.95" hidden="1" customHeight="1">
      <c r="A655" s="620" t="s">
        <v>1117</v>
      </c>
      <c r="B655" s="620" t="s">
        <v>1435</v>
      </c>
      <c r="C655" s="846" t="s">
        <v>63</v>
      </c>
      <c r="D655" s="1013">
        <v>0</v>
      </c>
      <c r="E655" s="949">
        <v>2</v>
      </c>
      <c r="F655" s="581">
        <v>2</v>
      </c>
      <c r="G655" s="750"/>
      <c r="H655" s="743">
        <v>-2</v>
      </c>
    </row>
    <row r="656" spans="1:8" ht="13.95" hidden="1" customHeight="1">
      <c r="A656" s="622"/>
      <c r="B656" s="623" t="s">
        <v>1</v>
      </c>
      <c r="C656" s="592"/>
      <c r="D656" s="1021"/>
      <c r="E656" s="745"/>
      <c r="F656" s="745"/>
      <c r="G656" s="751">
        <v>0</v>
      </c>
      <c r="H656" s="743">
        <v>0</v>
      </c>
    </row>
  </sheetData>
  <mergeCells count="6">
    <mergeCell ref="A9:A10"/>
    <mergeCell ref="B9:B10"/>
    <mergeCell ref="A1:C1"/>
    <mergeCell ref="A2:C2"/>
    <mergeCell ref="B4:C4"/>
    <mergeCell ref="B5:C5"/>
  </mergeCells>
  <pageMargins left="0.7" right="0.7" top="0.75" bottom="0.75" header="0.3" footer="0.3"/>
  <pageSetup paperSize="9" scale="71" orientation="portrait" r:id="rId1"/>
  <colBreaks count="1" manualBreakCount="1">
    <brk id="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Q30"/>
  <sheetViews>
    <sheetView workbookViewId="0">
      <selection sqref="A1:X1"/>
    </sheetView>
  </sheetViews>
  <sheetFormatPr baseColWidth="10" defaultColWidth="11.44140625" defaultRowHeight="13.2"/>
  <cols>
    <col min="1" max="1" width="14.33203125" style="618" customWidth="1"/>
    <col min="2" max="2" width="99.109375" style="616" customWidth="1"/>
    <col min="3" max="3" width="5" style="559" customWidth="1"/>
    <col min="4" max="4" width="7" style="787" hidden="1" customWidth="1"/>
    <col min="5" max="10" width="7" style="557" hidden="1" customWidth="1"/>
    <col min="11" max="11" width="7" style="787" hidden="1" customWidth="1"/>
    <col min="12" max="17" width="7" style="557" hidden="1" customWidth="1"/>
    <col min="18" max="18" width="7" style="787" hidden="1" customWidth="1"/>
    <col min="19" max="24" width="7" style="557" hidden="1" customWidth="1"/>
    <col min="25" max="25" width="7" style="787" hidden="1" customWidth="1"/>
    <col min="26" max="29" width="7" style="557" hidden="1" customWidth="1"/>
    <col min="30" max="30" width="7" style="558" hidden="1" customWidth="1"/>
    <col min="31" max="31" width="10.109375" style="558" hidden="1" customWidth="1"/>
    <col min="32" max="32" width="7" style="808" hidden="1" customWidth="1"/>
    <col min="33" max="34" width="7" style="558" hidden="1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  <c r="L1" s="1538"/>
      <c r="M1" s="1538"/>
      <c r="N1" s="1538"/>
      <c r="O1" s="1538"/>
      <c r="P1" s="1538"/>
      <c r="Q1" s="1538"/>
      <c r="R1" s="1538"/>
      <c r="S1" s="1538"/>
      <c r="T1" s="1538"/>
      <c r="U1" s="1538"/>
      <c r="V1" s="1538"/>
      <c r="W1" s="1538"/>
      <c r="X1" s="1538"/>
    </row>
    <row r="2" spans="1:43">
      <c r="A2" s="1539" t="s">
        <v>1789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  <c r="L2" s="1539"/>
      <c r="M2" s="1539"/>
      <c r="N2" s="1539"/>
      <c r="O2" s="1539"/>
      <c r="P2" s="1539"/>
      <c r="Q2" s="1539"/>
      <c r="R2" s="1539"/>
      <c r="S2" s="1539"/>
      <c r="T2" s="1539"/>
      <c r="U2" s="1539"/>
      <c r="V2" s="1539"/>
      <c r="W2" s="1539"/>
      <c r="X2" s="1539"/>
    </row>
    <row r="3" spans="1:43">
      <c r="A3" s="615"/>
      <c r="O3" s="557" t="s">
        <v>1978</v>
      </c>
    </row>
    <row r="4" spans="1:43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  <c r="L4" s="1540"/>
    </row>
    <row r="5" spans="1:43" ht="12.75" customHeight="1">
      <c r="A5" s="617"/>
      <c r="B5" s="1541" t="e"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  <c r="L5" s="1542"/>
      <c r="M5" s="1542"/>
      <c r="N5" s="1542"/>
      <c r="O5" s="1542"/>
      <c r="P5" s="1542"/>
      <c r="Q5" s="1542"/>
      <c r="R5" s="1542"/>
      <c r="S5" s="1542"/>
      <c r="T5" s="1542"/>
      <c r="U5" s="1542"/>
      <c r="V5" s="1542"/>
      <c r="W5" s="1542"/>
      <c r="X5" s="1542"/>
      <c r="Y5" s="1542"/>
      <c r="Z5" s="1542"/>
      <c r="AA5" s="1542"/>
    </row>
    <row r="6" spans="1:43" ht="13.5" customHeight="1">
      <c r="B6" s="619"/>
      <c r="C6" s="561"/>
    </row>
    <row r="7" spans="1:43" ht="13.5" customHeight="1" thickBot="1">
      <c r="B7" s="619"/>
      <c r="C7" s="561"/>
      <c r="Q7" s="1545" t="s">
        <v>283</v>
      </c>
      <c r="R7" s="1545"/>
      <c r="S7" s="1545"/>
      <c r="T7" s="1545"/>
      <c r="U7" s="1545"/>
      <c r="V7" s="1545"/>
      <c r="W7" s="1546">
        <v>42857</v>
      </c>
      <c r="X7" s="1546"/>
      <c r="Y7" s="1546"/>
      <c r="Z7" s="1546"/>
    </row>
    <row r="8" spans="1:43" ht="13.5" customHeight="1" thickBot="1">
      <c r="B8" s="619"/>
      <c r="C8" s="561"/>
      <c r="D8" s="1070" t="s">
        <v>1872</v>
      </c>
      <c r="E8" s="1071" t="s">
        <v>1866</v>
      </c>
      <c r="F8" s="1071" t="s">
        <v>1867</v>
      </c>
      <c r="G8" s="1071" t="s">
        <v>1868</v>
      </c>
      <c r="H8" s="1071" t="s">
        <v>1869</v>
      </c>
      <c r="I8" s="1071" t="s">
        <v>1870</v>
      </c>
      <c r="J8" s="1071" t="s">
        <v>1871</v>
      </c>
      <c r="K8" s="1070" t="s">
        <v>1872</v>
      </c>
      <c r="L8" s="1071" t="s">
        <v>1866</v>
      </c>
      <c r="M8" s="1071" t="s">
        <v>1867</v>
      </c>
      <c r="N8" s="1071" t="s">
        <v>1868</v>
      </c>
      <c r="O8" s="1071" t="s">
        <v>1869</v>
      </c>
      <c r="P8" s="1071" t="s">
        <v>1870</v>
      </c>
      <c r="Q8" s="1071" t="s">
        <v>1871</v>
      </c>
      <c r="R8" s="1070" t="s">
        <v>1872</v>
      </c>
      <c r="S8" s="1071" t="s">
        <v>1866</v>
      </c>
      <c r="T8" s="1071" t="s">
        <v>1867</v>
      </c>
      <c r="U8" s="1071" t="s">
        <v>1868</v>
      </c>
      <c r="V8" s="1071" t="s">
        <v>1869</v>
      </c>
      <c r="W8" s="1071" t="s">
        <v>1870</v>
      </c>
      <c r="X8" s="1071" t="s">
        <v>1871</v>
      </c>
      <c r="Y8" s="1070" t="s">
        <v>1872</v>
      </c>
      <c r="Z8" s="1071" t="s">
        <v>1866</v>
      </c>
      <c r="AA8" s="1071" t="s">
        <v>1867</v>
      </c>
      <c r="AB8" s="1071" t="s">
        <v>1868</v>
      </c>
      <c r="AC8" s="1071" t="s">
        <v>1869</v>
      </c>
      <c r="AD8" s="1071" t="s">
        <v>1870</v>
      </c>
      <c r="AE8" s="1071" t="s">
        <v>1871</v>
      </c>
      <c r="AF8" s="1070" t="s">
        <v>1872</v>
      </c>
      <c r="AG8" s="1071" t="s">
        <v>1866</v>
      </c>
      <c r="AH8" s="1071" t="s">
        <v>1867</v>
      </c>
      <c r="AI8" s="929"/>
      <c r="AJ8" s="1547" t="s">
        <v>1864</v>
      </c>
      <c r="AK8" s="1548"/>
      <c r="AL8" s="1548"/>
      <c r="AM8" s="1549"/>
      <c r="AN8" s="1547" t="s">
        <v>1865</v>
      </c>
      <c r="AO8" s="1548"/>
      <c r="AP8" s="1548"/>
      <c r="AQ8" s="1549"/>
    </row>
    <row r="9" spans="1:43" ht="13.8" thickBot="1">
      <c r="A9" s="1543" t="s">
        <v>284</v>
      </c>
      <c r="B9" s="1543" t="s">
        <v>19</v>
      </c>
      <c r="C9" s="562"/>
      <c r="D9" s="788">
        <v>1</v>
      </c>
      <c r="E9" s="1102">
        <v>2</v>
      </c>
      <c r="F9" s="1102">
        <v>3</v>
      </c>
      <c r="G9" s="1102">
        <v>4</v>
      </c>
      <c r="H9" s="1102">
        <v>5</v>
      </c>
      <c r="I9" s="1102">
        <v>6</v>
      </c>
      <c r="J9" s="1102">
        <v>7</v>
      </c>
      <c r="K9" s="788">
        <v>8</v>
      </c>
      <c r="L9" s="1102">
        <v>9</v>
      </c>
      <c r="M9" s="1102">
        <v>10</v>
      </c>
      <c r="N9" s="1102">
        <v>11</v>
      </c>
      <c r="O9" s="1102">
        <v>12</v>
      </c>
      <c r="P9" s="1102">
        <v>13</v>
      </c>
      <c r="Q9" s="1102">
        <v>14</v>
      </c>
      <c r="R9" s="788">
        <v>15</v>
      </c>
      <c r="S9" s="1102">
        <v>16</v>
      </c>
      <c r="T9" s="1102">
        <v>17</v>
      </c>
      <c r="U9" s="1102">
        <v>18</v>
      </c>
      <c r="V9" s="1102">
        <v>19</v>
      </c>
      <c r="W9" s="1102">
        <v>20</v>
      </c>
      <c r="X9" s="1102">
        <v>21</v>
      </c>
      <c r="Y9" s="788">
        <v>22</v>
      </c>
      <c r="Z9" s="1102">
        <v>23</v>
      </c>
      <c r="AA9" s="1102">
        <v>24</v>
      </c>
      <c r="AB9" s="1102">
        <v>25</v>
      </c>
      <c r="AC9" s="1102">
        <v>26</v>
      </c>
      <c r="AD9" s="564">
        <v>27</v>
      </c>
      <c r="AE9" s="1102">
        <v>28</v>
      </c>
      <c r="AF9" s="1068">
        <v>29</v>
      </c>
      <c r="AG9" s="1102">
        <v>30</v>
      </c>
      <c r="AH9" s="564"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44"/>
      <c r="B10" s="1544"/>
      <c r="C10" s="567" t="s">
        <v>285</v>
      </c>
      <c r="D10" s="789" t="s">
        <v>291</v>
      </c>
      <c r="E10" s="568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789" t="s">
        <v>291</v>
      </c>
      <c r="L10" s="568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789" t="s">
        <v>291</v>
      </c>
      <c r="S10" s="568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789" t="s">
        <v>291</v>
      </c>
      <c r="Z10" s="568" t="s">
        <v>291</v>
      </c>
      <c r="AA10" s="568" t="s">
        <v>291</v>
      </c>
      <c r="AB10" s="568" t="s">
        <v>291</v>
      </c>
      <c r="AC10" s="568" t="s">
        <v>291</v>
      </c>
      <c r="AD10" s="569" t="s">
        <v>291</v>
      </c>
      <c r="AE10" s="568" t="s">
        <v>291</v>
      </c>
      <c r="AF10" s="1069" t="s">
        <v>291</v>
      </c>
      <c r="AG10" s="568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872"/>
      <c r="E11" s="572"/>
      <c r="F11" s="572"/>
      <c r="G11" s="572"/>
      <c r="H11" s="572"/>
      <c r="I11" s="573"/>
      <c r="J11" s="573"/>
      <c r="K11" s="792"/>
      <c r="L11" s="573"/>
      <c r="M11" s="572"/>
      <c r="N11" s="573"/>
      <c r="O11" s="573"/>
      <c r="P11" s="573"/>
      <c r="Q11" s="573"/>
      <c r="R11" s="792"/>
      <c r="S11" s="573"/>
      <c r="T11" s="572"/>
      <c r="U11" s="573"/>
      <c r="V11" s="573"/>
      <c r="W11" s="573"/>
      <c r="X11" s="573"/>
      <c r="Y11" s="792"/>
      <c r="Z11" s="573"/>
      <c r="AA11" s="572"/>
      <c r="AB11" s="574"/>
      <c r="AC11" s="574"/>
      <c r="AD11" s="574"/>
      <c r="AE11" s="574"/>
      <c r="AF11" s="809"/>
      <c r="AG11" s="575"/>
      <c r="AH11" s="575"/>
      <c r="AI11" s="576">
        <v>0</v>
      </c>
      <c r="AJ11" s="577">
        <v>0</v>
      </c>
      <c r="AK11" s="578">
        <v>0</v>
      </c>
      <c r="AN11" s="577">
        <v>0</v>
      </c>
      <c r="AO11" s="578">
        <v>0</v>
      </c>
    </row>
    <row r="12" spans="1:43" s="560" customFormat="1">
      <c r="A12" s="604" t="s">
        <v>501</v>
      </c>
      <c r="B12" s="314" t="s">
        <v>33</v>
      </c>
      <c r="C12" s="590"/>
      <c r="D12" s="795"/>
      <c r="E12" s="581"/>
      <c r="F12" s="581"/>
      <c r="G12" s="581"/>
      <c r="H12" s="581"/>
      <c r="I12" s="949"/>
      <c r="J12" s="949"/>
      <c r="K12" s="777"/>
      <c r="L12" s="949"/>
      <c r="M12" s="581"/>
      <c r="N12" s="949"/>
      <c r="O12" s="949"/>
      <c r="P12" s="949"/>
      <c r="Q12" s="949"/>
      <c r="R12" s="777"/>
      <c r="S12" s="949"/>
      <c r="T12" s="581"/>
      <c r="U12" s="949"/>
      <c r="V12" s="949"/>
      <c r="W12" s="949"/>
      <c r="X12" s="949"/>
      <c r="Y12" s="777"/>
      <c r="Z12" s="949"/>
      <c r="AA12" s="581"/>
      <c r="AB12" s="583"/>
      <c r="AC12" s="583"/>
      <c r="AD12" s="575"/>
      <c r="AE12" s="575"/>
      <c r="AF12" s="809"/>
      <c r="AG12" s="575"/>
      <c r="AH12" s="575"/>
      <c r="AI12" s="576">
        <v>0</v>
      </c>
      <c r="AJ12" s="584">
        <v>0</v>
      </c>
      <c r="AK12" s="578">
        <v>0</v>
      </c>
      <c r="AN12" s="584">
        <v>0</v>
      </c>
      <c r="AO12" s="578">
        <v>0</v>
      </c>
    </row>
    <row r="13" spans="1:43" s="560" customFormat="1" ht="13.8">
      <c r="A13" s="604" t="s">
        <v>1791</v>
      </c>
      <c r="B13" s="320" t="s">
        <v>1806</v>
      </c>
      <c r="C13" s="1101" t="s">
        <v>39</v>
      </c>
      <c r="D13" s="795"/>
      <c r="E13" s="1013"/>
      <c r="F13" s="1035">
        <v>21.157499999999999</v>
      </c>
      <c r="G13" s="1035">
        <v>16.900000000000002</v>
      </c>
      <c r="H13" s="1011"/>
      <c r="I13" s="1030">
        <v>9.8279999999999994</v>
      </c>
      <c r="J13" s="580"/>
      <c r="K13" s="795"/>
      <c r="L13" s="1029">
        <v>11.232000000000001</v>
      </c>
      <c r="M13" s="581"/>
      <c r="N13" s="580"/>
      <c r="O13" s="580"/>
      <c r="P13" s="1076">
        <v>9.9450000000000003</v>
      </c>
      <c r="Q13" s="580"/>
      <c r="R13" s="795"/>
      <c r="S13" s="1076">
        <v>11.700000000000001</v>
      </c>
      <c r="T13" s="1080">
        <v>11.700000000000001</v>
      </c>
      <c r="U13" s="1029">
        <v>8.7048000000000005</v>
      </c>
      <c r="V13" s="1029">
        <v>8.19</v>
      </c>
      <c r="W13" s="580"/>
      <c r="X13" s="580"/>
      <c r="Y13" s="795"/>
      <c r="Z13" s="580"/>
      <c r="AA13" s="581"/>
      <c r="AB13" s="1039">
        <v>53.04</v>
      </c>
      <c r="AC13" s="1039">
        <v>53.04</v>
      </c>
      <c r="AD13" s="1039">
        <v>53.04</v>
      </c>
      <c r="AE13" s="1039">
        <v>53.04</v>
      </c>
      <c r="AF13" s="795"/>
      <c r="AG13" s="1039">
        <v>53.04</v>
      </c>
      <c r="AH13" s="1039">
        <v>53.04</v>
      </c>
      <c r="AI13" s="1060">
        <v>427.59730000000008</v>
      </c>
      <c r="AJ13" s="584">
        <v>1088.27</v>
      </c>
      <c r="AK13" s="578">
        <v>1515.8673000000001</v>
      </c>
      <c r="AL13" s="560">
        <v>1565.2</v>
      </c>
      <c r="AM13" s="578">
        <v>49.332699999999932</v>
      </c>
      <c r="AN13" s="584">
        <v>1088.27</v>
      </c>
      <c r="AO13" s="578">
        <v>1137.6026999999999</v>
      </c>
      <c r="AP13" s="560">
        <v>1565.2</v>
      </c>
      <c r="AQ13" s="578">
        <v>427.59730000000013</v>
      </c>
    </row>
    <row r="14" spans="1:43" s="560" customFormat="1" ht="13.8">
      <c r="A14" s="604" t="s">
        <v>1814</v>
      </c>
      <c r="B14" s="804" t="s">
        <v>1820</v>
      </c>
      <c r="C14" s="798" t="s">
        <v>39</v>
      </c>
      <c r="D14" s="778"/>
      <c r="E14" s="1046">
        <v>14</v>
      </c>
      <c r="F14" s="1046">
        <v>14</v>
      </c>
      <c r="G14" s="1046">
        <v>7</v>
      </c>
      <c r="H14" s="1011"/>
      <c r="I14" s="949"/>
      <c r="J14" s="581"/>
      <c r="K14" s="778"/>
      <c r="L14" s="949"/>
      <c r="M14" s="1046">
        <v>24.6</v>
      </c>
      <c r="N14" s="1046">
        <v>12.3</v>
      </c>
      <c r="O14" s="949"/>
      <c r="P14" s="949"/>
      <c r="Q14" s="949"/>
      <c r="R14" s="777"/>
      <c r="S14" s="949"/>
      <c r="T14" s="741"/>
      <c r="U14" s="949"/>
      <c r="V14" s="949"/>
      <c r="W14" s="949"/>
      <c r="X14" s="949"/>
      <c r="Y14" s="777"/>
      <c r="Z14" s="949"/>
      <c r="AA14" s="741"/>
      <c r="AB14" s="581"/>
      <c r="AC14" s="949"/>
      <c r="AD14" s="949"/>
      <c r="AE14" s="949"/>
      <c r="AF14" s="777"/>
      <c r="AG14" s="949"/>
      <c r="AH14" s="786"/>
      <c r="AI14" s="1060">
        <v>71.900000000000006</v>
      </c>
      <c r="AJ14" s="584">
        <v>339.27</v>
      </c>
      <c r="AK14" s="578">
        <v>411.16999999999996</v>
      </c>
      <c r="AL14" s="560">
        <v>1204.5</v>
      </c>
      <c r="AM14" s="578">
        <v>793.33</v>
      </c>
      <c r="AN14" s="584">
        <v>339.27</v>
      </c>
      <c r="AO14" s="578">
        <v>1132.5999999999999</v>
      </c>
      <c r="AP14" s="560">
        <v>1204.5</v>
      </c>
      <c r="AQ14" s="578">
        <v>71.900000000000091</v>
      </c>
    </row>
    <row r="15" spans="1:43" s="560" customFormat="1" ht="13.8">
      <c r="A15" s="604" t="s">
        <v>1892</v>
      </c>
      <c r="B15" s="804" t="s">
        <v>1980</v>
      </c>
      <c r="C15" s="799" t="s">
        <v>1945</v>
      </c>
      <c r="D15" s="801"/>
      <c r="E15" s="1033">
        <v>170</v>
      </c>
      <c r="F15" s="1033">
        <v>170</v>
      </c>
      <c r="H15" s="1046">
        <v>110</v>
      </c>
      <c r="I15" s="802"/>
      <c r="J15" s="802"/>
      <c r="K15" s="803"/>
      <c r="L15" s="802"/>
      <c r="M15" s="800"/>
      <c r="N15" s="802"/>
      <c r="O15" s="741"/>
      <c r="P15" s="802"/>
      <c r="Q15" s="741"/>
      <c r="R15" s="777"/>
      <c r="S15" s="802"/>
      <c r="T15" s="800"/>
      <c r="U15" s="802"/>
      <c r="V15" s="802"/>
      <c r="W15" s="802"/>
      <c r="X15" s="802"/>
      <c r="Y15" s="803"/>
      <c r="Z15" s="802"/>
      <c r="AA15" s="800"/>
      <c r="AB15" s="741"/>
      <c r="AC15" s="1088">
        <v>730</v>
      </c>
      <c r="AD15" s="802"/>
      <c r="AE15" s="802"/>
      <c r="AF15" s="803"/>
      <c r="AG15" s="802"/>
      <c r="AH15" s="1098">
        <v>762</v>
      </c>
      <c r="AI15" s="1060">
        <v>1942</v>
      </c>
      <c r="AJ15" s="811"/>
      <c r="AK15" s="578"/>
      <c r="AM15" s="578"/>
    </row>
    <row r="16" spans="1:43" s="560" customFormat="1" ht="13.8">
      <c r="A16" s="769" t="s">
        <v>1896</v>
      </c>
      <c r="B16" s="804" t="s">
        <v>2057</v>
      </c>
      <c r="C16" s="799" t="s">
        <v>2015</v>
      </c>
      <c r="D16" s="801"/>
      <c r="E16" s="800"/>
      <c r="F16" s="800"/>
      <c r="G16" s="800"/>
      <c r="H16" s="800"/>
      <c r="I16" s="802"/>
      <c r="J16" s="802"/>
      <c r="K16" s="803"/>
      <c r="L16" s="802"/>
      <c r="M16" s="800"/>
      <c r="N16" s="802"/>
      <c r="O16" s="1053"/>
      <c r="P16" s="802"/>
      <c r="Q16" s="741"/>
      <c r="R16" s="777"/>
      <c r="S16" s="802"/>
      <c r="T16" s="800"/>
      <c r="U16" s="802"/>
      <c r="V16" s="802"/>
      <c r="W16" s="802"/>
      <c r="X16" s="802"/>
      <c r="Y16" s="803"/>
      <c r="Z16" s="802"/>
      <c r="AA16" s="800"/>
      <c r="AB16" s="741"/>
      <c r="AC16" s="1089">
        <v>150</v>
      </c>
      <c r="AD16" s="802"/>
      <c r="AE16" s="802"/>
      <c r="AF16" s="803"/>
      <c r="AG16" s="802"/>
      <c r="AH16" s="786"/>
      <c r="AI16" s="1060">
        <v>150</v>
      </c>
      <c r="AJ16" s="811"/>
      <c r="AK16" s="578"/>
      <c r="AM16" s="578"/>
    </row>
    <row r="17" spans="1:39" s="560" customFormat="1" ht="13.8">
      <c r="A17" s="769" t="s">
        <v>1898</v>
      </c>
      <c r="B17" s="804" t="s">
        <v>2058</v>
      </c>
      <c r="C17" s="799" t="s">
        <v>2056</v>
      </c>
      <c r="D17" s="801"/>
      <c r="E17" s="800"/>
      <c r="F17" s="800"/>
      <c r="G17" s="800"/>
      <c r="H17" s="800"/>
      <c r="I17" s="802"/>
      <c r="J17" s="802"/>
      <c r="K17" s="803"/>
      <c r="L17" s="802"/>
      <c r="M17" s="800"/>
      <c r="N17" s="802"/>
      <c r="O17" s="1053"/>
      <c r="P17" s="802"/>
      <c r="Q17" s="741"/>
      <c r="R17" s="777"/>
      <c r="S17" s="802"/>
      <c r="T17" s="800"/>
      <c r="U17" s="802"/>
      <c r="V17" s="802"/>
      <c r="W17" s="802"/>
      <c r="X17" s="802"/>
      <c r="Y17" s="803"/>
      <c r="Z17" s="802"/>
      <c r="AA17" s="800"/>
      <c r="AB17" s="741"/>
      <c r="AC17" s="1089">
        <v>75</v>
      </c>
      <c r="AD17" s="802"/>
      <c r="AE17" s="802"/>
      <c r="AF17" s="803"/>
      <c r="AG17" s="802"/>
      <c r="AH17" s="786"/>
      <c r="AI17" s="1060">
        <v>75</v>
      </c>
      <c r="AJ17" s="811"/>
      <c r="AK17" s="578"/>
      <c r="AM17" s="578"/>
    </row>
    <row r="18" spans="1:39" s="560" customFormat="1">
      <c r="A18" s="1055" t="s">
        <v>1986</v>
      </c>
      <c r="B18" s="1056" t="s">
        <v>1203</v>
      </c>
      <c r="C18" s="614"/>
      <c r="D18" s="801"/>
      <c r="E18" s="800"/>
      <c r="F18" s="800"/>
      <c r="G18" s="800"/>
      <c r="H18" s="800"/>
      <c r="I18" s="802"/>
      <c r="J18" s="802"/>
      <c r="K18" s="803"/>
      <c r="L18" s="802"/>
      <c r="M18" s="800"/>
      <c r="N18" s="802"/>
      <c r="O18" s="741"/>
      <c r="P18" s="802"/>
      <c r="Q18" s="741"/>
      <c r="R18" s="777"/>
      <c r="S18" s="802"/>
      <c r="T18" s="800"/>
      <c r="U18" s="802"/>
      <c r="V18" s="802"/>
      <c r="W18" s="802"/>
      <c r="X18" s="802"/>
      <c r="Y18" s="803"/>
      <c r="Z18" s="802"/>
      <c r="AA18" s="800"/>
      <c r="AB18" s="802"/>
      <c r="AC18" s="802"/>
      <c r="AD18" s="802"/>
      <c r="AE18" s="802"/>
      <c r="AF18" s="803"/>
      <c r="AG18" s="802"/>
      <c r="AH18" s="786"/>
      <c r="AI18" s="576">
        <v>0</v>
      </c>
      <c r="AJ18" s="811"/>
      <c r="AK18" s="578"/>
      <c r="AM18" s="578"/>
    </row>
    <row r="19" spans="1:39" s="560" customFormat="1">
      <c r="A19" s="940" t="s">
        <v>1988</v>
      </c>
      <c r="B19" s="804" t="s">
        <v>1834</v>
      </c>
      <c r="C19" s="614"/>
      <c r="D19" s="801"/>
      <c r="E19" s="800"/>
      <c r="F19" s="800"/>
      <c r="G19" s="800"/>
      <c r="H19" s="800"/>
      <c r="I19" s="802"/>
      <c r="K19" s="803"/>
      <c r="L19" s="802"/>
      <c r="M19" s="800"/>
      <c r="N19" s="802"/>
      <c r="O19" s="741"/>
      <c r="P19" s="802"/>
      <c r="Q19" s="741"/>
      <c r="R19" s="777"/>
      <c r="S19" s="802"/>
      <c r="T19" s="800"/>
      <c r="U19" s="802"/>
      <c r="V19" s="802"/>
      <c r="W19" s="802"/>
      <c r="X19" s="802"/>
      <c r="Y19" s="803"/>
      <c r="Z19" s="802"/>
      <c r="AA19" s="800"/>
      <c r="AB19" s="802"/>
      <c r="AC19" s="802"/>
      <c r="AD19" s="802"/>
      <c r="AE19" s="802"/>
      <c r="AF19" s="803"/>
      <c r="AG19" s="802"/>
      <c r="AH19" s="786"/>
      <c r="AI19" s="576">
        <v>0</v>
      </c>
      <c r="AJ19" s="811"/>
      <c r="AK19" s="578"/>
      <c r="AM19" s="578"/>
    </row>
    <row r="20" spans="1:39" s="560" customFormat="1">
      <c r="A20" s="940" t="s">
        <v>1989</v>
      </c>
      <c r="B20" s="604" t="s">
        <v>1189</v>
      </c>
      <c r="C20" s="614" t="s">
        <v>36</v>
      </c>
      <c r="D20" s="801"/>
      <c r="E20" s="1025"/>
      <c r="F20" s="800"/>
      <c r="G20" s="800"/>
      <c r="H20" s="800"/>
      <c r="I20" s="1054">
        <v>9.3000000000000007</v>
      </c>
      <c r="J20" s="802"/>
      <c r="K20" s="803"/>
      <c r="L20" s="802"/>
      <c r="M20" s="800"/>
      <c r="N20" s="802"/>
      <c r="O20" s="741"/>
      <c r="P20" s="802"/>
      <c r="Q20" s="1077">
        <v>12.6</v>
      </c>
      <c r="R20" s="777"/>
      <c r="S20" s="1026"/>
      <c r="T20" s="800"/>
      <c r="U20" s="802"/>
      <c r="V20" s="802"/>
      <c r="W20" s="802"/>
      <c r="X20" s="802"/>
      <c r="Y20" s="803"/>
      <c r="Z20" s="1037">
        <v>5.8500000000000005</v>
      </c>
      <c r="AA20" s="800"/>
      <c r="AB20" s="802"/>
      <c r="AC20" s="802"/>
      <c r="AD20" s="802"/>
      <c r="AE20" s="802"/>
      <c r="AF20" s="803"/>
      <c r="AG20" s="802"/>
      <c r="AH20" s="786"/>
      <c r="AI20" s="1060">
        <v>27.75</v>
      </c>
      <c r="AJ20" s="811"/>
      <c r="AK20" s="578"/>
      <c r="AM20" s="578"/>
    </row>
    <row r="21" spans="1:39" s="560" customFormat="1">
      <c r="A21" s="940" t="s">
        <v>2049</v>
      </c>
      <c r="B21" s="804" t="s">
        <v>1835</v>
      </c>
      <c r="C21" s="614" t="s">
        <v>39</v>
      </c>
      <c r="D21" s="801"/>
      <c r="E21" s="1025"/>
      <c r="F21" s="800"/>
      <c r="G21" s="800"/>
      <c r="H21" s="800"/>
      <c r="I21" s="802"/>
      <c r="J21" s="1037">
        <v>4.5</v>
      </c>
      <c r="K21" s="803"/>
      <c r="L21" s="802"/>
      <c r="M21" s="800"/>
      <c r="N21" s="802"/>
      <c r="O21" s="741"/>
      <c r="P21" s="802"/>
      <c r="Q21" s="741"/>
      <c r="R21" s="777"/>
      <c r="S21" s="1026"/>
      <c r="T21" s="800"/>
      <c r="U21" s="802"/>
      <c r="V21" s="802"/>
      <c r="W21" s="802"/>
      <c r="X21" s="802"/>
      <c r="Y21" s="803"/>
      <c r="Z21" s="802"/>
      <c r="AA21" s="800"/>
      <c r="AB21" s="802"/>
      <c r="AC21" s="802"/>
      <c r="AD21" s="802"/>
      <c r="AE21" s="802"/>
      <c r="AF21" s="803"/>
      <c r="AG21" s="802"/>
      <c r="AH21" s="786"/>
      <c r="AI21" s="1060">
        <v>10.85</v>
      </c>
      <c r="AJ21" s="811"/>
      <c r="AK21" s="578"/>
      <c r="AM21" s="578"/>
    </row>
    <row r="22" spans="1:39" s="560" customFormat="1">
      <c r="A22" s="940" t="s">
        <v>2018</v>
      </c>
      <c r="B22" s="804" t="s">
        <v>1876</v>
      </c>
      <c r="C22" s="614"/>
      <c r="D22" s="801"/>
      <c r="E22" s="1025"/>
      <c r="F22" s="800"/>
      <c r="G22" s="800"/>
      <c r="H22" s="800"/>
      <c r="I22" s="802"/>
      <c r="J22" s="802"/>
      <c r="K22" s="803"/>
      <c r="L22" s="802"/>
      <c r="M22" s="800"/>
      <c r="N22" s="802"/>
      <c r="O22" s="741"/>
      <c r="P22" s="802"/>
      <c r="Q22" s="741"/>
      <c r="R22" s="777"/>
      <c r="S22" s="1026"/>
      <c r="T22" s="800"/>
      <c r="U22" s="802"/>
      <c r="V22" s="802"/>
      <c r="W22" s="802"/>
      <c r="X22" s="802"/>
      <c r="Y22" s="803"/>
      <c r="Z22" s="802"/>
      <c r="AA22" s="800"/>
      <c r="AB22" s="802"/>
      <c r="AC22" s="802"/>
      <c r="AD22" s="802"/>
      <c r="AE22" s="802"/>
      <c r="AF22" s="803"/>
      <c r="AG22" s="802"/>
      <c r="AH22" s="786"/>
      <c r="AI22" s="576">
        <v>0</v>
      </c>
      <c r="AJ22" s="811"/>
      <c r="AK22" s="578"/>
      <c r="AM22" s="578"/>
    </row>
    <row r="23" spans="1:39" s="560" customFormat="1">
      <c r="A23" s="940" t="s">
        <v>2031</v>
      </c>
      <c r="B23" s="604" t="s">
        <v>2019</v>
      </c>
      <c r="C23" s="614" t="s">
        <v>39</v>
      </c>
      <c r="D23" s="801"/>
      <c r="E23" s="1081">
        <v>2.0445000000000002</v>
      </c>
      <c r="F23" s="800"/>
      <c r="G23" s="800"/>
      <c r="H23" s="800"/>
      <c r="I23" s="802"/>
      <c r="J23" s="802"/>
      <c r="K23" s="803"/>
      <c r="L23" s="802"/>
      <c r="M23" s="800"/>
      <c r="N23" s="802"/>
      <c r="O23" s="741"/>
      <c r="P23" s="802"/>
      <c r="Q23" s="741"/>
      <c r="R23" s="777"/>
      <c r="S23" s="1026"/>
      <c r="T23" s="1079">
        <v>3.8759999999999999</v>
      </c>
      <c r="U23" s="1037">
        <v>6.3479999999999999</v>
      </c>
      <c r="V23" s="1037">
        <v>2.9069999999999996</v>
      </c>
      <c r="W23" s="741"/>
      <c r="X23" s="802"/>
      <c r="Y23" s="803"/>
      <c r="Z23" s="802"/>
      <c r="AA23" s="800"/>
      <c r="AB23" s="802"/>
      <c r="AC23" s="1089">
        <v>2.964</v>
      </c>
      <c r="AD23" s="802"/>
      <c r="AE23" s="949"/>
      <c r="AF23" s="777"/>
      <c r="AG23" s="1092">
        <v>2.5649999999999995</v>
      </c>
      <c r="AH23" s="786"/>
      <c r="AI23" s="1060">
        <v>14.36</v>
      </c>
      <c r="AJ23" s="811"/>
      <c r="AK23" s="578"/>
      <c r="AM23" s="578"/>
    </row>
    <row r="24" spans="1:39" s="560" customFormat="1">
      <c r="A24" s="940" t="s">
        <v>2032</v>
      </c>
      <c r="B24" s="604" t="s">
        <v>2020</v>
      </c>
      <c r="C24" s="614" t="s">
        <v>36</v>
      </c>
      <c r="D24" s="801"/>
      <c r="E24" s="1025"/>
      <c r="F24" s="800"/>
      <c r="G24" s="800"/>
      <c r="H24" s="800"/>
      <c r="I24" s="802"/>
      <c r="J24" s="802"/>
      <c r="K24" s="803"/>
      <c r="L24" s="802"/>
      <c r="M24" s="800"/>
      <c r="N24" s="802"/>
      <c r="O24" s="741"/>
      <c r="P24" s="802"/>
      <c r="Q24" s="741"/>
      <c r="R24" s="777"/>
      <c r="S24" s="1026"/>
      <c r="T24" s="800"/>
      <c r="U24" s="1037">
        <v>10.58</v>
      </c>
      <c r="V24" s="1037">
        <v>38.76</v>
      </c>
      <c r="W24" s="741"/>
      <c r="X24" s="802"/>
      <c r="Y24" s="803"/>
      <c r="Z24" s="802"/>
      <c r="AA24" s="800"/>
      <c r="AB24" s="802"/>
      <c r="AC24" s="802"/>
      <c r="AD24" s="802"/>
      <c r="AE24" s="741"/>
      <c r="AF24" s="777"/>
      <c r="AG24" s="1088">
        <v>34.199999999999996</v>
      </c>
      <c r="AH24" s="786"/>
      <c r="AI24" s="1060">
        <v>83.539999999999992</v>
      </c>
      <c r="AJ24" s="811"/>
      <c r="AK24" s="578"/>
      <c r="AM24" s="578"/>
    </row>
    <row r="25" spans="1:39" s="560" customFormat="1">
      <c r="A25" s="940" t="s">
        <v>2033</v>
      </c>
      <c r="B25" s="604" t="s">
        <v>2021</v>
      </c>
      <c r="C25" s="614" t="s">
        <v>1823</v>
      </c>
      <c r="D25" s="801"/>
      <c r="E25" s="1025"/>
      <c r="F25" s="800"/>
      <c r="G25" s="800"/>
      <c r="H25" s="800"/>
      <c r="I25" s="802"/>
      <c r="J25" s="802"/>
      <c r="K25" s="803"/>
      <c r="L25" s="802"/>
      <c r="M25" s="800"/>
      <c r="N25" s="802"/>
      <c r="O25" s="741"/>
      <c r="P25" s="802"/>
      <c r="Q25" s="1077">
        <v>228.78</v>
      </c>
      <c r="R25" s="777"/>
      <c r="S25" s="1078">
        <v>893.16</v>
      </c>
      <c r="T25" s="1079">
        <v>274.72500000000002</v>
      </c>
      <c r="U25" s="1037">
        <v>240.57</v>
      </c>
      <c r="V25" s="802"/>
      <c r="W25" s="802"/>
      <c r="X25" s="802"/>
      <c r="Y25" s="803"/>
      <c r="Z25" s="802"/>
      <c r="AA25" s="1033">
        <v>356.4</v>
      </c>
      <c r="AB25" s="1089">
        <v>162.85499999999999</v>
      </c>
      <c r="AC25" s="802"/>
      <c r="AD25" s="1089">
        <v>142.56</v>
      </c>
      <c r="AE25" s="949"/>
      <c r="AF25" s="777"/>
      <c r="AG25" s="949"/>
      <c r="AH25" s="786"/>
      <c r="AI25" s="1060">
        <v>2299.0499999999997</v>
      </c>
      <c r="AJ25" s="811"/>
      <c r="AK25" s="578"/>
      <c r="AM25" s="578"/>
    </row>
    <row r="26" spans="1:39" s="560" customFormat="1">
      <c r="A26" s="1055" t="s">
        <v>1987</v>
      </c>
      <c r="B26" s="1056" t="s">
        <v>1979</v>
      </c>
      <c r="C26" s="614"/>
      <c r="D26" s="801"/>
      <c r="E26" s="800"/>
      <c r="F26" s="800"/>
      <c r="G26" s="800"/>
      <c r="H26" s="800"/>
      <c r="I26" s="802"/>
      <c r="J26" s="802"/>
      <c r="K26" s="803"/>
      <c r="L26" s="802"/>
      <c r="M26" s="800"/>
      <c r="N26" s="802"/>
      <c r="O26" s="741"/>
      <c r="P26" s="802"/>
      <c r="Q26" s="741"/>
      <c r="R26" s="777"/>
      <c r="S26" s="802"/>
      <c r="T26" s="800"/>
      <c r="U26" s="802"/>
      <c r="V26" s="802"/>
      <c r="W26" s="802"/>
      <c r="X26" s="802"/>
      <c r="Y26" s="803"/>
      <c r="Z26" s="802"/>
      <c r="AA26" s="800"/>
      <c r="AB26" s="802"/>
      <c r="AC26" s="802"/>
      <c r="AD26" s="802"/>
      <c r="AE26" s="802"/>
      <c r="AF26" s="803"/>
      <c r="AG26" s="802"/>
      <c r="AH26" s="786"/>
      <c r="AI26" s="576">
        <v>0</v>
      </c>
      <c r="AJ26" s="811"/>
      <c r="AK26" s="578"/>
      <c r="AM26" s="578"/>
    </row>
    <row r="27" spans="1:39" s="560" customFormat="1">
      <c r="A27" s="940" t="s">
        <v>1990</v>
      </c>
      <c r="B27" s="804" t="s">
        <v>1983</v>
      </c>
      <c r="C27" s="614" t="s">
        <v>57</v>
      </c>
      <c r="D27" s="801"/>
      <c r="E27" s="800"/>
      <c r="F27" s="800"/>
      <c r="G27" s="800"/>
      <c r="H27" s="800"/>
      <c r="I27" s="802"/>
      <c r="J27" s="802"/>
      <c r="K27" s="803"/>
      <c r="L27" s="802"/>
      <c r="M27" s="800"/>
      <c r="N27" s="802"/>
      <c r="O27" s="741"/>
      <c r="P27" s="802"/>
      <c r="Q27" s="741"/>
      <c r="R27" s="777"/>
      <c r="S27" s="802"/>
      <c r="T27" s="1079">
        <v>12.25</v>
      </c>
      <c r="V27" s="802"/>
      <c r="W27" s="802"/>
      <c r="X27" s="802"/>
      <c r="Y27" s="803"/>
      <c r="Z27" s="802"/>
      <c r="AA27" s="800"/>
      <c r="AB27" s="802"/>
      <c r="AC27" s="802"/>
      <c r="AD27" s="802"/>
      <c r="AE27" s="802"/>
      <c r="AF27" s="803"/>
      <c r="AG27" s="802"/>
      <c r="AH27" s="802"/>
      <c r="AI27" s="1060">
        <v>12.25</v>
      </c>
      <c r="AJ27" s="811"/>
      <c r="AK27" s="578"/>
      <c r="AM27" s="578"/>
    </row>
    <row r="28" spans="1:39" s="560" customFormat="1">
      <c r="A28" s="1099" t="s">
        <v>2046</v>
      </c>
      <c r="B28" s="804" t="s">
        <v>2047</v>
      </c>
      <c r="C28" s="614" t="s">
        <v>57</v>
      </c>
      <c r="D28" s="801"/>
      <c r="E28" s="800"/>
      <c r="F28" s="1033">
        <v>9.2999999999999989</v>
      </c>
      <c r="G28" s="1033">
        <v>18.899999999999999</v>
      </c>
      <c r="H28" s="800"/>
      <c r="I28" s="802"/>
      <c r="J28" s="802"/>
      <c r="K28" s="803"/>
      <c r="L28" s="802"/>
      <c r="M28" s="800"/>
      <c r="N28" s="802"/>
      <c r="O28" s="741"/>
      <c r="P28" s="802"/>
      <c r="Q28" s="741"/>
      <c r="R28" s="777"/>
      <c r="S28" s="802"/>
      <c r="T28" s="800"/>
      <c r="U28" s="802"/>
      <c r="V28" s="802"/>
      <c r="W28" s="802"/>
      <c r="X28" s="802"/>
      <c r="Y28" s="803"/>
      <c r="Z28" s="802"/>
      <c r="AA28" s="800"/>
      <c r="AB28" s="802"/>
      <c r="AC28" s="802"/>
      <c r="AD28" s="802"/>
      <c r="AE28" s="802"/>
      <c r="AF28" s="803"/>
      <c r="AG28" s="802"/>
      <c r="AH28" s="802"/>
      <c r="AI28" s="1060">
        <v>28.199999999999996</v>
      </c>
      <c r="AJ28" s="811"/>
      <c r="AK28" s="578"/>
      <c r="AM28" s="578"/>
    </row>
    <row r="29" spans="1:39" s="560" customFormat="1">
      <c r="A29" s="1099" t="s">
        <v>2048</v>
      </c>
      <c r="B29" s="804" t="s">
        <v>2050</v>
      </c>
      <c r="C29" s="614" t="s">
        <v>57</v>
      </c>
      <c r="D29" s="801"/>
      <c r="E29" s="800"/>
      <c r="F29" s="800"/>
      <c r="G29" s="1082">
        <v>21.763612000000002</v>
      </c>
      <c r="H29" s="1033">
        <v>1.1154000000000002</v>
      </c>
      <c r="I29" s="802"/>
      <c r="J29" s="802"/>
      <c r="K29" s="803"/>
      <c r="L29" s="802"/>
      <c r="M29" s="800"/>
      <c r="N29" s="802"/>
      <c r="O29" s="741"/>
      <c r="P29" s="802"/>
      <c r="Q29" s="741"/>
      <c r="R29" s="777"/>
      <c r="S29" s="1074">
        <v>6.0047337000000001</v>
      </c>
      <c r="T29" s="800"/>
      <c r="U29" s="802"/>
      <c r="V29" s="802"/>
      <c r="W29" s="802"/>
      <c r="X29" s="802"/>
      <c r="Y29" s="803"/>
      <c r="Z29" s="1037">
        <v>5.3580000000000005</v>
      </c>
      <c r="AA29" s="800"/>
      <c r="AB29" s="802"/>
      <c r="AC29" s="802"/>
      <c r="AD29" s="802"/>
      <c r="AE29" s="802"/>
      <c r="AF29" s="803"/>
      <c r="AG29" s="802"/>
      <c r="AH29" s="802"/>
      <c r="AI29" s="1060">
        <v>34.241745700000003</v>
      </c>
      <c r="AJ29" s="811"/>
      <c r="AK29" s="578"/>
      <c r="AM29" s="578"/>
    </row>
    <row r="30" spans="1:39" s="560" customFormat="1">
      <c r="A30" s="1099" t="s">
        <v>2059</v>
      </c>
      <c r="B30" s="804" t="s">
        <v>2060</v>
      </c>
      <c r="C30" s="614" t="s">
        <v>57</v>
      </c>
      <c r="D30" s="801"/>
      <c r="E30" s="800"/>
      <c r="F30" s="800"/>
      <c r="G30" s="1082">
        <v>21.763612000000002</v>
      </c>
      <c r="H30" s="1033">
        <v>1.1154000000000002</v>
      </c>
      <c r="I30" s="802"/>
      <c r="J30" s="802"/>
      <c r="K30" s="803"/>
      <c r="L30" s="802"/>
      <c r="M30" s="800"/>
      <c r="N30" s="802"/>
      <c r="O30" s="741"/>
      <c r="P30" s="802"/>
      <c r="Q30" s="741"/>
      <c r="R30" s="777"/>
      <c r="S30" s="1074">
        <v>6.0047337000000001</v>
      </c>
      <c r="T30" s="800"/>
      <c r="U30" s="802"/>
      <c r="V30" s="802"/>
      <c r="W30" s="802"/>
      <c r="X30" s="802"/>
      <c r="Y30" s="803"/>
      <c r="Z30" s="1037">
        <v>5.3580000000000005</v>
      </c>
      <c r="AA30" s="800"/>
      <c r="AB30" s="802"/>
      <c r="AC30" s="802"/>
      <c r="AD30" s="1089">
        <v>4.2</v>
      </c>
      <c r="AE30" s="802"/>
      <c r="AF30" s="803"/>
      <c r="AG30" s="802"/>
      <c r="AH30" s="802"/>
      <c r="AI30" s="1060">
        <v>38.441745700000006</v>
      </c>
      <c r="AJ30" s="811"/>
      <c r="AK30" s="578"/>
      <c r="AM30" s="578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paperSize="9" scale="6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S873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557" customWidth="1"/>
    <col min="5" max="5" width="9.109375" style="985" customWidth="1"/>
    <col min="6" max="11" width="7" style="557" customWidth="1"/>
    <col min="12" max="12" width="7" style="956" customWidth="1"/>
    <col min="13" max="18" width="7" style="558" customWidth="1"/>
    <col min="19" max="19" width="7" style="956" customWidth="1"/>
    <col min="20" max="22" width="7" style="558" customWidth="1"/>
    <col min="23" max="23" width="10.88671875" style="558" customWidth="1"/>
    <col min="24" max="24" width="9.44140625" style="558" customWidth="1"/>
    <col min="25" max="25" width="7" style="558" customWidth="1"/>
    <col min="26" max="26" width="10.44140625" style="956" customWidth="1"/>
    <col min="27" max="27" width="8.6640625" style="558" customWidth="1"/>
    <col min="28" max="28" width="7" style="558" customWidth="1"/>
    <col min="29" max="29" width="9.44140625" style="558" customWidth="1"/>
    <col min="30" max="30" width="7" style="558" customWidth="1"/>
    <col min="31" max="31" width="9.88671875" style="853" customWidth="1"/>
    <col min="32" max="32" width="7" style="558" customWidth="1"/>
    <col min="33" max="33" width="9.109375" style="956" customWidth="1"/>
    <col min="34" max="34" width="9.109375" style="558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</row>
    <row r="2" spans="1:39">
      <c r="A2" s="1539" t="s">
        <v>1788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</row>
    <row r="3" spans="1:39">
      <c r="A3" s="615"/>
      <c r="G3" s="557">
        <v>7</v>
      </c>
    </row>
    <row r="4" spans="1:39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</row>
    <row r="5" spans="1:39" ht="12.75" customHeight="1">
      <c r="A5" s="617"/>
      <c r="B5" s="1541" t="e">
        <f>#REF!</f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</row>
    <row r="6" spans="1:39" ht="13.5" customHeight="1">
      <c r="B6" s="619"/>
      <c r="C6" s="561"/>
    </row>
    <row r="7" spans="1:39" ht="13.5" customHeight="1">
      <c r="B7" s="619"/>
      <c r="C7" s="561"/>
    </row>
    <row r="8" spans="1:39" ht="13.5" customHeight="1" thickBot="1">
      <c r="B8" s="619"/>
      <c r="C8" s="561"/>
      <c r="D8" s="929" t="s">
        <v>1873</v>
      </c>
      <c r="E8" s="957" t="s">
        <v>1874</v>
      </c>
      <c r="F8" s="929" t="s">
        <v>1866</v>
      </c>
      <c r="G8" s="929" t="s">
        <v>1867</v>
      </c>
      <c r="H8" s="929" t="s">
        <v>1868</v>
      </c>
      <c r="I8" s="929" t="s">
        <v>1869</v>
      </c>
      <c r="J8" s="929" t="s">
        <v>1870</v>
      </c>
      <c r="K8" s="929" t="s">
        <v>1871</v>
      </c>
      <c r="L8" s="957" t="s">
        <v>1872</v>
      </c>
      <c r="M8" s="929" t="s">
        <v>1866</v>
      </c>
      <c r="N8" s="929" t="s">
        <v>1867</v>
      </c>
      <c r="O8" s="929" t="s">
        <v>1868</v>
      </c>
      <c r="P8" s="929" t="s">
        <v>1869</v>
      </c>
      <c r="Q8" s="929" t="s">
        <v>1870</v>
      </c>
      <c r="R8" s="929" t="s">
        <v>1871</v>
      </c>
      <c r="S8" s="957" t="s">
        <v>1872</v>
      </c>
      <c r="T8" s="929" t="s">
        <v>1866</v>
      </c>
      <c r="U8" s="929" t="s">
        <v>1867</v>
      </c>
      <c r="V8" s="929" t="s">
        <v>1868</v>
      </c>
      <c r="W8" s="929" t="s">
        <v>1869</v>
      </c>
      <c r="X8" s="929" t="s">
        <v>1870</v>
      </c>
      <c r="Y8" s="929" t="s">
        <v>1871</v>
      </c>
      <c r="Z8" s="957" t="s">
        <v>1872</v>
      </c>
      <c r="AA8" s="929" t="s">
        <v>1866</v>
      </c>
      <c r="AB8" s="929" t="s">
        <v>1867</v>
      </c>
      <c r="AC8" s="929" t="s">
        <v>1868</v>
      </c>
      <c r="AD8" s="929" t="s">
        <v>1869</v>
      </c>
      <c r="AE8" s="954" t="s">
        <v>1870</v>
      </c>
      <c r="AF8" s="929" t="s">
        <v>1871</v>
      </c>
      <c r="AG8" s="957" t="s">
        <v>1872</v>
      </c>
      <c r="AH8" s="929" t="s">
        <v>1866</v>
      </c>
      <c r="AI8" s="929"/>
    </row>
    <row r="9" spans="1:39" ht="13.8" thickBot="1">
      <c r="A9" s="1543" t="s">
        <v>284</v>
      </c>
      <c r="B9" s="1543" t="s">
        <v>19</v>
      </c>
      <c r="C9" s="562"/>
      <c r="D9" s="975">
        <v>1</v>
      </c>
      <c r="E9" s="958">
        <f>+D9+1</f>
        <v>2</v>
      </c>
      <c r="F9" s="975">
        <f t="shared" ref="F9:AH9" si="0">+E9+1</f>
        <v>3</v>
      </c>
      <c r="G9" s="975">
        <f t="shared" si="0"/>
        <v>4</v>
      </c>
      <c r="H9" s="975">
        <f t="shared" si="0"/>
        <v>5</v>
      </c>
      <c r="I9" s="975">
        <f t="shared" si="0"/>
        <v>6</v>
      </c>
      <c r="J9" s="975">
        <f t="shared" si="0"/>
        <v>7</v>
      </c>
      <c r="K9" s="975">
        <f t="shared" si="0"/>
        <v>8</v>
      </c>
      <c r="L9" s="958">
        <f t="shared" si="0"/>
        <v>9</v>
      </c>
      <c r="M9" s="975">
        <f t="shared" si="0"/>
        <v>10</v>
      </c>
      <c r="N9" s="975">
        <f t="shared" si="0"/>
        <v>11</v>
      </c>
      <c r="O9" s="975">
        <f t="shared" si="0"/>
        <v>12</v>
      </c>
      <c r="P9" s="975">
        <f t="shared" si="0"/>
        <v>13</v>
      </c>
      <c r="Q9" s="975">
        <f t="shared" si="0"/>
        <v>14</v>
      </c>
      <c r="R9" s="975">
        <f t="shared" si="0"/>
        <v>15</v>
      </c>
      <c r="S9" s="958">
        <f t="shared" si="0"/>
        <v>16</v>
      </c>
      <c r="T9" s="975">
        <f t="shared" si="0"/>
        <v>17</v>
      </c>
      <c r="U9" s="975">
        <f t="shared" si="0"/>
        <v>18</v>
      </c>
      <c r="V9" s="975">
        <f t="shared" si="0"/>
        <v>19</v>
      </c>
      <c r="W9" s="975">
        <f t="shared" si="0"/>
        <v>20</v>
      </c>
      <c r="X9" s="975">
        <f t="shared" si="0"/>
        <v>21</v>
      </c>
      <c r="Y9" s="975">
        <f t="shared" si="0"/>
        <v>22</v>
      </c>
      <c r="Z9" s="958">
        <f t="shared" si="0"/>
        <v>23</v>
      </c>
      <c r="AA9" s="975">
        <f t="shared" si="0"/>
        <v>24</v>
      </c>
      <c r="AB9" s="975">
        <f t="shared" si="0"/>
        <v>25</v>
      </c>
      <c r="AC9" s="975">
        <f t="shared" si="0"/>
        <v>26</v>
      </c>
      <c r="AD9" s="975">
        <f t="shared" si="0"/>
        <v>27</v>
      </c>
      <c r="AE9" s="822">
        <f t="shared" si="0"/>
        <v>28</v>
      </c>
      <c r="AF9" s="975">
        <f t="shared" si="0"/>
        <v>29</v>
      </c>
      <c r="AG9" s="958">
        <f t="shared" si="0"/>
        <v>30</v>
      </c>
      <c r="AH9" s="975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44"/>
      <c r="B10" s="1544"/>
      <c r="C10" s="951" t="s">
        <v>285</v>
      </c>
      <c r="D10" s="568" t="s">
        <v>291</v>
      </c>
      <c r="E10" s="993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993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993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993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823" t="s">
        <v>291</v>
      </c>
      <c r="AF10" s="568" t="s">
        <v>291</v>
      </c>
      <c r="AG10" s="959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785" customFormat="1">
      <c r="A11" s="870" t="s">
        <v>32</v>
      </c>
      <c r="B11" s="870" t="s">
        <v>1118</v>
      </c>
      <c r="C11" s="871"/>
      <c r="D11" s="872"/>
      <c r="E11" s="980"/>
      <c r="F11" s="872"/>
      <c r="G11" s="872"/>
      <c r="H11" s="872"/>
      <c r="I11" s="872"/>
      <c r="J11" s="792"/>
      <c r="K11" s="792"/>
      <c r="L11" s="989"/>
      <c r="M11" s="809"/>
      <c r="N11" s="809"/>
      <c r="O11" s="809"/>
      <c r="P11" s="809"/>
      <c r="Q11" s="809"/>
      <c r="R11" s="809"/>
      <c r="S11" s="989"/>
      <c r="T11" s="809"/>
      <c r="U11" s="809"/>
      <c r="V11" s="809"/>
      <c r="W11" s="809"/>
      <c r="X11" s="809"/>
      <c r="Y11" s="809"/>
      <c r="Z11" s="989"/>
      <c r="AA11" s="809"/>
      <c r="AB11" s="809"/>
      <c r="AC11" s="809"/>
      <c r="AD11" s="809"/>
      <c r="AE11" s="827"/>
      <c r="AF11" s="809"/>
      <c r="AG11" s="960"/>
      <c r="AH11" s="873"/>
      <c r="AI11" s="839">
        <f t="shared" ref="AI11:AI13" si="1">ROUND((SUM(D11:AH11)),2)</f>
        <v>0</v>
      </c>
      <c r="AJ11" s="777"/>
      <c r="AK11" s="778"/>
      <c r="AL11" s="784"/>
      <c r="AM11" s="874"/>
    </row>
    <row r="12" spans="1:39" s="782" customFormat="1">
      <c r="A12" s="868" t="s">
        <v>34</v>
      </c>
      <c r="B12" s="869" t="s">
        <v>1119</v>
      </c>
      <c r="C12" s="875"/>
      <c r="D12" s="795"/>
      <c r="E12" s="981"/>
      <c r="F12" s="778"/>
      <c r="G12" s="778"/>
      <c r="H12" s="778"/>
      <c r="I12" s="777"/>
      <c r="J12" s="777"/>
      <c r="K12" s="777"/>
      <c r="L12" s="989"/>
      <c r="M12" s="809"/>
      <c r="N12" s="809"/>
      <c r="O12" s="809"/>
      <c r="P12" s="809"/>
      <c r="Q12" s="809"/>
      <c r="R12" s="809"/>
      <c r="S12" s="989"/>
      <c r="T12" s="809"/>
      <c r="U12" s="809"/>
      <c r="V12" s="809"/>
      <c r="W12" s="809"/>
      <c r="X12" s="809"/>
      <c r="Y12" s="809"/>
      <c r="Z12" s="989"/>
      <c r="AA12" s="809"/>
      <c r="AB12" s="809"/>
      <c r="AC12" s="809"/>
      <c r="AD12" s="809"/>
      <c r="AE12" s="827"/>
      <c r="AF12" s="809"/>
      <c r="AG12" s="960"/>
      <c r="AH12" s="873"/>
      <c r="AI12" s="839">
        <f t="shared" si="1"/>
        <v>0</v>
      </c>
      <c r="AJ12" s="777"/>
      <c r="AK12" s="778"/>
      <c r="AL12" s="780"/>
      <c r="AM12" s="828"/>
    </row>
    <row r="13" spans="1:39" s="782" customFormat="1" hidden="1">
      <c r="A13" s="772" t="s">
        <v>523</v>
      </c>
      <c r="B13" s="866" t="s">
        <v>1120</v>
      </c>
      <c r="C13" s="876" t="s">
        <v>63</v>
      </c>
      <c r="D13" s="795"/>
      <c r="E13" s="981"/>
      <c r="F13" s="778"/>
      <c r="G13" s="778"/>
      <c r="H13" s="778"/>
      <c r="I13" s="778"/>
      <c r="J13" s="778"/>
      <c r="K13" s="778"/>
      <c r="L13" s="995"/>
      <c r="M13" s="850"/>
      <c r="N13" s="809"/>
      <c r="O13" s="850"/>
      <c r="P13" s="850"/>
      <c r="Q13" s="850"/>
      <c r="R13" s="850"/>
      <c r="S13" s="995"/>
      <c r="T13" s="850"/>
      <c r="U13" s="809"/>
      <c r="V13" s="809"/>
      <c r="W13" s="809"/>
      <c r="X13" s="809"/>
      <c r="Y13" s="809"/>
      <c r="Z13" s="989"/>
      <c r="AA13" s="809"/>
      <c r="AB13" s="809"/>
      <c r="AC13" s="809"/>
      <c r="AD13" s="809"/>
      <c r="AE13" s="827"/>
      <c r="AF13" s="809"/>
      <c r="AG13" s="960"/>
      <c r="AH13" s="873"/>
      <c r="AI13" s="839">
        <f t="shared" si="1"/>
        <v>0</v>
      </c>
      <c r="AJ13" s="777">
        <v>0</v>
      </c>
      <c r="AK13" s="778">
        <f>AI13+AJ13</f>
        <v>0</v>
      </c>
      <c r="AL13" s="780" t="s">
        <v>1441</v>
      </c>
      <c r="AM13" s="781">
        <f>AL13-AK13</f>
        <v>1</v>
      </c>
    </row>
    <row r="14" spans="1:39" s="782" customFormat="1">
      <c r="A14" s="772" t="s">
        <v>524</v>
      </c>
      <c r="B14" s="772" t="s">
        <v>1121</v>
      </c>
      <c r="C14" s="876" t="s">
        <v>63</v>
      </c>
      <c r="D14" s="795"/>
      <c r="E14" s="981"/>
      <c r="F14" s="778"/>
      <c r="G14" s="778"/>
      <c r="H14" s="828"/>
      <c r="I14" s="828"/>
      <c r="J14" s="777"/>
      <c r="K14" s="777"/>
      <c r="L14" s="989"/>
      <c r="M14" s="809"/>
      <c r="N14" s="809"/>
      <c r="O14" s="809"/>
      <c r="P14" s="809"/>
      <c r="Q14" s="809"/>
      <c r="R14" s="809"/>
      <c r="S14" s="989"/>
      <c r="T14" s="945">
        <v>0.5</v>
      </c>
      <c r="U14" s="809"/>
      <c r="V14" s="809"/>
      <c r="W14" s="809"/>
      <c r="X14" s="809"/>
      <c r="Y14" s="809"/>
      <c r="Z14" s="989"/>
      <c r="AA14" s="809"/>
      <c r="AB14" s="809"/>
      <c r="AC14" s="809"/>
      <c r="AD14" s="809"/>
      <c r="AE14" s="827"/>
      <c r="AF14" s="809"/>
      <c r="AG14" s="960"/>
      <c r="AH14" s="873"/>
      <c r="AI14" s="839">
        <f>ROUND((SUM(D14:AH14)),2)</f>
        <v>0.5</v>
      </c>
      <c r="AJ14" s="777">
        <v>0</v>
      </c>
      <c r="AK14" s="778">
        <f t="shared" ref="AK14:AK77" si="2">AI14+AJ14</f>
        <v>0.5</v>
      </c>
      <c r="AL14" s="780" t="s">
        <v>1441</v>
      </c>
      <c r="AM14" s="781">
        <f t="shared" ref="AM14:AM77" si="3">AL14-AK14</f>
        <v>0.5</v>
      </c>
    </row>
    <row r="15" spans="1:39" s="782" customFormat="1">
      <c r="A15" s="772" t="s">
        <v>525</v>
      </c>
      <c r="B15" s="772" t="s">
        <v>1809</v>
      </c>
      <c r="C15" s="877" t="s">
        <v>63</v>
      </c>
      <c r="D15" s="795"/>
      <c r="E15" s="981"/>
      <c r="F15" s="778"/>
      <c r="G15" s="778"/>
      <c r="H15" s="922">
        <v>0.5</v>
      </c>
      <c r="I15" s="777"/>
      <c r="J15" s="777"/>
      <c r="K15" s="777"/>
      <c r="L15" s="989"/>
      <c r="M15" s="809"/>
      <c r="N15" s="809"/>
      <c r="O15" s="809"/>
      <c r="P15" s="809"/>
      <c r="Q15" s="809"/>
      <c r="R15" s="809"/>
      <c r="S15" s="989"/>
      <c r="T15" s="809"/>
      <c r="U15" s="809"/>
      <c r="V15" s="809"/>
      <c r="W15" s="809"/>
      <c r="X15" s="809"/>
      <c r="Y15" s="809"/>
      <c r="Z15" s="989"/>
      <c r="AA15" s="809"/>
      <c r="AB15" s="809"/>
      <c r="AC15" s="809"/>
      <c r="AD15" s="809"/>
      <c r="AE15" s="827"/>
      <c r="AF15" s="809"/>
      <c r="AG15" s="960"/>
      <c r="AH15" s="873"/>
      <c r="AI15" s="839">
        <f t="shared" ref="AI15:AI78" si="4">ROUND((SUM(D15:AH15)),2)</f>
        <v>0.5</v>
      </c>
      <c r="AJ15" s="777">
        <v>0</v>
      </c>
      <c r="AK15" s="778">
        <f t="shared" si="2"/>
        <v>0.5</v>
      </c>
      <c r="AL15" s="780" t="s">
        <v>1441</v>
      </c>
      <c r="AM15" s="781">
        <f t="shared" si="3"/>
        <v>0.5</v>
      </c>
    </row>
    <row r="16" spans="1:39" s="782" customFormat="1">
      <c r="A16" s="772" t="s">
        <v>526</v>
      </c>
      <c r="B16" s="867" t="s">
        <v>1123</v>
      </c>
      <c r="C16" s="876" t="s">
        <v>63</v>
      </c>
      <c r="D16" s="795"/>
      <c r="E16" s="981"/>
      <c r="F16" s="922">
        <v>1</v>
      </c>
      <c r="G16" s="778"/>
      <c r="H16" s="778"/>
      <c r="I16" s="777"/>
      <c r="J16" s="777"/>
      <c r="K16" s="777"/>
      <c r="L16" s="989"/>
      <c r="M16" s="809"/>
      <c r="N16" s="809"/>
      <c r="O16" s="809"/>
      <c r="P16" s="809"/>
      <c r="Q16" s="809"/>
      <c r="R16" s="809"/>
      <c r="S16" s="989"/>
      <c r="T16" s="809"/>
      <c r="U16" s="809"/>
      <c r="V16" s="809"/>
      <c r="W16" s="809"/>
      <c r="X16" s="809"/>
      <c r="Y16" s="809"/>
      <c r="Z16" s="989"/>
      <c r="AA16" s="809"/>
      <c r="AB16" s="809"/>
      <c r="AC16" s="809"/>
      <c r="AD16" s="809"/>
      <c r="AE16" s="827"/>
      <c r="AF16" s="809"/>
      <c r="AG16" s="960"/>
      <c r="AH16" s="873"/>
      <c r="AI16" s="839">
        <f t="shared" si="4"/>
        <v>1</v>
      </c>
      <c r="AJ16" s="777">
        <v>0</v>
      </c>
      <c r="AK16" s="778">
        <f t="shared" si="2"/>
        <v>1</v>
      </c>
      <c r="AL16" s="780" t="s">
        <v>1441</v>
      </c>
      <c r="AM16" s="781">
        <f t="shared" si="3"/>
        <v>0</v>
      </c>
    </row>
    <row r="17" spans="1:45" s="782" customFormat="1" hidden="1">
      <c r="A17" s="772" t="s">
        <v>527</v>
      </c>
      <c r="B17" s="772" t="s">
        <v>1124</v>
      </c>
      <c r="C17" s="876" t="s">
        <v>1436</v>
      </c>
      <c r="D17" s="795"/>
      <c r="E17" s="981"/>
      <c r="F17" s="778"/>
      <c r="G17" s="778"/>
      <c r="H17" s="778"/>
      <c r="I17" s="777"/>
      <c r="J17" s="777"/>
      <c r="K17" s="777"/>
      <c r="L17" s="961"/>
      <c r="M17" s="793"/>
      <c r="N17" s="793"/>
      <c r="O17" s="793"/>
      <c r="P17" s="793"/>
      <c r="Q17" s="793"/>
      <c r="R17" s="793"/>
      <c r="S17" s="961"/>
      <c r="T17" s="793"/>
      <c r="U17" s="793"/>
      <c r="V17" s="793"/>
      <c r="W17" s="793"/>
      <c r="X17" s="793"/>
      <c r="Y17" s="793"/>
      <c r="Z17" s="961"/>
      <c r="AA17" s="793"/>
      <c r="AB17" s="793"/>
      <c r="AC17" s="793"/>
      <c r="AD17" s="793"/>
      <c r="AE17" s="955"/>
      <c r="AF17" s="793"/>
      <c r="AG17" s="961"/>
      <c r="AH17" s="878"/>
      <c r="AI17" s="839">
        <f t="shared" si="4"/>
        <v>0</v>
      </c>
      <c r="AJ17" s="777">
        <v>1</v>
      </c>
      <c r="AK17" s="778">
        <f t="shared" si="2"/>
        <v>1</v>
      </c>
      <c r="AL17" s="793" t="s">
        <v>1441</v>
      </c>
      <c r="AM17" s="781">
        <f t="shared" si="3"/>
        <v>0</v>
      </c>
      <c r="AN17" s="879"/>
      <c r="AO17" s="793"/>
      <c r="AP17" s="793"/>
      <c r="AQ17" s="793"/>
      <c r="AR17" s="793"/>
      <c r="AS17" s="793"/>
    </row>
    <row r="18" spans="1:45" s="782" customFormat="1" hidden="1">
      <c r="A18" s="868" t="s">
        <v>38</v>
      </c>
      <c r="B18" s="869" t="s">
        <v>33</v>
      </c>
      <c r="C18" s="880"/>
      <c r="D18" s="795"/>
      <c r="E18" s="981"/>
      <c r="F18" s="778"/>
      <c r="G18" s="778"/>
      <c r="H18" s="778"/>
      <c r="I18" s="778"/>
      <c r="J18" s="778"/>
      <c r="K18" s="778"/>
      <c r="L18" s="961"/>
      <c r="M18" s="793"/>
      <c r="N18" s="793"/>
      <c r="O18" s="793"/>
      <c r="P18" s="793"/>
      <c r="Q18" s="793"/>
      <c r="R18" s="793"/>
      <c r="S18" s="961"/>
      <c r="T18" s="793"/>
      <c r="U18" s="793"/>
      <c r="V18" s="793"/>
      <c r="W18" s="793"/>
      <c r="X18" s="793"/>
      <c r="Y18" s="793"/>
      <c r="Z18" s="961"/>
      <c r="AA18" s="793"/>
      <c r="AB18" s="793"/>
      <c r="AC18" s="793"/>
      <c r="AD18" s="793"/>
      <c r="AE18" s="955"/>
      <c r="AF18" s="793"/>
      <c r="AG18" s="961"/>
      <c r="AH18" s="878"/>
      <c r="AI18" s="839">
        <f t="shared" si="4"/>
        <v>0</v>
      </c>
      <c r="AJ18" s="777">
        <v>0</v>
      </c>
      <c r="AK18" s="778">
        <f t="shared" si="2"/>
        <v>0</v>
      </c>
      <c r="AL18" s="793"/>
      <c r="AM18" s="781">
        <f t="shared" si="3"/>
        <v>0</v>
      </c>
      <c r="AN18" s="879"/>
      <c r="AO18" s="793"/>
      <c r="AP18" s="793"/>
      <c r="AQ18" s="793"/>
      <c r="AR18" s="793"/>
      <c r="AS18" s="793"/>
    </row>
    <row r="19" spans="1:45" s="785" customFormat="1" hidden="1">
      <c r="A19" s="772" t="s">
        <v>528</v>
      </c>
      <c r="B19" s="867" t="s">
        <v>1125</v>
      </c>
      <c r="C19" s="876" t="s">
        <v>36</v>
      </c>
      <c r="D19" s="881"/>
      <c r="E19" s="982"/>
      <c r="F19" s="783"/>
      <c r="G19" s="783"/>
      <c r="H19" s="783"/>
      <c r="I19" s="778"/>
      <c r="J19" s="783"/>
      <c r="K19" s="783"/>
      <c r="L19" s="961"/>
      <c r="M19" s="793"/>
      <c r="N19" s="793"/>
      <c r="O19" s="793"/>
      <c r="P19" s="793"/>
      <c r="Q19" s="793"/>
      <c r="R19" s="793"/>
      <c r="S19" s="961"/>
      <c r="T19" s="793"/>
      <c r="U19" s="793"/>
      <c r="V19" s="793"/>
      <c r="W19" s="793"/>
      <c r="X19" s="793"/>
      <c r="Y19" s="793"/>
      <c r="Z19" s="961"/>
      <c r="AA19" s="793"/>
      <c r="AB19" s="793"/>
      <c r="AC19" s="793"/>
      <c r="AD19" s="793"/>
      <c r="AE19" s="955"/>
      <c r="AF19" s="793"/>
      <c r="AG19" s="961"/>
      <c r="AH19" s="878"/>
      <c r="AI19" s="839">
        <f t="shared" si="4"/>
        <v>0</v>
      </c>
      <c r="AJ19" s="777">
        <v>656.8</v>
      </c>
      <c r="AK19" s="778">
        <f t="shared" si="2"/>
        <v>656.8</v>
      </c>
      <c r="AL19" s="793" t="s">
        <v>1442</v>
      </c>
      <c r="AM19" s="781">
        <f t="shared" si="3"/>
        <v>0</v>
      </c>
      <c r="AN19" s="879"/>
      <c r="AO19" s="793"/>
      <c r="AP19" s="793"/>
      <c r="AQ19" s="793"/>
      <c r="AR19" s="793"/>
      <c r="AS19" s="793"/>
    </row>
    <row r="20" spans="1:45" s="782" customFormat="1" hidden="1">
      <c r="A20" s="772" t="s">
        <v>529</v>
      </c>
      <c r="B20" s="867" t="s">
        <v>1126</v>
      </c>
      <c r="C20" s="876" t="s">
        <v>39</v>
      </c>
      <c r="D20" s="795"/>
      <c r="E20" s="983"/>
      <c r="F20" s="791"/>
      <c r="G20" s="791"/>
      <c r="H20" s="791"/>
      <c r="I20" s="882"/>
      <c r="J20" s="791"/>
      <c r="K20" s="791"/>
      <c r="L20" s="961"/>
      <c r="M20" s="793"/>
      <c r="N20" s="793"/>
      <c r="O20" s="793"/>
      <c r="P20" s="793"/>
      <c r="Q20" s="793"/>
      <c r="R20" s="793"/>
      <c r="S20" s="961"/>
      <c r="T20" s="793"/>
      <c r="U20" s="793"/>
      <c r="V20" s="793"/>
      <c r="W20" s="793"/>
      <c r="X20" s="793"/>
      <c r="Y20" s="793"/>
      <c r="Z20" s="961"/>
      <c r="AA20" s="793"/>
      <c r="AB20" s="793"/>
      <c r="AC20" s="793"/>
      <c r="AD20" s="793"/>
      <c r="AE20" s="955"/>
      <c r="AF20" s="793"/>
      <c r="AG20" s="961"/>
      <c r="AH20" s="878"/>
      <c r="AI20" s="839">
        <f t="shared" si="4"/>
        <v>0</v>
      </c>
      <c r="AJ20" s="777">
        <v>81</v>
      </c>
      <c r="AK20" s="778">
        <f>AI20+AJ20</f>
        <v>81</v>
      </c>
      <c r="AL20" s="778" t="s">
        <v>1443</v>
      </c>
      <c r="AM20" s="781">
        <f>AL20-AK20</f>
        <v>526.6</v>
      </c>
      <c r="AN20" s="879"/>
      <c r="AO20" s="793"/>
      <c r="AP20" s="793"/>
      <c r="AQ20" s="793"/>
      <c r="AR20" s="793"/>
      <c r="AS20" s="793"/>
    </row>
    <row r="21" spans="1:45" s="782" customFormat="1" hidden="1">
      <c r="A21" s="772" t="s">
        <v>530</v>
      </c>
      <c r="B21" s="867" t="s">
        <v>1127</v>
      </c>
      <c r="C21" s="876" t="s">
        <v>39</v>
      </c>
      <c r="D21" s="795"/>
      <c r="E21" s="981"/>
      <c r="F21" s="778"/>
      <c r="G21" s="778"/>
      <c r="H21" s="778"/>
      <c r="I21" s="778"/>
      <c r="J21" s="778"/>
      <c r="K21" s="778"/>
      <c r="L21" s="989"/>
      <c r="M21" s="809"/>
      <c r="N21" s="809"/>
      <c r="O21" s="809"/>
      <c r="P21" s="809"/>
      <c r="Q21" s="809"/>
      <c r="R21" s="809"/>
      <c r="S21" s="989"/>
      <c r="T21" s="809"/>
      <c r="U21" s="809"/>
      <c r="V21" s="809"/>
      <c r="W21" s="809"/>
      <c r="X21" s="809"/>
      <c r="Y21" s="809"/>
      <c r="Z21" s="989"/>
      <c r="AA21" s="809"/>
      <c r="AB21" s="809"/>
      <c r="AC21" s="809"/>
      <c r="AD21" s="809"/>
      <c r="AE21" s="827"/>
      <c r="AF21" s="809"/>
      <c r="AG21" s="960"/>
      <c r="AH21" s="873"/>
      <c r="AI21" s="839">
        <f t="shared" si="4"/>
        <v>0</v>
      </c>
      <c r="AJ21" s="777">
        <v>0</v>
      </c>
      <c r="AK21" s="778">
        <f t="shared" si="2"/>
        <v>0</v>
      </c>
      <c r="AL21" s="780" t="s">
        <v>1444</v>
      </c>
      <c r="AM21" s="781">
        <f t="shared" si="3"/>
        <v>759.49</v>
      </c>
    </row>
    <row r="22" spans="1:45" s="782" customFormat="1" hidden="1">
      <c r="A22" s="868" t="s">
        <v>531</v>
      </c>
      <c r="B22" s="869" t="s">
        <v>1128</v>
      </c>
      <c r="C22" s="880"/>
      <c r="D22" s="795"/>
      <c r="E22" s="981"/>
      <c r="F22" s="778"/>
      <c r="G22" s="778"/>
      <c r="H22" s="778"/>
      <c r="I22" s="777"/>
      <c r="J22" s="777"/>
      <c r="K22" s="777"/>
      <c r="L22" s="989"/>
      <c r="M22" s="809"/>
      <c r="N22" s="809"/>
      <c r="O22" s="809"/>
      <c r="P22" s="809"/>
      <c r="Q22" s="809"/>
      <c r="R22" s="809"/>
      <c r="S22" s="989"/>
      <c r="T22" s="809"/>
      <c r="U22" s="809"/>
      <c r="V22" s="809"/>
      <c r="W22" s="809"/>
      <c r="X22" s="809"/>
      <c r="Y22" s="809"/>
      <c r="Z22" s="989"/>
      <c r="AA22" s="809"/>
      <c r="AB22" s="809"/>
      <c r="AC22" s="809"/>
      <c r="AD22" s="809"/>
      <c r="AE22" s="827"/>
      <c r="AF22" s="809"/>
      <c r="AG22" s="960"/>
      <c r="AH22" s="873"/>
      <c r="AI22" s="839">
        <f t="shared" si="4"/>
        <v>0</v>
      </c>
      <c r="AJ22" s="777">
        <v>0</v>
      </c>
      <c r="AK22" s="778">
        <f t="shared" si="2"/>
        <v>0</v>
      </c>
      <c r="AL22" s="780"/>
      <c r="AM22" s="781">
        <f t="shared" si="3"/>
        <v>0</v>
      </c>
    </row>
    <row r="23" spans="1:45" s="785" customFormat="1" hidden="1">
      <c r="A23" s="772" t="s">
        <v>532</v>
      </c>
      <c r="B23" s="772" t="s">
        <v>1128</v>
      </c>
      <c r="C23" s="876" t="s">
        <v>63</v>
      </c>
      <c r="D23" s="881"/>
      <c r="E23" s="982"/>
      <c r="F23" s="783"/>
      <c r="G23" s="783"/>
      <c r="H23" s="883"/>
      <c r="I23" s="779"/>
      <c r="J23" s="779"/>
      <c r="K23" s="779"/>
      <c r="L23" s="989"/>
      <c r="M23" s="809"/>
      <c r="N23" s="809"/>
      <c r="O23" s="809"/>
      <c r="P23" s="809"/>
      <c r="Q23" s="809"/>
      <c r="R23" s="809"/>
      <c r="S23" s="989"/>
      <c r="T23" s="809"/>
      <c r="U23" s="809"/>
      <c r="V23" s="809"/>
      <c r="W23" s="809"/>
      <c r="X23" s="809"/>
      <c r="Y23" s="809"/>
      <c r="Z23" s="989"/>
      <c r="AA23" s="809"/>
      <c r="AB23" s="809"/>
      <c r="AC23" s="809"/>
      <c r="AD23" s="809"/>
      <c r="AE23" s="827"/>
      <c r="AF23" s="809"/>
      <c r="AG23" s="960"/>
      <c r="AH23" s="873"/>
      <c r="AI23" s="839">
        <f t="shared" si="4"/>
        <v>0</v>
      </c>
      <c r="AJ23" s="777">
        <v>0</v>
      </c>
      <c r="AK23" s="778">
        <f t="shared" si="2"/>
        <v>0</v>
      </c>
      <c r="AL23" s="784" t="s">
        <v>1441</v>
      </c>
      <c r="AM23" s="781">
        <f t="shared" si="3"/>
        <v>1</v>
      </c>
    </row>
    <row r="24" spans="1:45" s="782" customFormat="1" hidden="1">
      <c r="A24" s="772" t="s">
        <v>533</v>
      </c>
      <c r="B24" s="867" t="s">
        <v>1130</v>
      </c>
      <c r="C24" s="876" t="s">
        <v>63</v>
      </c>
      <c r="D24" s="795"/>
      <c r="E24" s="981"/>
      <c r="F24" s="778"/>
      <c r="G24" s="778"/>
      <c r="H24" s="778"/>
      <c r="I24" s="777"/>
      <c r="J24" s="777"/>
      <c r="K24" s="777"/>
      <c r="L24" s="995"/>
      <c r="M24" s="809"/>
      <c r="N24" s="809"/>
      <c r="O24" s="809"/>
      <c r="P24" s="809"/>
      <c r="Q24" s="809"/>
      <c r="R24" s="809"/>
      <c r="S24" s="989"/>
      <c r="T24" s="809"/>
      <c r="U24" s="809"/>
      <c r="V24" s="809"/>
      <c r="W24" s="809"/>
      <c r="X24" s="809"/>
      <c r="Y24" s="809"/>
      <c r="Z24" s="989"/>
      <c r="AA24" s="809"/>
      <c r="AB24" s="809"/>
      <c r="AC24" s="809"/>
      <c r="AD24" s="809"/>
      <c r="AE24" s="827"/>
      <c r="AF24" s="809"/>
      <c r="AG24" s="960"/>
      <c r="AH24" s="873"/>
      <c r="AI24" s="839">
        <f t="shared" si="4"/>
        <v>0</v>
      </c>
      <c r="AJ24" s="777">
        <v>0</v>
      </c>
      <c r="AK24" s="778">
        <f t="shared" si="2"/>
        <v>0</v>
      </c>
      <c r="AL24" s="780" t="s">
        <v>1441</v>
      </c>
      <c r="AM24" s="781">
        <f t="shared" si="3"/>
        <v>1</v>
      </c>
    </row>
    <row r="25" spans="1:45" s="782" customFormat="1" hidden="1">
      <c r="A25" s="868" t="s">
        <v>534</v>
      </c>
      <c r="B25" s="869" t="s">
        <v>1131</v>
      </c>
      <c r="C25" s="880"/>
      <c r="D25" s="795"/>
      <c r="E25" s="981"/>
      <c r="F25" s="778"/>
      <c r="G25" s="778"/>
      <c r="H25" s="778"/>
      <c r="I25" s="777"/>
      <c r="J25" s="777"/>
      <c r="K25" s="777"/>
      <c r="L25" s="989"/>
      <c r="M25" s="809"/>
      <c r="N25" s="809"/>
      <c r="O25" s="809"/>
      <c r="P25" s="809"/>
      <c r="Q25" s="809"/>
      <c r="R25" s="809"/>
      <c r="S25" s="989"/>
      <c r="T25" s="809"/>
      <c r="U25" s="809"/>
      <c r="V25" s="809"/>
      <c r="W25" s="809"/>
      <c r="X25" s="809"/>
      <c r="Y25" s="809"/>
      <c r="Z25" s="989"/>
      <c r="AA25" s="809"/>
      <c r="AB25" s="809"/>
      <c r="AC25" s="809"/>
      <c r="AD25" s="809"/>
      <c r="AE25" s="827"/>
      <c r="AF25" s="809"/>
      <c r="AG25" s="960"/>
      <c r="AH25" s="873"/>
      <c r="AI25" s="839">
        <f t="shared" si="4"/>
        <v>0</v>
      </c>
      <c r="AJ25" s="777">
        <v>0</v>
      </c>
      <c r="AK25" s="778">
        <f t="shared" si="2"/>
        <v>0</v>
      </c>
      <c r="AL25" s="780"/>
      <c r="AM25" s="781">
        <f t="shared" si="3"/>
        <v>0</v>
      </c>
    </row>
    <row r="26" spans="1:45" s="782" customFormat="1" hidden="1">
      <c r="A26" s="772" t="s">
        <v>535</v>
      </c>
      <c r="B26" s="772" t="s">
        <v>1132</v>
      </c>
      <c r="C26" s="876" t="s">
        <v>36</v>
      </c>
      <c r="D26" s="795"/>
      <c r="E26" s="981"/>
      <c r="F26" s="778"/>
      <c r="G26" s="778"/>
      <c r="H26" s="778"/>
      <c r="I26" s="777"/>
      <c r="J26" s="777"/>
      <c r="K26" s="777"/>
      <c r="L26" s="989"/>
      <c r="M26" s="809"/>
      <c r="N26" s="809"/>
      <c r="O26" s="809"/>
      <c r="P26" s="809"/>
      <c r="Q26" s="809"/>
      <c r="R26" s="809"/>
      <c r="S26" s="989"/>
      <c r="T26" s="809"/>
      <c r="U26" s="809"/>
      <c r="V26" s="809"/>
      <c r="W26" s="809"/>
      <c r="X26" s="809"/>
      <c r="Y26" s="809"/>
      <c r="Z26" s="989"/>
      <c r="AA26" s="809"/>
      <c r="AB26" s="809"/>
      <c r="AC26" s="809"/>
      <c r="AD26" s="809"/>
      <c r="AE26" s="827"/>
      <c r="AF26" s="809"/>
      <c r="AG26" s="960"/>
      <c r="AH26" s="873"/>
      <c r="AI26" s="839">
        <f t="shared" si="4"/>
        <v>0</v>
      </c>
      <c r="AJ26" s="777">
        <v>656.8</v>
      </c>
      <c r="AK26" s="778">
        <f t="shared" si="2"/>
        <v>656.8</v>
      </c>
      <c r="AL26" s="780" t="s">
        <v>1442</v>
      </c>
      <c r="AM26" s="781">
        <f t="shared" si="3"/>
        <v>0</v>
      </c>
    </row>
    <row r="27" spans="1:45" s="782" customFormat="1" hidden="1">
      <c r="A27" s="772" t="s">
        <v>536</v>
      </c>
      <c r="B27" s="772" t="s">
        <v>1805</v>
      </c>
      <c r="C27" s="876" t="s">
        <v>36</v>
      </c>
      <c r="D27" s="795"/>
      <c r="E27" s="981"/>
      <c r="F27" s="778"/>
      <c r="G27" s="778"/>
      <c r="H27" s="778"/>
      <c r="I27" s="777"/>
      <c r="J27" s="777"/>
      <c r="K27" s="777"/>
      <c r="L27" s="989"/>
      <c r="M27" s="809"/>
      <c r="N27" s="809"/>
      <c r="O27" s="809"/>
      <c r="P27" s="809"/>
      <c r="Q27" s="809"/>
      <c r="R27" s="809"/>
      <c r="S27" s="989"/>
      <c r="T27" s="809"/>
      <c r="U27" s="809"/>
      <c r="V27" s="809"/>
      <c r="W27" s="809"/>
      <c r="X27" s="850"/>
      <c r="Y27" s="809"/>
      <c r="Z27" s="989"/>
      <c r="AA27" s="809"/>
      <c r="AB27" s="809"/>
      <c r="AC27" s="809"/>
      <c r="AD27" s="809"/>
      <c r="AE27" s="827"/>
      <c r="AF27" s="809"/>
      <c r="AG27" s="960"/>
      <c r="AH27" s="873"/>
      <c r="AI27" s="839">
        <f t="shared" si="4"/>
        <v>0</v>
      </c>
      <c r="AJ27" s="777">
        <v>154.35</v>
      </c>
      <c r="AK27" s="778">
        <f>AI27+AJ27</f>
        <v>154.35</v>
      </c>
      <c r="AL27" s="780" t="s">
        <v>1442</v>
      </c>
      <c r="AM27" s="781">
        <f>AL27-AK27</f>
        <v>502.44999999999993</v>
      </c>
    </row>
    <row r="28" spans="1:45" s="782" customFormat="1">
      <c r="A28" s="868" t="s">
        <v>537</v>
      </c>
      <c r="B28" s="869" t="s">
        <v>1133</v>
      </c>
      <c r="C28" s="880"/>
      <c r="D28" s="795"/>
      <c r="E28" s="981"/>
      <c r="F28" s="778"/>
      <c r="G28" s="778"/>
      <c r="H28" s="778"/>
      <c r="I28" s="828"/>
      <c r="J28" s="777"/>
      <c r="K28" s="777"/>
      <c r="L28" s="989"/>
      <c r="M28" s="828"/>
      <c r="N28" s="809"/>
      <c r="O28" s="809"/>
      <c r="P28" s="777"/>
      <c r="Q28" s="809"/>
      <c r="R28" s="809"/>
      <c r="S28" s="989"/>
      <c r="T28" s="809"/>
      <c r="U28" s="809"/>
      <c r="V28" s="809"/>
      <c r="W28" s="809"/>
      <c r="X28" s="809"/>
      <c r="Y28" s="809"/>
      <c r="Z28" s="989"/>
      <c r="AA28" s="809"/>
      <c r="AB28" s="809"/>
      <c r="AC28" s="809"/>
      <c r="AD28" s="809"/>
      <c r="AE28" s="827"/>
      <c r="AF28" s="809"/>
      <c r="AG28" s="960"/>
      <c r="AH28" s="873"/>
      <c r="AI28" s="839">
        <f t="shared" si="4"/>
        <v>0</v>
      </c>
      <c r="AJ28" s="777">
        <v>0</v>
      </c>
      <c r="AK28" s="778">
        <f t="shared" si="2"/>
        <v>0</v>
      </c>
      <c r="AL28" s="780"/>
      <c r="AM28" s="781">
        <f t="shared" si="3"/>
        <v>0</v>
      </c>
    </row>
    <row r="29" spans="1:45" s="782" customFormat="1">
      <c r="A29" s="772" t="s">
        <v>538</v>
      </c>
      <c r="B29" s="867" t="s">
        <v>1134</v>
      </c>
      <c r="C29" s="876" t="s">
        <v>63</v>
      </c>
      <c r="D29" s="884"/>
      <c r="E29" s="962"/>
      <c r="F29" s="777"/>
      <c r="G29" s="777"/>
      <c r="H29" s="778"/>
      <c r="I29" s="828"/>
      <c r="J29" s="777"/>
      <c r="K29" s="777"/>
      <c r="L29" s="989"/>
      <c r="M29" s="828"/>
      <c r="N29" s="809"/>
      <c r="O29" s="809"/>
      <c r="P29" s="825">
        <v>1</v>
      </c>
      <c r="Q29" s="809"/>
      <c r="R29" s="809"/>
      <c r="S29" s="989"/>
      <c r="T29" s="809"/>
      <c r="U29" s="809"/>
      <c r="V29" s="809"/>
      <c r="W29" s="809"/>
      <c r="X29" s="809"/>
      <c r="Y29" s="809"/>
      <c r="Z29" s="989"/>
      <c r="AA29" s="809"/>
      <c r="AB29" s="809"/>
      <c r="AC29" s="809"/>
      <c r="AD29" s="809"/>
      <c r="AE29" s="827"/>
      <c r="AF29" s="809"/>
      <c r="AG29" s="960"/>
      <c r="AH29" s="873"/>
      <c r="AI29" s="839">
        <f t="shared" si="4"/>
        <v>1</v>
      </c>
      <c r="AJ29" s="777">
        <v>0</v>
      </c>
      <c r="AK29" s="778">
        <f t="shared" si="2"/>
        <v>1</v>
      </c>
      <c r="AL29" s="780" t="s">
        <v>1441</v>
      </c>
      <c r="AM29" s="781">
        <f t="shared" si="3"/>
        <v>0</v>
      </c>
    </row>
    <row r="30" spans="1:45" s="782" customFormat="1">
      <c r="A30" s="772" t="s">
        <v>539</v>
      </c>
      <c r="B30" s="867" t="s">
        <v>1135</v>
      </c>
      <c r="C30" s="876" t="s">
        <v>35</v>
      </c>
      <c r="D30" s="884"/>
      <c r="E30" s="962"/>
      <c r="F30" s="777"/>
      <c r="G30" s="777"/>
      <c r="H30" s="778"/>
      <c r="I30" s="828"/>
      <c r="J30" s="777"/>
      <c r="K30" s="777"/>
      <c r="L30" s="989"/>
      <c r="M30" s="825">
        <v>15</v>
      </c>
      <c r="N30" s="809"/>
      <c r="O30" s="809"/>
      <c r="Q30" s="809"/>
      <c r="R30" s="809"/>
      <c r="S30" s="989"/>
      <c r="T30" s="809"/>
      <c r="U30" s="809"/>
      <c r="V30" s="809"/>
      <c r="W30" s="809"/>
      <c r="X30" s="809"/>
      <c r="Y30" s="809"/>
      <c r="Z30" s="989"/>
      <c r="AA30" s="809"/>
      <c r="AB30" s="809"/>
      <c r="AC30" s="809"/>
      <c r="AD30" s="809"/>
      <c r="AE30" s="827"/>
      <c r="AF30" s="809"/>
      <c r="AG30" s="960"/>
      <c r="AH30" s="873"/>
      <c r="AI30" s="839">
        <f t="shared" si="4"/>
        <v>15</v>
      </c>
      <c r="AJ30" s="777">
        <v>0</v>
      </c>
      <c r="AK30" s="778">
        <f t="shared" si="2"/>
        <v>15</v>
      </c>
      <c r="AL30" s="780" t="s">
        <v>1445</v>
      </c>
      <c r="AM30" s="781">
        <f t="shared" si="3"/>
        <v>15</v>
      </c>
    </row>
    <row r="31" spans="1:45" s="782" customFormat="1">
      <c r="A31" s="772" t="s">
        <v>540</v>
      </c>
      <c r="B31" s="867" t="s">
        <v>1136</v>
      </c>
      <c r="C31" s="876" t="s">
        <v>63</v>
      </c>
      <c r="D31" s="884"/>
      <c r="E31" s="962"/>
      <c r="F31" s="777"/>
      <c r="G31" s="777"/>
      <c r="H31" s="778"/>
      <c r="I31" s="828"/>
      <c r="J31" s="777"/>
      <c r="K31" s="777"/>
      <c r="L31" s="989"/>
      <c r="M31" s="828"/>
      <c r="N31" s="809"/>
      <c r="O31" s="809"/>
      <c r="P31" s="825">
        <v>0.5</v>
      </c>
      <c r="Q31" s="809"/>
      <c r="R31" s="809"/>
      <c r="S31" s="989"/>
      <c r="T31" s="809"/>
      <c r="U31" s="809"/>
      <c r="V31" s="809"/>
      <c r="W31" s="809"/>
      <c r="X31" s="809"/>
      <c r="Y31" s="809"/>
      <c r="Z31" s="989"/>
      <c r="AA31" s="809"/>
      <c r="AB31" s="809"/>
      <c r="AC31" s="809"/>
      <c r="AD31" s="809"/>
      <c r="AE31" s="827"/>
      <c r="AF31" s="809"/>
      <c r="AG31" s="960"/>
      <c r="AH31" s="873"/>
      <c r="AI31" s="839">
        <f t="shared" si="4"/>
        <v>0.5</v>
      </c>
      <c r="AJ31" s="777">
        <v>0</v>
      </c>
      <c r="AK31" s="778">
        <f t="shared" si="2"/>
        <v>0.5</v>
      </c>
      <c r="AL31" s="780" t="s">
        <v>1441</v>
      </c>
      <c r="AM31" s="781">
        <f t="shared" si="3"/>
        <v>0.5</v>
      </c>
    </row>
    <row r="32" spans="1:45" s="782" customFormat="1">
      <c r="A32" s="772" t="s">
        <v>541</v>
      </c>
      <c r="B32" s="867" t="s">
        <v>1137</v>
      </c>
      <c r="C32" s="876" t="s">
        <v>63</v>
      </c>
      <c r="D32" s="884"/>
      <c r="E32" s="962"/>
      <c r="F32" s="777"/>
      <c r="G32" s="777"/>
      <c r="H32" s="778"/>
      <c r="I32" s="828"/>
      <c r="J32" s="777"/>
      <c r="K32" s="777"/>
      <c r="L32" s="989"/>
      <c r="M32" s="828"/>
      <c r="N32" s="809"/>
      <c r="O32" s="809"/>
      <c r="P32" s="825">
        <v>0.5</v>
      </c>
      <c r="Q32" s="809"/>
      <c r="R32" s="809"/>
      <c r="S32" s="989"/>
      <c r="T32" s="809"/>
      <c r="U32" s="809"/>
      <c r="V32" s="809"/>
      <c r="W32" s="809"/>
      <c r="X32" s="809"/>
      <c r="Y32" s="809"/>
      <c r="Z32" s="989"/>
      <c r="AA32" s="809"/>
      <c r="AB32" s="809"/>
      <c r="AC32" s="809"/>
      <c r="AD32" s="850"/>
      <c r="AE32" s="827"/>
      <c r="AF32" s="809"/>
      <c r="AG32" s="960"/>
      <c r="AH32" s="873"/>
      <c r="AI32" s="839">
        <f t="shared" si="4"/>
        <v>0.5</v>
      </c>
      <c r="AJ32" s="777">
        <v>0</v>
      </c>
      <c r="AK32" s="778">
        <f t="shared" si="2"/>
        <v>0.5</v>
      </c>
      <c r="AL32" s="780" t="s">
        <v>1441</v>
      </c>
      <c r="AM32" s="781">
        <f t="shared" si="3"/>
        <v>0.5</v>
      </c>
    </row>
    <row r="33" spans="1:39" s="782" customFormat="1">
      <c r="A33" s="772" t="s">
        <v>542</v>
      </c>
      <c r="B33" s="867" t="s">
        <v>1138</v>
      </c>
      <c r="C33" s="876" t="s">
        <v>63</v>
      </c>
      <c r="D33" s="884"/>
      <c r="E33" s="962"/>
      <c r="F33" s="777"/>
      <c r="G33" s="777"/>
      <c r="H33" s="778"/>
      <c r="I33" s="828"/>
      <c r="J33" s="777"/>
      <c r="K33" s="777"/>
      <c r="L33" s="989"/>
      <c r="M33" s="828"/>
      <c r="N33" s="809"/>
      <c r="O33" s="809"/>
      <c r="P33" s="777"/>
      <c r="Q33" s="809"/>
      <c r="R33" s="809"/>
      <c r="S33" s="989"/>
      <c r="T33" s="945">
        <v>0.1</v>
      </c>
      <c r="U33" s="809"/>
      <c r="V33" s="809"/>
      <c r="W33" s="809"/>
      <c r="X33" s="809"/>
      <c r="Y33" s="809"/>
      <c r="Z33" s="989"/>
      <c r="AA33" s="945">
        <v>0.15</v>
      </c>
      <c r="AB33" s="809"/>
      <c r="AC33" s="809"/>
      <c r="AD33" s="809"/>
      <c r="AE33" s="827"/>
      <c r="AF33" s="809"/>
      <c r="AG33" s="960"/>
      <c r="AH33" s="873"/>
      <c r="AI33" s="839">
        <f t="shared" si="4"/>
        <v>0.25</v>
      </c>
      <c r="AJ33" s="777">
        <v>0</v>
      </c>
      <c r="AK33" s="778">
        <f t="shared" si="2"/>
        <v>0.25</v>
      </c>
      <c r="AL33" s="780" t="s">
        <v>1441</v>
      </c>
      <c r="AM33" s="781">
        <f t="shared" si="3"/>
        <v>0.75</v>
      </c>
    </row>
    <row r="34" spans="1:39" s="785" customFormat="1" ht="13.8" thickBot="1">
      <c r="A34" s="772" t="s">
        <v>543</v>
      </c>
      <c r="B34" s="867" t="s">
        <v>1139</v>
      </c>
      <c r="C34" s="876" t="s">
        <v>63</v>
      </c>
      <c r="D34" s="777"/>
      <c r="E34" s="960"/>
      <c r="F34" s="777"/>
      <c r="G34" s="779"/>
      <c r="H34" s="783"/>
      <c r="I34" s="874"/>
      <c r="J34" s="779"/>
      <c r="K34" s="779"/>
      <c r="L34" s="989"/>
      <c r="M34" s="874"/>
      <c r="N34" s="809"/>
      <c r="O34" s="809"/>
      <c r="P34" s="779"/>
      <c r="Q34" s="809"/>
      <c r="R34" s="809"/>
      <c r="S34" s="989"/>
      <c r="T34" s="945">
        <v>0.1</v>
      </c>
      <c r="U34" s="809"/>
      <c r="V34" s="809"/>
      <c r="W34" s="809"/>
      <c r="X34" s="809"/>
      <c r="Y34" s="809"/>
      <c r="Z34" s="989"/>
      <c r="AA34" s="945">
        <v>0.15</v>
      </c>
      <c r="AB34" s="809"/>
      <c r="AC34" s="809"/>
      <c r="AD34" s="809"/>
      <c r="AE34" s="827"/>
      <c r="AF34" s="809"/>
      <c r="AG34" s="960"/>
      <c r="AH34" s="873"/>
      <c r="AI34" s="839">
        <f t="shared" si="4"/>
        <v>0.25</v>
      </c>
      <c r="AJ34" s="777">
        <v>0</v>
      </c>
      <c r="AK34" s="778">
        <f t="shared" si="2"/>
        <v>0.25</v>
      </c>
      <c r="AL34" s="784" t="s">
        <v>1441</v>
      </c>
      <c r="AM34" s="781">
        <f t="shared" si="3"/>
        <v>0.75</v>
      </c>
    </row>
    <row r="35" spans="1:39" s="782" customFormat="1">
      <c r="A35" s="870" t="s">
        <v>41</v>
      </c>
      <c r="B35" s="870" t="s">
        <v>1140</v>
      </c>
      <c r="C35" s="880"/>
      <c r="D35" s="795"/>
      <c r="E35" s="981"/>
      <c r="F35" s="778"/>
      <c r="G35" s="778"/>
      <c r="H35" s="778"/>
      <c r="I35" s="777"/>
      <c r="J35" s="777"/>
      <c r="K35" s="777"/>
      <c r="L35" s="989"/>
      <c r="M35" s="809"/>
      <c r="N35" s="809"/>
      <c r="O35" s="809"/>
      <c r="P35" s="809"/>
      <c r="Q35" s="809"/>
      <c r="R35" s="809"/>
      <c r="S35" s="989"/>
      <c r="T35" s="809"/>
      <c r="U35" s="809"/>
      <c r="V35" s="809"/>
      <c r="W35" s="809"/>
      <c r="X35" s="809"/>
      <c r="Y35" s="809"/>
      <c r="Z35" s="989"/>
      <c r="AA35" s="809"/>
      <c r="AB35" s="809"/>
      <c r="AC35" s="809"/>
      <c r="AD35" s="809"/>
      <c r="AE35" s="827"/>
      <c r="AF35" s="809"/>
      <c r="AG35" s="960"/>
      <c r="AH35" s="873"/>
      <c r="AI35" s="839">
        <f t="shared" si="4"/>
        <v>0</v>
      </c>
      <c r="AJ35" s="777">
        <v>0</v>
      </c>
      <c r="AK35" s="778">
        <f t="shared" si="2"/>
        <v>0</v>
      </c>
      <c r="AL35" s="780"/>
      <c r="AM35" s="781">
        <f t="shared" si="3"/>
        <v>0</v>
      </c>
    </row>
    <row r="36" spans="1:39" s="560" customFormat="1" hidden="1">
      <c r="A36" s="492" t="s">
        <v>42</v>
      </c>
      <c r="B36" s="608" t="s">
        <v>1141</v>
      </c>
      <c r="C36" s="679"/>
      <c r="D36" s="580"/>
      <c r="E36" s="981"/>
      <c r="F36" s="581"/>
      <c r="G36" s="581"/>
      <c r="H36" s="581"/>
      <c r="I36" s="949"/>
      <c r="J36" s="949"/>
      <c r="K36" s="949"/>
      <c r="L36" s="989"/>
      <c r="M36" s="575"/>
      <c r="N36" s="575"/>
      <c r="O36" s="575"/>
      <c r="P36" s="575"/>
      <c r="Q36" s="575"/>
      <c r="R36" s="575"/>
      <c r="S36" s="989"/>
      <c r="T36" s="575"/>
      <c r="U36" s="575"/>
      <c r="V36" s="575"/>
      <c r="W36" s="575"/>
      <c r="X36" s="575"/>
      <c r="Y36" s="575"/>
      <c r="Z36" s="989"/>
      <c r="AA36" s="575"/>
      <c r="AB36" s="575"/>
      <c r="AC36" s="575"/>
      <c r="AD36" s="575"/>
      <c r="AE36" s="827"/>
      <c r="AF36" s="575"/>
      <c r="AG36" s="960"/>
      <c r="AH36" s="842"/>
      <c r="AI36" s="839">
        <f t="shared" si="4"/>
        <v>0</v>
      </c>
      <c r="AJ36" s="949">
        <v>0</v>
      </c>
      <c r="AK36" s="581">
        <f t="shared" si="2"/>
        <v>0</v>
      </c>
      <c r="AL36" s="746"/>
      <c r="AM36" s="743">
        <f t="shared" si="3"/>
        <v>0</v>
      </c>
    </row>
    <row r="37" spans="1:39" s="560" customFormat="1" hidden="1">
      <c r="A37" s="607" t="s">
        <v>52</v>
      </c>
      <c r="B37" s="607" t="s">
        <v>45</v>
      </c>
      <c r="C37" s="679"/>
      <c r="D37" s="580"/>
      <c r="E37" s="981"/>
      <c r="F37" s="581"/>
      <c r="G37" s="581"/>
      <c r="H37" s="581"/>
      <c r="I37" s="949"/>
      <c r="J37" s="949"/>
      <c r="K37" s="949"/>
      <c r="L37" s="989"/>
      <c r="M37" s="575"/>
      <c r="N37" s="575"/>
      <c r="O37" s="575"/>
      <c r="P37" s="575"/>
      <c r="Q37" s="575"/>
      <c r="R37" s="575"/>
      <c r="S37" s="989"/>
      <c r="T37" s="575"/>
      <c r="U37" s="575"/>
      <c r="V37" s="575"/>
      <c r="W37" s="575"/>
      <c r="X37" s="575"/>
      <c r="Y37" s="575"/>
      <c r="Z37" s="989"/>
      <c r="AA37" s="575"/>
      <c r="AB37" s="575"/>
      <c r="AC37" s="575"/>
      <c r="AD37" s="575"/>
      <c r="AE37" s="827"/>
      <c r="AF37" s="575"/>
      <c r="AG37" s="960"/>
      <c r="AH37" s="842"/>
      <c r="AI37" s="839">
        <f t="shared" si="4"/>
        <v>0</v>
      </c>
      <c r="AJ37" s="949">
        <v>0</v>
      </c>
      <c r="AK37" s="581">
        <f t="shared" si="2"/>
        <v>0</v>
      </c>
      <c r="AL37" s="746"/>
      <c r="AM37" s="743">
        <f t="shared" si="3"/>
        <v>0</v>
      </c>
    </row>
    <row r="38" spans="1:39" s="560" customFormat="1" hidden="1">
      <c r="A38" s="604" t="s">
        <v>544</v>
      </c>
      <c r="B38" s="604" t="s">
        <v>1142</v>
      </c>
      <c r="C38" s="530" t="s">
        <v>39</v>
      </c>
      <c r="D38" s="580"/>
      <c r="E38" s="981"/>
      <c r="F38" s="581"/>
      <c r="G38" s="581"/>
      <c r="H38" s="581"/>
      <c r="I38" s="949"/>
      <c r="J38" s="949"/>
      <c r="K38" s="949"/>
      <c r="L38" s="989"/>
      <c r="M38" s="575"/>
      <c r="N38" s="575"/>
      <c r="O38" s="575"/>
      <c r="P38" s="575"/>
      <c r="Q38" s="575"/>
      <c r="R38" s="575"/>
      <c r="S38" s="989"/>
      <c r="T38" s="575"/>
      <c r="U38" s="575"/>
      <c r="V38" s="575"/>
      <c r="W38" s="575"/>
      <c r="X38" s="575"/>
      <c r="Y38" s="575"/>
      <c r="Z38" s="989"/>
      <c r="AA38" s="575"/>
      <c r="AB38" s="575"/>
      <c r="AC38" s="575"/>
      <c r="AD38" s="575"/>
      <c r="AE38" s="827"/>
      <c r="AF38" s="575"/>
      <c r="AG38" s="960"/>
      <c r="AH38" s="842"/>
      <c r="AI38" s="839">
        <f t="shared" si="4"/>
        <v>0</v>
      </c>
      <c r="AJ38" s="949">
        <v>0</v>
      </c>
      <c r="AK38" s="581">
        <f t="shared" si="2"/>
        <v>0</v>
      </c>
      <c r="AL38" s="746" t="s">
        <v>1446</v>
      </c>
      <c r="AM38" s="743">
        <f t="shared" si="3"/>
        <v>27.29</v>
      </c>
    </row>
    <row r="39" spans="1:39" s="560" customFormat="1" hidden="1">
      <c r="A39" s="604" t="s">
        <v>545</v>
      </c>
      <c r="B39" s="604" t="s">
        <v>1143</v>
      </c>
      <c r="C39" s="530" t="s">
        <v>39</v>
      </c>
      <c r="D39" s="580"/>
      <c r="E39" s="981"/>
      <c r="F39" s="581"/>
      <c r="G39" s="581"/>
      <c r="H39" s="581"/>
      <c r="I39" s="949"/>
      <c r="J39" s="949"/>
      <c r="K39" s="949"/>
      <c r="L39" s="989"/>
      <c r="M39" s="575"/>
      <c r="N39" s="575"/>
      <c r="O39" s="575"/>
      <c r="P39" s="575"/>
      <c r="Q39" s="575"/>
      <c r="R39" s="575"/>
      <c r="S39" s="989"/>
      <c r="T39" s="575"/>
      <c r="U39" s="575"/>
      <c r="V39" s="575"/>
      <c r="W39" s="575"/>
      <c r="X39" s="575"/>
      <c r="Y39" s="575"/>
      <c r="Z39" s="989"/>
      <c r="AA39" s="575"/>
      <c r="AB39" s="575"/>
      <c r="AC39" s="575"/>
      <c r="AD39" s="575"/>
      <c r="AE39" s="827"/>
      <c r="AF39" s="575"/>
      <c r="AG39" s="960"/>
      <c r="AH39" s="842"/>
      <c r="AI39" s="839">
        <f t="shared" si="4"/>
        <v>0</v>
      </c>
      <c r="AJ39" s="949">
        <v>0</v>
      </c>
      <c r="AK39" s="581">
        <f t="shared" si="2"/>
        <v>0</v>
      </c>
      <c r="AL39" s="746" t="s">
        <v>1447</v>
      </c>
      <c r="AM39" s="743">
        <f t="shared" si="3"/>
        <v>8.75</v>
      </c>
    </row>
    <row r="40" spans="1:39" s="560" customFormat="1" hidden="1">
      <c r="A40" s="604" t="s">
        <v>546</v>
      </c>
      <c r="B40" s="604" t="s">
        <v>1144</v>
      </c>
      <c r="C40" s="530" t="s">
        <v>39</v>
      </c>
      <c r="D40" s="580"/>
      <c r="E40" s="981"/>
      <c r="F40" s="581"/>
      <c r="G40" s="581"/>
      <c r="H40" s="581"/>
      <c r="I40" s="949"/>
      <c r="J40" s="949"/>
      <c r="K40" s="949"/>
      <c r="L40" s="989"/>
      <c r="M40" s="575"/>
      <c r="N40" s="575"/>
      <c r="O40" s="575"/>
      <c r="P40" s="575"/>
      <c r="Q40" s="575"/>
      <c r="R40" s="575"/>
      <c r="S40" s="989"/>
      <c r="T40" s="575"/>
      <c r="U40" s="575"/>
      <c r="V40" s="575"/>
      <c r="W40" s="575"/>
      <c r="X40" s="575"/>
      <c r="Y40" s="575"/>
      <c r="Z40" s="989"/>
      <c r="AA40" s="575"/>
      <c r="AB40" s="575"/>
      <c r="AC40" s="575"/>
      <c r="AD40" s="575"/>
      <c r="AE40" s="827"/>
      <c r="AF40" s="575"/>
      <c r="AG40" s="960"/>
      <c r="AH40" s="842"/>
      <c r="AI40" s="839">
        <f t="shared" si="4"/>
        <v>0</v>
      </c>
      <c r="AJ40" s="949">
        <v>0</v>
      </c>
      <c r="AK40" s="581">
        <f t="shared" si="2"/>
        <v>0</v>
      </c>
      <c r="AL40" s="746" t="s">
        <v>1448</v>
      </c>
      <c r="AM40" s="743">
        <f t="shared" si="3"/>
        <v>13.99</v>
      </c>
    </row>
    <row r="41" spans="1:39" s="560" customFormat="1" hidden="1">
      <c r="A41" s="604" t="s">
        <v>547</v>
      </c>
      <c r="B41" s="604" t="s">
        <v>1145</v>
      </c>
      <c r="C41" s="530" t="s">
        <v>36</v>
      </c>
      <c r="D41" s="580"/>
      <c r="E41" s="981"/>
      <c r="F41" s="581"/>
      <c r="G41" s="581"/>
      <c r="H41" s="581"/>
      <c r="I41" s="949"/>
      <c r="J41" s="949"/>
      <c r="K41" s="949"/>
      <c r="L41" s="989"/>
      <c r="M41" s="575"/>
      <c r="N41" s="575"/>
      <c r="O41" s="575"/>
      <c r="P41" s="575"/>
      <c r="Q41" s="575"/>
      <c r="R41" s="575"/>
      <c r="S41" s="989"/>
      <c r="T41" s="575"/>
      <c r="U41" s="575"/>
      <c r="V41" s="575"/>
      <c r="W41" s="575"/>
      <c r="X41" s="575"/>
      <c r="Y41" s="575"/>
      <c r="Z41" s="989"/>
      <c r="AA41" s="575"/>
      <c r="AB41" s="575"/>
      <c r="AC41" s="575"/>
      <c r="AD41" s="575"/>
      <c r="AE41" s="827"/>
      <c r="AF41" s="575"/>
      <c r="AG41" s="960"/>
      <c r="AH41" s="842"/>
      <c r="AI41" s="839">
        <f t="shared" si="4"/>
        <v>0</v>
      </c>
      <c r="AJ41" s="949">
        <v>0</v>
      </c>
      <c r="AK41" s="581">
        <f t="shared" si="2"/>
        <v>0</v>
      </c>
      <c r="AL41" s="746" t="s">
        <v>1449</v>
      </c>
      <c r="AM41" s="743">
        <f t="shared" si="3"/>
        <v>26.03</v>
      </c>
    </row>
    <row r="42" spans="1:39" s="579" customFormat="1" ht="11.25" hidden="1" customHeight="1">
      <c r="A42" s="604" t="s">
        <v>548</v>
      </c>
      <c r="B42" s="604" t="s">
        <v>1146</v>
      </c>
      <c r="C42" s="530" t="s">
        <v>39</v>
      </c>
      <c r="D42" s="586"/>
      <c r="E42" s="982"/>
      <c r="F42" s="587"/>
      <c r="G42" s="587"/>
      <c r="H42" s="587"/>
      <c r="I42" s="588"/>
      <c r="J42" s="588"/>
      <c r="K42" s="588"/>
      <c r="L42" s="989"/>
      <c r="M42" s="575"/>
      <c r="N42" s="575"/>
      <c r="O42" s="575"/>
      <c r="P42" s="575"/>
      <c r="Q42" s="575"/>
      <c r="R42" s="575"/>
      <c r="S42" s="989"/>
      <c r="T42" s="575"/>
      <c r="U42" s="575"/>
      <c r="V42" s="575"/>
      <c r="W42" s="575"/>
      <c r="X42" s="575"/>
      <c r="Y42" s="575"/>
      <c r="Z42" s="989"/>
      <c r="AA42" s="575"/>
      <c r="AB42" s="575"/>
      <c r="AC42" s="575"/>
      <c r="AD42" s="575"/>
      <c r="AE42" s="827"/>
      <c r="AF42" s="575"/>
      <c r="AG42" s="960"/>
      <c r="AH42" s="842"/>
      <c r="AI42" s="839">
        <f t="shared" si="4"/>
        <v>0</v>
      </c>
      <c r="AJ42" s="949">
        <v>0</v>
      </c>
      <c r="AK42" s="581">
        <f t="shared" si="2"/>
        <v>0</v>
      </c>
      <c r="AL42" s="747" t="s">
        <v>1450</v>
      </c>
      <c r="AM42" s="743">
        <f t="shared" si="3"/>
        <v>27.56</v>
      </c>
    </row>
    <row r="43" spans="1:39" s="560" customFormat="1" ht="11.25" hidden="1" customHeight="1">
      <c r="A43" s="604" t="s">
        <v>549</v>
      </c>
      <c r="B43" s="604" t="s">
        <v>1147</v>
      </c>
      <c r="C43" s="614" t="s">
        <v>39</v>
      </c>
      <c r="D43" s="580"/>
      <c r="E43" s="981"/>
      <c r="F43" s="581"/>
      <c r="G43" s="581"/>
      <c r="H43" s="581"/>
      <c r="I43" s="949"/>
      <c r="J43" s="949"/>
      <c r="K43" s="949"/>
      <c r="L43" s="989"/>
      <c r="M43" s="575"/>
      <c r="N43" s="575"/>
      <c r="O43" s="575"/>
      <c r="P43" s="575"/>
      <c r="Q43" s="575"/>
      <c r="R43" s="575"/>
      <c r="S43" s="989"/>
      <c r="T43" s="575"/>
      <c r="U43" s="575"/>
      <c r="V43" s="575"/>
      <c r="W43" s="575"/>
      <c r="X43" s="575"/>
      <c r="Y43" s="575"/>
      <c r="Z43" s="989"/>
      <c r="AA43" s="575"/>
      <c r="AB43" s="575"/>
      <c r="AC43" s="575"/>
      <c r="AD43" s="575"/>
      <c r="AE43" s="827"/>
      <c r="AF43" s="575"/>
      <c r="AG43" s="960"/>
      <c r="AH43" s="842"/>
      <c r="AI43" s="839">
        <f t="shared" si="4"/>
        <v>0</v>
      </c>
      <c r="AJ43" s="949">
        <v>0</v>
      </c>
      <c r="AK43" s="581">
        <f t="shared" si="2"/>
        <v>0</v>
      </c>
      <c r="AL43" s="746" t="s">
        <v>1450</v>
      </c>
      <c r="AM43" s="743">
        <f t="shared" si="3"/>
        <v>27.56</v>
      </c>
    </row>
    <row r="44" spans="1:39" s="560" customFormat="1" ht="11.25" hidden="1" customHeight="1">
      <c r="A44" s="607" t="s">
        <v>550</v>
      </c>
      <c r="B44" s="607" t="s">
        <v>1148</v>
      </c>
      <c r="C44" s="679"/>
      <c r="D44" s="580"/>
      <c r="E44" s="981"/>
      <c r="F44" s="581"/>
      <c r="G44" s="581"/>
      <c r="H44" s="581"/>
      <c r="I44" s="949"/>
      <c r="J44" s="949"/>
      <c r="K44" s="949"/>
      <c r="L44" s="989"/>
      <c r="M44" s="575"/>
      <c r="N44" s="575"/>
      <c r="O44" s="575"/>
      <c r="P44" s="575"/>
      <c r="Q44" s="575"/>
      <c r="R44" s="575"/>
      <c r="S44" s="989"/>
      <c r="T44" s="575"/>
      <c r="U44" s="575"/>
      <c r="V44" s="575"/>
      <c r="W44" s="575"/>
      <c r="X44" s="575"/>
      <c r="Y44" s="575"/>
      <c r="Z44" s="989"/>
      <c r="AA44" s="575"/>
      <c r="AB44" s="575"/>
      <c r="AC44" s="575"/>
      <c r="AD44" s="575"/>
      <c r="AE44" s="827"/>
      <c r="AF44" s="575"/>
      <c r="AG44" s="960"/>
      <c r="AH44" s="842"/>
      <c r="AI44" s="839">
        <f t="shared" si="4"/>
        <v>0</v>
      </c>
      <c r="AJ44" s="949">
        <v>0</v>
      </c>
      <c r="AK44" s="581">
        <f t="shared" si="2"/>
        <v>0</v>
      </c>
      <c r="AL44" s="746"/>
      <c r="AM44" s="743">
        <f t="shared" si="3"/>
        <v>0</v>
      </c>
    </row>
    <row r="45" spans="1:39" s="560" customFormat="1" ht="11.25" hidden="1" customHeight="1">
      <c r="A45" s="604" t="s">
        <v>551</v>
      </c>
      <c r="B45" s="604" t="s">
        <v>1149</v>
      </c>
      <c r="C45" s="530" t="s">
        <v>39</v>
      </c>
      <c r="D45" s="580"/>
      <c r="E45" s="981"/>
      <c r="F45" s="581"/>
      <c r="G45" s="581"/>
      <c r="H45" s="581"/>
      <c r="I45" s="949"/>
      <c r="J45" s="949"/>
      <c r="K45" s="949"/>
      <c r="L45" s="989"/>
      <c r="M45" s="575"/>
      <c r="N45" s="575"/>
      <c r="O45" s="575"/>
      <c r="P45" s="575"/>
      <c r="Q45" s="575"/>
      <c r="R45" s="575"/>
      <c r="S45" s="989"/>
      <c r="T45" s="575"/>
      <c r="U45" s="575"/>
      <c r="V45" s="575"/>
      <c r="W45" s="575"/>
      <c r="X45" s="575"/>
      <c r="Y45" s="575"/>
      <c r="Z45" s="989"/>
      <c r="AA45" s="575"/>
      <c r="AB45" s="575"/>
      <c r="AC45" s="575"/>
      <c r="AD45" s="575"/>
      <c r="AE45" s="827"/>
      <c r="AF45" s="575"/>
      <c r="AG45" s="960"/>
      <c r="AH45" s="842"/>
      <c r="AI45" s="839">
        <f t="shared" si="4"/>
        <v>0</v>
      </c>
      <c r="AJ45" s="949">
        <v>0</v>
      </c>
      <c r="AK45" s="581">
        <f t="shared" si="2"/>
        <v>0</v>
      </c>
      <c r="AL45" s="746" t="s">
        <v>1451</v>
      </c>
      <c r="AM45" s="743">
        <f t="shared" si="3"/>
        <v>7.7</v>
      </c>
    </row>
    <row r="46" spans="1:39" s="560" customFormat="1" hidden="1">
      <c r="A46" s="604" t="s">
        <v>552</v>
      </c>
      <c r="B46" s="604" t="s">
        <v>1150</v>
      </c>
      <c r="C46" s="530" t="s">
        <v>36</v>
      </c>
      <c r="D46" s="580"/>
      <c r="E46" s="981"/>
      <c r="F46" s="581"/>
      <c r="G46" s="581"/>
      <c r="H46" s="581"/>
      <c r="I46" s="949"/>
      <c r="J46" s="949"/>
      <c r="K46" s="949"/>
      <c r="L46" s="989"/>
      <c r="M46" s="575"/>
      <c r="N46" s="575"/>
      <c r="O46" s="575"/>
      <c r="P46" s="575"/>
      <c r="Q46" s="575"/>
      <c r="R46" s="575"/>
      <c r="S46" s="989"/>
      <c r="T46" s="575"/>
      <c r="U46" s="575"/>
      <c r="V46" s="575"/>
      <c r="W46" s="575"/>
      <c r="X46" s="575"/>
      <c r="Y46" s="575"/>
      <c r="Z46" s="989"/>
      <c r="AA46" s="575"/>
      <c r="AB46" s="575"/>
      <c r="AC46" s="575"/>
      <c r="AD46" s="575"/>
      <c r="AE46" s="827"/>
      <c r="AF46" s="575"/>
      <c r="AG46" s="960"/>
      <c r="AH46" s="842"/>
      <c r="AI46" s="839">
        <f t="shared" si="4"/>
        <v>0</v>
      </c>
      <c r="AJ46" s="949">
        <v>0</v>
      </c>
      <c r="AK46" s="581">
        <f t="shared" si="2"/>
        <v>0</v>
      </c>
      <c r="AL46" s="746" t="s">
        <v>1452</v>
      </c>
      <c r="AM46" s="743">
        <f t="shared" si="3"/>
        <v>13.46</v>
      </c>
    </row>
    <row r="47" spans="1:39" s="560" customFormat="1" hidden="1">
      <c r="A47" s="604" t="s">
        <v>553</v>
      </c>
      <c r="B47" s="604" t="s">
        <v>1151</v>
      </c>
      <c r="C47" s="530" t="s">
        <v>39</v>
      </c>
      <c r="D47" s="580"/>
      <c r="E47" s="981"/>
      <c r="F47" s="581"/>
      <c r="G47" s="581"/>
      <c r="H47" s="581"/>
      <c r="I47" s="949"/>
      <c r="J47" s="949"/>
      <c r="K47" s="949"/>
      <c r="L47" s="989"/>
      <c r="M47" s="575"/>
      <c r="N47" s="575"/>
      <c r="O47" s="575"/>
      <c r="P47" s="575"/>
      <c r="Q47" s="575"/>
      <c r="R47" s="575"/>
      <c r="S47" s="989"/>
      <c r="T47" s="575"/>
      <c r="U47" s="575"/>
      <c r="V47" s="575"/>
      <c r="W47" s="575"/>
      <c r="X47" s="575"/>
      <c r="Y47" s="575"/>
      <c r="Z47" s="989"/>
      <c r="AA47" s="575"/>
      <c r="AB47" s="575"/>
      <c r="AC47" s="575"/>
      <c r="AD47" s="575"/>
      <c r="AE47" s="827"/>
      <c r="AF47" s="575"/>
      <c r="AG47" s="960"/>
      <c r="AH47" s="842"/>
      <c r="AI47" s="839">
        <f t="shared" si="4"/>
        <v>0</v>
      </c>
      <c r="AJ47" s="949">
        <v>0</v>
      </c>
      <c r="AK47" s="581">
        <f t="shared" si="2"/>
        <v>0</v>
      </c>
      <c r="AL47" s="746" t="s">
        <v>1453</v>
      </c>
      <c r="AM47" s="743">
        <f t="shared" si="3"/>
        <v>2.97</v>
      </c>
    </row>
    <row r="48" spans="1:39" s="560" customFormat="1" hidden="1">
      <c r="A48" s="604" t="s">
        <v>554</v>
      </c>
      <c r="B48" s="604" t="s">
        <v>1152</v>
      </c>
      <c r="C48" s="530" t="s">
        <v>39</v>
      </c>
      <c r="D48" s="580"/>
      <c r="E48" s="981"/>
      <c r="F48" s="581"/>
      <c r="G48" s="581"/>
      <c r="H48" s="581"/>
      <c r="I48" s="949"/>
      <c r="J48" s="949"/>
      <c r="K48" s="949"/>
      <c r="L48" s="989"/>
      <c r="M48" s="575"/>
      <c r="N48" s="575"/>
      <c r="O48" s="575"/>
      <c r="P48" s="575"/>
      <c r="Q48" s="575"/>
      <c r="R48" s="575"/>
      <c r="S48" s="989"/>
      <c r="T48" s="575"/>
      <c r="U48" s="575"/>
      <c r="V48" s="575"/>
      <c r="W48" s="575"/>
      <c r="X48" s="575"/>
      <c r="Y48" s="575"/>
      <c r="Z48" s="989"/>
      <c r="AA48" s="575"/>
      <c r="AB48" s="575"/>
      <c r="AC48" s="575"/>
      <c r="AD48" s="575"/>
      <c r="AE48" s="827"/>
      <c r="AF48" s="575"/>
      <c r="AG48" s="960"/>
      <c r="AH48" s="842"/>
      <c r="AI48" s="839">
        <f t="shared" si="4"/>
        <v>0</v>
      </c>
      <c r="AJ48" s="949">
        <v>0</v>
      </c>
      <c r="AK48" s="581">
        <f t="shared" si="2"/>
        <v>0</v>
      </c>
      <c r="AL48" s="746" t="s">
        <v>1454</v>
      </c>
      <c r="AM48" s="743">
        <f t="shared" si="3"/>
        <v>0.84</v>
      </c>
    </row>
    <row r="49" spans="1:39" s="560" customFormat="1" hidden="1">
      <c r="A49" s="604" t="s">
        <v>555</v>
      </c>
      <c r="B49" s="604" t="s">
        <v>1153</v>
      </c>
      <c r="C49" s="530" t="s">
        <v>36</v>
      </c>
      <c r="D49" s="580"/>
      <c r="E49" s="981"/>
      <c r="F49" s="581"/>
      <c r="G49" s="581"/>
      <c r="H49" s="581"/>
      <c r="I49" s="949"/>
      <c r="J49" s="949"/>
      <c r="K49" s="949"/>
      <c r="L49" s="989"/>
      <c r="M49" s="575"/>
      <c r="N49" s="575"/>
      <c r="O49" s="575"/>
      <c r="P49" s="575"/>
      <c r="Q49" s="575"/>
      <c r="R49" s="575"/>
      <c r="S49" s="989"/>
      <c r="T49" s="575"/>
      <c r="U49" s="575"/>
      <c r="V49" s="575"/>
      <c r="W49" s="575"/>
      <c r="X49" s="575"/>
      <c r="Y49" s="575"/>
      <c r="Z49" s="989"/>
      <c r="AA49" s="575"/>
      <c r="AB49" s="575"/>
      <c r="AC49" s="575"/>
      <c r="AD49" s="575"/>
      <c r="AE49" s="827"/>
      <c r="AF49" s="575"/>
      <c r="AG49" s="960"/>
      <c r="AH49" s="842"/>
      <c r="AI49" s="839">
        <f t="shared" si="4"/>
        <v>0</v>
      </c>
      <c r="AJ49" s="949">
        <v>0</v>
      </c>
      <c r="AK49" s="581">
        <f t="shared" si="2"/>
        <v>0</v>
      </c>
      <c r="AL49" s="746" t="s">
        <v>1455</v>
      </c>
      <c r="AM49" s="743">
        <f t="shared" si="3"/>
        <v>23.65</v>
      </c>
    </row>
    <row r="50" spans="1:39" s="560" customFormat="1" hidden="1">
      <c r="A50" s="604" t="s">
        <v>556</v>
      </c>
      <c r="B50" s="604" t="s">
        <v>1154</v>
      </c>
      <c r="C50" s="530" t="s">
        <v>36</v>
      </c>
      <c r="D50" s="580"/>
      <c r="E50" s="981"/>
      <c r="F50" s="581"/>
      <c r="G50" s="581"/>
      <c r="H50" s="581"/>
      <c r="I50" s="949"/>
      <c r="J50" s="949"/>
      <c r="K50" s="949"/>
      <c r="L50" s="989"/>
      <c r="M50" s="575"/>
      <c r="N50" s="575"/>
      <c r="O50" s="575"/>
      <c r="P50" s="575"/>
      <c r="Q50" s="575"/>
      <c r="R50" s="575"/>
      <c r="S50" s="989"/>
      <c r="T50" s="575"/>
      <c r="U50" s="575"/>
      <c r="V50" s="575"/>
      <c r="W50" s="575"/>
      <c r="X50" s="575"/>
      <c r="Y50" s="575"/>
      <c r="Z50" s="989"/>
      <c r="AA50" s="575"/>
      <c r="AB50" s="575"/>
      <c r="AC50" s="575"/>
      <c r="AD50" s="575"/>
      <c r="AE50" s="827"/>
      <c r="AF50" s="575"/>
      <c r="AG50" s="960"/>
      <c r="AH50" s="842"/>
      <c r="AI50" s="839">
        <f t="shared" si="4"/>
        <v>0</v>
      </c>
      <c r="AJ50" s="949">
        <v>0</v>
      </c>
      <c r="AK50" s="581">
        <f t="shared" si="2"/>
        <v>0</v>
      </c>
      <c r="AL50" s="746" t="s">
        <v>1449</v>
      </c>
      <c r="AM50" s="743">
        <f t="shared" si="3"/>
        <v>26.03</v>
      </c>
    </row>
    <row r="51" spans="1:39" s="560" customFormat="1" hidden="1">
      <c r="A51" s="607" t="s">
        <v>557</v>
      </c>
      <c r="B51" s="607" t="s">
        <v>1155</v>
      </c>
      <c r="C51" s="679"/>
      <c r="D51" s="580"/>
      <c r="E51" s="981"/>
      <c r="F51" s="581"/>
      <c r="G51" s="581"/>
      <c r="H51" s="581"/>
      <c r="I51" s="949"/>
      <c r="J51" s="949"/>
      <c r="K51" s="949"/>
      <c r="L51" s="989"/>
      <c r="M51" s="575"/>
      <c r="N51" s="575"/>
      <c r="O51" s="575"/>
      <c r="P51" s="575"/>
      <c r="Q51" s="575"/>
      <c r="R51" s="575"/>
      <c r="S51" s="989"/>
      <c r="T51" s="575"/>
      <c r="U51" s="575"/>
      <c r="V51" s="575"/>
      <c r="W51" s="575"/>
      <c r="X51" s="575"/>
      <c r="Y51" s="575"/>
      <c r="Z51" s="989"/>
      <c r="AA51" s="575"/>
      <c r="AB51" s="575"/>
      <c r="AC51" s="575"/>
      <c r="AD51" s="575"/>
      <c r="AE51" s="827"/>
      <c r="AF51" s="575"/>
      <c r="AG51" s="960"/>
      <c r="AH51" s="842"/>
      <c r="AI51" s="839">
        <f t="shared" si="4"/>
        <v>0</v>
      </c>
      <c r="AJ51" s="949">
        <v>0</v>
      </c>
      <c r="AK51" s="581">
        <f t="shared" si="2"/>
        <v>0</v>
      </c>
      <c r="AL51" s="746"/>
      <c r="AM51" s="743">
        <f t="shared" si="3"/>
        <v>0</v>
      </c>
    </row>
    <row r="52" spans="1:39" s="560" customFormat="1" hidden="1">
      <c r="A52" s="604" t="s">
        <v>558</v>
      </c>
      <c r="B52" s="604" t="s">
        <v>1156</v>
      </c>
      <c r="C52" s="679"/>
      <c r="D52" s="580"/>
      <c r="E52" s="981"/>
      <c r="F52" s="581"/>
      <c r="G52" s="581"/>
      <c r="H52" s="581"/>
      <c r="I52" s="949"/>
      <c r="J52" s="949"/>
      <c r="K52" s="949"/>
      <c r="L52" s="989"/>
      <c r="M52" s="575"/>
      <c r="N52" s="575"/>
      <c r="O52" s="575"/>
      <c r="P52" s="575"/>
      <c r="Q52" s="575"/>
      <c r="R52" s="575"/>
      <c r="S52" s="989"/>
      <c r="T52" s="575"/>
      <c r="U52" s="575"/>
      <c r="V52" s="575"/>
      <c r="W52" s="575"/>
      <c r="X52" s="575"/>
      <c r="Y52" s="575"/>
      <c r="Z52" s="989"/>
      <c r="AA52" s="575"/>
      <c r="AB52" s="575"/>
      <c r="AC52" s="575"/>
      <c r="AD52" s="575"/>
      <c r="AE52" s="827"/>
      <c r="AF52" s="575"/>
      <c r="AG52" s="960"/>
      <c r="AH52" s="842"/>
      <c r="AI52" s="839">
        <f t="shared" si="4"/>
        <v>0</v>
      </c>
      <c r="AJ52" s="949">
        <v>0</v>
      </c>
      <c r="AK52" s="581">
        <f t="shared" si="2"/>
        <v>0</v>
      </c>
      <c r="AL52" s="746"/>
      <c r="AM52" s="743">
        <f t="shared" si="3"/>
        <v>0</v>
      </c>
    </row>
    <row r="53" spans="1:39" s="560" customFormat="1" hidden="1">
      <c r="A53" s="604" t="s">
        <v>559</v>
      </c>
      <c r="B53" s="604" t="s">
        <v>1157</v>
      </c>
      <c r="C53" s="530" t="s">
        <v>39</v>
      </c>
      <c r="D53" s="580"/>
      <c r="E53" s="981"/>
      <c r="F53" s="581"/>
      <c r="G53" s="581"/>
      <c r="H53" s="581"/>
      <c r="I53" s="949"/>
      <c r="J53" s="949"/>
      <c r="K53" s="949"/>
      <c r="L53" s="989"/>
      <c r="M53" s="575"/>
      <c r="N53" s="575"/>
      <c r="O53" s="575"/>
      <c r="P53" s="575"/>
      <c r="Q53" s="575"/>
      <c r="R53" s="575"/>
      <c r="S53" s="989"/>
      <c r="T53" s="575"/>
      <c r="U53" s="575"/>
      <c r="V53" s="575"/>
      <c r="W53" s="575"/>
      <c r="X53" s="575"/>
      <c r="Y53" s="575"/>
      <c r="Z53" s="989"/>
      <c r="AA53" s="575"/>
      <c r="AB53" s="575"/>
      <c r="AC53" s="575"/>
      <c r="AD53" s="575"/>
      <c r="AE53" s="827"/>
      <c r="AF53" s="575"/>
      <c r="AG53" s="960"/>
      <c r="AH53" s="842"/>
      <c r="AI53" s="839">
        <f t="shared" si="4"/>
        <v>0</v>
      </c>
      <c r="AJ53" s="949">
        <v>0</v>
      </c>
      <c r="AK53" s="581">
        <f t="shared" si="2"/>
        <v>0</v>
      </c>
      <c r="AL53" s="746" t="s">
        <v>1456</v>
      </c>
      <c r="AM53" s="743">
        <f t="shared" si="3"/>
        <v>4.6100000000000003</v>
      </c>
    </row>
    <row r="54" spans="1:39" s="560" customFormat="1" hidden="1">
      <c r="A54" s="604" t="s">
        <v>560</v>
      </c>
      <c r="B54" s="604" t="s">
        <v>1158</v>
      </c>
      <c r="C54" s="530" t="s">
        <v>47</v>
      </c>
      <c r="D54" s="580"/>
      <c r="E54" s="981"/>
      <c r="F54" s="581"/>
      <c r="G54" s="581"/>
      <c r="H54" s="581"/>
      <c r="I54" s="949"/>
      <c r="J54" s="949"/>
      <c r="K54" s="949"/>
      <c r="L54" s="989"/>
      <c r="M54" s="575"/>
      <c r="N54" s="575"/>
      <c r="O54" s="575"/>
      <c r="P54" s="575"/>
      <c r="Q54" s="575"/>
      <c r="R54" s="575"/>
      <c r="S54" s="989"/>
      <c r="T54" s="575"/>
      <c r="U54" s="575"/>
      <c r="V54" s="575"/>
      <c r="W54" s="575"/>
      <c r="X54" s="575"/>
      <c r="Y54" s="575"/>
      <c r="Z54" s="989"/>
      <c r="AA54" s="575"/>
      <c r="AB54" s="575"/>
      <c r="AC54" s="575"/>
      <c r="AD54" s="575"/>
      <c r="AE54" s="827"/>
      <c r="AF54" s="575"/>
      <c r="AG54" s="960"/>
      <c r="AH54" s="842"/>
      <c r="AI54" s="839">
        <f t="shared" si="4"/>
        <v>0</v>
      </c>
      <c r="AJ54" s="949">
        <v>0</v>
      </c>
      <c r="AK54" s="581">
        <f t="shared" si="2"/>
        <v>0</v>
      </c>
      <c r="AL54" s="746" t="s">
        <v>1457</v>
      </c>
      <c r="AM54" s="743">
        <f t="shared" si="3"/>
        <v>192.7</v>
      </c>
    </row>
    <row r="55" spans="1:39" s="560" customFormat="1" hidden="1">
      <c r="A55" s="604" t="s">
        <v>561</v>
      </c>
      <c r="B55" s="604" t="s">
        <v>1159</v>
      </c>
      <c r="C55" s="679"/>
      <c r="D55" s="580"/>
      <c r="E55" s="981"/>
      <c r="F55" s="581"/>
      <c r="G55" s="581"/>
      <c r="H55" s="581"/>
      <c r="I55" s="949"/>
      <c r="J55" s="949"/>
      <c r="K55" s="949"/>
      <c r="L55" s="989"/>
      <c r="M55" s="575"/>
      <c r="N55" s="575"/>
      <c r="O55" s="575"/>
      <c r="P55" s="575"/>
      <c r="Q55" s="575"/>
      <c r="R55" s="575"/>
      <c r="S55" s="989"/>
      <c r="T55" s="575"/>
      <c r="U55" s="575"/>
      <c r="V55" s="575"/>
      <c r="W55" s="575"/>
      <c r="X55" s="575"/>
      <c r="Y55" s="575"/>
      <c r="Z55" s="989"/>
      <c r="AA55" s="575"/>
      <c r="AB55" s="575"/>
      <c r="AC55" s="575"/>
      <c r="AD55" s="575"/>
      <c r="AE55" s="827"/>
      <c r="AF55" s="575"/>
      <c r="AG55" s="960"/>
      <c r="AH55" s="842"/>
      <c r="AI55" s="839">
        <f t="shared" si="4"/>
        <v>0</v>
      </c>
      <c r="AJ55" s="949">
        <v>0</v>
      </c>
      <c r="AK55" s="581">
        <f t="shared" si="2"/>
        <v>0</v>
      </c>
      <c r="AL55" s="746"/>
      <c r="AM55" s="743">
        <f t="shared" si="3"/>
        <v>0</v>
      </c>
    </row>
    <row r="56" spans="1:39" s="560" customFormat="1" hidden="1">
      <c r="A56" s="604" t="s">
        <v>562</v>
      </c>
      <c r="B56" s="604" t="s">
        <v>1160</v>
      </c>
      <c r="C56" s="530" t="s">
        <v>39</v>
      </c>
      <c r="D56" s="580"/>
      <c r="E56" s="981"/>
      <c r="F56" s="581"/>
      <c r="G56" s="581"/>
      <c r="H56" s="581"/>
      <c r="I56" s="949"/>
      <c r="J56" s="949"/>
      <c r="K56" s="949"/>
      <c r="L56" s="989"/>
      <c r="M56" s="575"/>
      <c r="N56" s="575"/>
      <c r="O56" s="575"/>
      <c r="P56" s="575"/>
      <c r="Q56" s="575"/>
      <c r="R56" s="575"/>
      <c r="S56" s="989"/>
      <c r="T56" s="575"/>
      <c r="U56" s="575"/>
      <c r="V56" s="575"/>
      <c r="W56" s="575"/>
      <c r="X56" s="575"/>
      <c r="Y56" s="575"/>
      <c r="Z56" s="989"/>
      <c r="AA56" s="575"/>
      <c r="AB56" s="575"/>
      <c r="AC56" s="575"/>
      <c r="AD56" s="575"/>
      <c r="AE56" s="827"/>
      <c r="AF56" s="575"/>
      <c r="AG56" s="960"/>
      <c r="AH56" s="842"/>
      <c r="AI56" s="839">
        <f t="shared" si="4"/>
        <v>0</v>
      </c>
      <c r="AJ56" s="949">
        <v>0</v>
      </c>
      <c r="AK56" s="581">
        <f t="shared" si="2"/>
        <v>0</v>
      </c>
      <c r="AL56" s="746" t="s">
        <v>1458</v>
      </c>
      <c r="AM56" s="743">
        <f t="shared" si="3"/>
        <v>1.93</v>
      </c>
    </row>
    <row r="57" spans="1:39" s="560" customFormat="1" hidden="1">
      <c r="A57" s="604" t="s">
        <v>563</v>
      </c>
      <c r="B57" s="604" t="s">
        <v>1161</v>
      </c>
      <c r="C57" s="530" t="s">
        <v>36</v>
      </c>
      <c r="D57" s="580"/>
      <c r="E57" s="981"/>
      <c r="F57" s="581"/>
      <c r="G57" s="581"/>
      <c r="H57" s="581"/>
      <c r="I57" s="949"/>
      <c r="J57" s="949"/>
      <c r="K57" s="949"/>
      <c r="L57" s="989"/>
      <c r="M57" s="575"/>
      <c r="N57" s="575"/>
      <c r="O57" s="575"/>
      <c r="P57" s="575"/>
      <c r="Q57" s="575"/>
      <c r="R57" s="575"/>
      <c r="S57" s="989"/>
      <c r="T57" s="575"/>
      <c r="U57" s="575"/>
      <c r="V57" s="575"/>
      <c r="W57" s="575"/>
      <c r="X57" s="575"/>
      <c r="Y57" s="575"/>
      <c r="Z57" s="989"/>
      <c r="AA57" s="575"/>
      <c r="AB57" s="575"/>
      <c r="AC57" s="575"/>
      <c r="AD57" s="575"/>
      <c r="AE57" s="827"/>
      <c r="AF57" s="575"/>
      <c r="AG57" s="960"/>
      <c r="AH57" s="842"/>
      <c r="AI57" s="839">
        <f t="shared" si="4"/>
        <v>0</v>
      </c>
      <c r="AJ57" s="949">
        <v>0</v>
      </c>
      <c r="AK57" s="581">
        <f t="shared" si="2"/>
        <v>0</v>
      </c>
      <c r="AL57" s="746" t="s">
        <v>1459</v>
      </c>
      <c r="AM57" s="743">
        <f t="shared" si="3"/>
        <v>15.42</v>
      </c>
    </row>
    <row r="58" spans="1:39" s="579" customFormat="1" hidden="1">
      <c r="A58" s="604" t="s">
        <v>564</v>
      </c>
      <c r="B58" s="604" t="s">
        <v>1162</v>
      </c>
      <c r="C58" s="530" t="s">
        <v>47</v>
      </c>
      <c r="D58" s="586"/>
      <c r="E58" s="982"/>
      <c r="F58" s="587"/>
      <c r="G58" s="587"/>
      <c r="H58" s="587"/>
      <c r="I58" s="588"/>
      <c r="J58" s="588"/>
      <c r="K58" s="588"/>
      <c r="L58" s="989"/>
      <c r="M58" s="575"/>
      <c r="N58" s="575"/>
      <c r="O58" s="575"/>
      <c r="P58" s="575"/>
      <c r="Q58" s="575"/>
      <c r="R58" s="575"/>
      <c r="S58" s="989"/>
      <c r="T58" s="575"/>
      <c r="U58" s="575"/>
      <c r="V58" s="575"/>
      <c r="W58" s="575"/>
      <c r="X58" s="575"/>
      <c r="Y58" s="575"/>
      <c r="Z58" s="989"/>
      <c r="AA58" s="575"/>
      <c r="AB58" s="575"/>
      <c r="AC58" s="575"/>
      <c r="AD58" s="575"/>
      <c r="AE58" s="827"/>
      <c r="AF58" s="575"/>
      <c r="AG58" s="960"/>
      <c r="AH58" s="842"/>
      <c r="AI58" s="839">
        <f t="shared" si="4"/>
        <v>0</v>
      </c>
      <c r="AJ58" s="949">
        <v>0</v>
      </c>
      <c r="AK58" s="581">
        <f t="shared" si="2"/>
        <v>0</v>
      </c>
      <c r="AL58" s="747" t="s">
        <v>1460</v>
      </c>
      <c r="AM58" s="743">
        <f t="shared" si="3"/>
        <v>275.55</v>
      </c>
    </row>
    <row r="59" spans="1:39" s="579" customFormat="1" hidden="1">
      <c r="A59" s="604" t="s">
        <v>565</v>
      </c>
      <c r="B59" s="604" t="s">
        <v>1163</v>
      </c>
      <c r="C59" s="679"/>
      <c r="D59" s="586"/>
      <c r="E59" s="982"/>
      <c r="F59" s="587"/>
      <c r="G59" s="587"/>
      <c r="H59" s="587"/>
      <c r="I59" s="588"/>
      <c r="J59" s="588"/>
      <c r="K59" s="588"/>
      <c r="L59" s="989"/>
      <c r="M59" s="575"/>
      <c r="N59" s="575"/>
      <c r="O59" s="575"/>
      <c r="P59" s="575"/>
      <c r="Q59" s="575"/>
      <c r="R59" s="575"/>
      <c r="S59" s="989"/>
      <c r="T59" s="575"/>
      <c r="U59" s="575"/>
      <c r="V59" s="575"/>
      <c r="W59" s="575"/>
      <c r="X59" s="575"/>
      <c r="Y59" s="575"/>
      <c r="Z59" s="989"/>
      <c r="AA59" s="575"/>
      <c r="AB59" s="575"/>
      <c r="AC59" s="575"/>
      <c r="AD59" s="575"/>
      <c r="AE59" s="827"/>
      <c r="AF59" s="575"/>
      <c r="AG59" s="960"/>
      <c r="AH59" s="842"/>
      <c r="AI59" s="839">
        <f t="shared" si="4"/>
        <v>0</v>
      </c>
      <c r="AJ59" s="949">
        <v>0</v>
      </c>
      <c r="AK59" s="581">
        <f t="shared" si="2"/>
        <v>0</v>
      </c>
      <c r="AL59" s="747"/>
      <c r="AM59" s="743">
        <f t="shared" si="3"/>
        <v>0</v>
      </c>
    </row>
    <row r="60" spans="1:39" s="560" customFormat="1" hidden="1">
      <c r="A60" s="604" t="s">
        <v>566</v>
      </c>
      <c r="B60" s="604" t="s">
        <v>1164</v>
      </c>
      <c r="C60" s="530" t="s">
        <v>39</v>
      </c>
      <c r="D60" s="580"/>
      <c r="E60" s="981"/>
      <c r="F60" s="581"/>
      <c r="G60" s="581"/>
      <c r="H60" s="581"/>
      <c r="I60" s="949"/>
      <c r="J60" s="949"/>
      <c r="K60" s="949"/>
      <c r="L60" s="989"/>
      <c r="M60" s="575"/>
      <c r="N60" s="575"/>
      <c r="O60" s="575"/>
      <c r="P60" s="575"/>
      <c r="Q60" s="575"/>
      <c r="R60" s="575"/>
      <c r="S60" s="989"/>
      <c r="T60" s="575"/>
      <c r="U60" s="575"/>
      <c r="V60" s="575"/>
      <c r="W60" s="575"/>
      <c r="X60" s="575"/>
      <c r="Y60" s="575"/>
      <c r="Z60" s="989"/>
      <c r="AA60" s="575"/>
      <c r="AB60" s="575"/>
      <c r="AC60" s="575"/>
      <c r="AD60" s="575"/>
      <c r="AE60" s="827"/>
      <c r="AF60" s="575"/>
      <c r="AG60" s="960"/>
      <c r="AH60" s="842"/>
      <c r="AI60" s="839">
        <f t="shared" si="4"/>
        <v>0</v>
      </c>
      <c r="AJ60" s="949">
        <v>0</v>
      </c>
      <c r="AK60" s="581">
        <f t="shared" si="2"/>
        <v>0</v>
      </c>
      <c r="AL60" s="746" t="s">
        <v>1461</v>
      </c>
      <c r="AM60" s="743">
        <f t="shared" si="3"/>
        <v>2.83</v>
      </c>
    </row>
    <row r="61" spans="1:39" s="560" customFormat="1" hidden="1">
      <c r="A61" s="604" t="s">
        <v>567</v>
      </c>
      <c r="B61" s="604" t="s">
        <v>1165</v>
      </c>
      <c r="C61" s="530" t="s">
        <v>36</v>
      </c>
      <c r="D61" s="580"/>
      <c r="E61" s="981"/>
      <c r="F61" s="581"/>
      <c r="G61" s="581"/>
      <c r="H61" s="581"/>
      <c r="I61" s="949"/>
      <c r="J61" s="949"/>
      <c r="K61" s="949"/>
      <c r="L61" s="989"/>
      <c r="M61" s="575"/>
      <c r="N61" s="575"/>
      <c r="O61" s="575"/>
      <c r="P61" s="575"/>
      <c r="Q61" s="575"/>
      <c r="R61" s="575"/>
      <c r="S61" s="989"/>
      <c r="T61" s="575"/>
      <c r="U61" s="575"/>
      <c r="V61" s="575"/>
      <c r="W61" s="575"/>
      <c r="X61" s="575"/>
      <c r="Y61" s="575"/>
      <c r="Z61" s="989"/>
      <c r="AA61" s="575"/>
      <c r="AB61" s="575"/>
      <c r="AC61" s="575"/>
      <c r="AD61" s="575"/>
      <c r="AE61" s="827"/>
      <c r="AF61" s="575"/>
      <c r="AG61" s="960"/>
      <c r="AH61" s="842"/>
      <c r="AI61" s="839">
        <f t="shared" si="4"/>
        <v>0</v>
      </c>
      <c r="AJ61" s="949">
        <v>0</v>
      </c>
      <c r="AK61" s="581">
        <f t="shared" si="2"/>
        <v>0</v>
      </c>
      <c r="AL61" s="746" t="s">
        <v>1462</v>
      </c>
      <c r="AM61" s="743">
        <f t="shared" si="3"/>
        <v>40.020000000000003</v>
      </c>
    </row>
    <row r="62" spans="1:39" s="560" customFormat="1" hidden="1">
      <c r="A62" s="604" t="s">
        <v>568</v>
      </c>
      <c r="B62" s="604" t="s">
        <v>1166</v>
      </c>
      <c r="C62" s="530" t="s">
        <v>47</v>
      </c>
      <c r="D62" s="580"/>
      <c r="E62" s="981"/>
      <c r="F62" s="581"/>
      <c r="G62" s="581"/>
      <c r="H62" s="581"/>
      <c r="I62" s="949"/>
      <c r="J62" s="949"/>
      <c r="K62" s="949"/>
      <c r="L62" s="989"/>
      <c r="M62" s="575"/>
      <c r="N62" s="575"/>
      <c r="O62" s="575"/>
      <c r="P62" s="575"/>
      <c r="Q62" s="575"/>
      <c r="R62" s="575"/>
      <c r="S62" s="989"/>
      <c r="T62" s="575"/>
      <c r="U62" s="575"/>
      <c r="V62" s="575"/>
      <c r="W62" s="575"/>
      <c r="X62" s="575"/>
      <c r="Y62" s="575"/>
      <c r="Z62" s="989"/>
      <c r="AA62" s="575"/>
      <c r="AB62" s="575"/>
      <c r="AC62" s="575"/>
      <c r="AD62" s="575"/>
      <c r="AE62" s="827"/>
      <c r="AF62" s="575"/>
      <c r="AG62" s="960"/>
      <c r="AH62" s="842"/>
      <c r="AI62" s="839">
        <f t="shared" si="4"/>
        <v>0</v>
      </c>
      <c r="AJ62" s="949">
        <v>0</v>
      </c>
      <c r="AK62" s="581">
        <f t="shared" si="2"/>
        <v>0</v>
      </c>
      <c r="AL62" s="746" t="s">
        <v>1463</v>
      </c>
      <c r="AM62" s="743">
        <f t="shared" si="3"/>
        <v>444.48</v>
      </c>
    </row>
    <row r="63" spans="1:39" s="560" customFormat="1" hidden="1">
      <c r="A63" s="604" t="s">
        <v>569</v>
      </c>
      <c r="B63" s="604" t="s">
        <v>1167</v>
      </c>
      <c r="C63" s="679"/>
      <c r="D63" s="580"/>
      <c r="E63" s="981"/>
      <c r="F63" s="581"/>
      <c r="G63" s="581"/>
      <c r="H63" s="581"/>
      <c r="I63" s="949"/>
      <c r="J63" s="949"/>
      <c r="K63" s="949"/>
      <c r="L63" s="989"/>
      <c r="M63" s="575"/>
      <c r="N63" s="575"/>
      <c r="O63" s="575"/>
      <c r="P63" s="575"/>
      <c r="Q63" s="575"/>
      <c r="R63" s="575"/>
      <c r="S63" s="989"/>
      <c r="T63" s="575"/>
      <c r="U63" s="575"/>
      <c r="V63" s="575"/>
      <c r="W63" s="575"/>
      <c r="X63" s="575"/>
      <c r="Y63" s="575"/>
      <c r="Z63" s="989"/>
      <c r="AA63" s="575"/>
      <c r="AB63" s="575"/>
      <c r="AC63" s="575"/>
      <c r="AD63" s="575"/>
      <c r="AE63" s="827"/>
      <c r="AF63" s="575"/>
      <c r="AG63" s="960"/>
      <c r="AH63" s="842"/>
      <c r="AI63" s="839">
        <f t="shared" si="4"/>
        <v>0</v>
      </c>
      <c r="AJ63" s="949">
        <v>0</v>
      </c>
      <c r="AK63" s="581">
        <f t="shared" si="2"/>
        <v>0</v>
      </c>
      <c r="AL63" s="746"/>
      <c r="AM63" s="743">
        <f t="shared" si="3"/>
        <v>0</v>
      </c>
    </row>
    <row r="64" spans="1:39" s="560" customFormat="1" hidden="1">
      <c r="A64" s="604" t="s">
        <v>570</v>
      </c>
      <c r="B64" s="604" t="s">
        <v>1168</v>
      </c>
      <c r="C64" s="530" t="s">
        <v>39</v>
      </c>
      <c r="D64" s="580"/>
      <c r="E64" s="981"/>
      <c r="F64" s="581"/>
      <c r="G64" s="581"/>
      <c r="H64" s="581"/>
      <c r="I64" s="949"/>
      <c r="J64" s="949"/>
      <c r="K64" s="949"/>
      <c r="L64" s="989"/>
      <c r="M64" s="575"/>
      <c r="N64" s="575"/>
      <c r="O64" s="575"/>
      <c r="P64" s="575"/>
      <c r="Q64" s="575"/>
      <c r="R64" s="575"/>
      <c r="S64" s="989"/>
      <c r="T64" s="575"/>
      <c r="U64" s="575"/>
      <c r="V64" s="575"/>
      <c r="W64" s="575"/>
      <c r="X64" s="575"/>
      <c r="Y64" s="575"/>
      <c r="Z64" s="989"/>
      <c r="AA64" s="575"/>
      <c r="AB64" s="575"/>
      <c r="AC64" s="575"/>
      <c r="AD64" s="575"/>
      <c r="AE64" s="827"/>
      <c r="AF64" s="575"/>
      <c r="AG64" s="960"/>
      <c r="AH64" s="842"/>
      <c r="AI64" s="839">
        <f t="shared" si="4"/>
        <v>0</v>
      </c>
      <c r="AJ64" s="949">
        <v>0</v>
      </c>
      <c r="AK64" s="581">
        <f t="shared" si="2"/>
        <v>0</v>
      </c>
      <c r="AL64" s="746" t="s">
        <v>1464</v>
      </c>
      <c r="AM64" s="743">
        <f t="shared" si="3"/>
        <v>1.49</v>
      </c>
    </row>
    <row r="65" spans="1:39" s="560" customFormat="1" hidden="1">
      <c r="A65" s="604" t="s">
        <v>571</v>
      </c>
      <c r="B65" s="604" t="s">
        <v>1169</v>
      </c>
      <c r="C65" s="614" t="s">
        <v>36</v>
      </c>
      <c r="D65" s="580"/>
      <c r="E65" s="981"/>
      <c r="F65" s="581"/>
      <c r="G65" s="581"/>
      <c r="H65" s="581"/>
      <c r="I65" s="949"/>
      <c r="J65" s="949"/>
      <c r="K65" s="949"/>
      <c r="L65" s="989"/>
      <c r="M65" s="575"/>
      <c r="N65" s="575"/>
      <c r="O65" s="575"/>
      <c r="P65" s="575"/>
      <c r="Q65" s="575"/>
      <c r="R65" s="575"/>
      <c r="S65" s="989"/>
      <c r="T65" s="575"/>
      <c r="U65" s="575"/>
      <c r="V65" s="575"/>
      <c r="W65" s="575"/>
      <c r="X65" s="575"/>
      <c r="Y65" s="575"/>
      <c r="Z65" s="989"/>
      <c r="AA65" s="575"/>
      <c r="AB65" s="575"/>
      <c r="AC65" s="575"/>
      <c r="AD65" s="575"/>
      <c r="AE65" s="827"/>
      <c r="AF65" s="575"/>
      <c r="AG65" s="960"/>
      <c r="AH65" s="842"/>
      <c r="AI65" s="839">
        <f t="shared" si="4"/>
        <v>0</v>
      </c>
      <c r="AJ65" s="949">
        <v>0</v>
      </c>
      <c r="AK65" s="581">
        <f t="shared" si="2"/>
        <v>0</v>
      </c>
      <c r="AL65" s="746" t="s">
        <v>1465</v>
      </c>
      <c r="AM65" s="743">
        <f t="shared" si="3"/>
        <v>19.71</v>
      </c>
    </row>
    <row r="66" spans="1:39" s="560" customFormat="1" hidden="1">
      <c r="A66" s="604" t="s">
        <v>572</v>
      </c>
      <c r="B66" s="604" t="s">
        <v>1170</v>
      </c>
      <c r="C66" s="530" t="s">
        <v>47</v>
      </c>
      <c r="D66" s="580"/>
      <c r="E66" s="981"/>
      <c r="F66" s="581"/>
      <c r="G66" s="581"/>
      <c r="H66" s="581"/>
      <c r="I66" s="949"/>
      <c r="J66" s="949"/>
      <c r="K66" s="949"/>
      <c r="L66" s="989"/>
      <c r="M66" s="575"/>
      <c r="N66" s="575"/>
      <c r="O66" s="575"/>
      <c r="P66" s="575"/>
      <c r="Q66" s="575"/>
      <c r="R66" s="575"/>
      <c r="S66" s="989"/>
      <c r="T66" s="575"/>
      <c r="U66" s="575"/>
      <c r="V66" s="575"/>
      <c r="W66" s="575"/>
      <c r="X66" s="575"/>
      <c r="Y66" s="575"/>
      <c r="Z66" s="989"/>
      <c r="AA66" s="575"/>
      <c r="AB66" s="575"/>
      <c r="AC66" s="575"/>
      <c r="AD66" s="575"/>
      <c r="AE66" s="827"/>
      <c r="AF66" s="575"/>
      <c r="AG66" s="960"/>
      <c r="AH66" s="842"/>
      <c r="AI66" s="839">
        <f t="shared" si="4"/>
        <v>0</v>
      </c>
      <c r="AJ66" s="949">
        <v>0</v>
      </c>
      <c r="AK66" s="581">
        <f t="shared" si="2"/>
        <v>0</v>
      </c>
      <c r="AL66" s="746" t="s">
        <v>1466</v>
      </c>
      <c r="AM66" s="743">
        <f t="shared" si="3"/>
        <v>659.98</v>
      </c>
    </row>
    <row r="67" spans="1:39" s="560" customFormat="1" hidden="1">
      <c r="A67" s="604" t="s">
        <v>573</v>
      </c>
      <c r="B67" s="604" t="s">
        <v>1171</v>
      </c>
      <c r="C67" s="679"/>
      <c r="D67" s="580"/>
      <c r="E67" s="981"/>
      <c r="F67" s="581"/>
      <c r="G67" s="581"/>
      <c r="H67" s="581"/>
      <c r="I67" s="949"/>
      <c r="J67" s="949"/>
      <c r="K67" s="949"/>
      <c r="L67" s="989"/>
      <c r="M67" s="575"/>
      <c r="N67" s="575"/>
      <c r="O67" s="575"/>
      <c r="P67" s="575"/>
      <c r="Q67" s="575"/>
      <c r="R67" s="575"/>
      <c r="S67" s="989"/>
      <c r="T67" s="575"/>
      <c r="U67" s="575"/>
      <c r="V67" s="575"/>
      <c r="W67" s="575"/>
      <c r="X67" s="575"/>
      <c r="Y67" s="575"/>
      <c r="Z67" s="989"/>
      <c r="AA67" s="575"/>
      <c r="AB67" s="575"/>
      <c r="AC67" s="575"/>
      <c r="AD67" s="575"/>
      <c r="AE67" s="827"/>
      <c r="AF67" s="575"/>
      <c r="AG67" s="960"/>
      <c r="AH67" s="842"/>
      <c r="AI67" s="839">
        <f t="shared" si="4"/>
        <v>0</v>
      </c>
      <c r="AJ67" s="949">
        <v>0</v>
      </c>
      <c r="AK67" s="581">
        <f t="shared" si="2"/>
        <v>0</v>
      </c>
      <c r="AL67" s="746"/>
      <c r="AM67" s="743">
        <f t="shared" si="3"/>
        <v>0</v>
      </c>
    </row>
    <row r="68" spans="1:39" s="560" customFormat="1" hidden="1">
      <c r="A68" s="604" t="s">
        <v>574</v>
      </c>
      <c r="B68" s="604" t="s">
        <v>1172</v>
      </c>
      <c r="C68" s="530" t="s">
        <v>39</v>
      </c>
      <c r="D68" s="580"/>
      <c r="E68" s="981"/>
      <c r="F68" s="581"/>
      <c r="G68" s="581"/>
      <c r="H68" s="581"/>
      <c r="I68" s="949"/>
      <c r="J68" s="949"/>
      <c r="K68" s="949"/>
      <c r="L68" s="989"/>
      <c r="M68" s="575"/>
      <c r="N68" s="575"/>
      <c r="O68" s="575"/>
      <c r="P68" s="575"/>
      <c r="Q68" s="575"/>
      <c r="R68" s="575"/>
      <c r="S68" s="989"/>
      <c r="T68" s="575"/>
      <c r="U68" s="575"/>
      <c r="V68" s="575"/>
      <c r="W68" s="575"/>
      <c r="X68" s="575"/>
      <c r="Y68" s="575"/>
      <c r="Z68" s="989"/>
      <c r="AA68" s="575"/>
      <c r="AB68" s="575"/>
      <c r="AC68" s="575"/>
      <c r="AD68" s="575"/>
      <c r="AE68" s="827"/>
      <c r="AF68" s="575"/>
      <c r="AG68" s="960"/>
      <c r="AH68" s="842"/>
      <c r="AI68" s="839">
        <f t="shared" si="4"/>
        <v>0</v>
      </c>
      <c r="AJ68" s="949">
        <v>0</v>
      </c>
      <c r="AK68" s="581">
        <f t="shared" si="2"/>
        <v>0</v>
      </c>
      <c r="AL68" s="746" t="s">
        <v>1467</v>
      </c>
      <c r="AM68" s="743">
        <f t="shared" si="3"/>
        <v>4.54</v>
      </c>
    </row>
    <row r="69" spans="1:39" s="560" customFormat="1" hidden="1">
      <c r="A69" s="604" t="s">
        <v>575</v>
      </c>
      <c r="B69" s="604" t="s">
        <v>1173</v>
      </c>
      <c r="C69" s="530" t="s">
        <v>36</v>
      </c>
      <c r="D69" s="580"/>
      <c r="E69" s="981"/>
      <c r="F69" s="581"/>
      <c r="G69" s="581"/>
      <c r="H69" s="581"/>
      <c r="I69" s="949"/>
      <c r="J69" s="949"/>
      <c r="K69" s="949"/>
      <c r="L69" s="989"/>
      <c r="M69" s="575"/>
      <c r="N69" s="575"/>
      <c r="O69" s="575"/>
      <c r="P69" s="575"/>
      <c r="Q69" s="575"/>
      <c r="R69" s="575"/>
      <c r="S69" s="989"/>
      <c r="T69" s="575"/>
      <c r="U69" s="575"/>
      <c r="V69" s="575"/>
      <c r="W69" s="575"/>
      <c r="X69" s="575"/>
      <c r="Y69" s="575"/>
      <c r="Z69" s="989"/>
      <c r="AA69" s="575"/>
      <c r="AB69" s="575"/>
      <c r="AC69" s="575"/>
      <c r="AD69" s="575"/>
      <c r="AE69" s="827"/>
      <c r="AF69" s="575"/>
      <c r="AG69" s="960"/>
      <c r="AH69" s="842"/>
      <c r="AI69" s="839">
        <f t="shared" si="4"/>
        <v>0</v>
      </c>
      <c r="AJ69" s="949">
        <v>0</v>
      </c>
      <c r="AK69" s="581">
        <f t="shared" si="2"/>
        <v>0</v>
      </c>
      <c r="AL69" s="746" t="s">
        <v>1468</v>
      </c>
      <c r="AM69" s="743">
        <f t="shared" si="3"/>
        <v>38.93</v>
      </c>
    </row>
    <row r="70" spans="1:39" s="560" customFormat="1" hidden="1">
      <c r="A70" s="604" t="s">
        <v>576</v>
      </c>
      <c r="B70" s="604" t="s">
        <v>1174</v>
      </c>
      <c r="C70" s="530" t="s">
        <v>47</v>
      </c>
      <c r="D70" s="580"/>
      <c r="E70" s="981"/>
      <c r="F70" s="581"/>
      <c r="G70" s="581"/>
      <c r="H70" s="581"/>
      <c r="I70" s="949"/>
      <c r="J70" s="949"/>
      <c r="K70" s="949"/>
      <c r="L70" s="989"/>
      <c r="M70" s="575"/>
      <c r="N70" s="575"/>
      <c r="O70" s="575"/>
      <c r="P70" s="575"/>
      <c r="Q70" s="575"/>
      <c r="R70" s="575"/>
      <c r="S70" s="989"/>
      <c r="T70" s="575"/>
      <c r="U70" s="575"/>
      <c r="V70" s="575"/>
      <c r="W70" s="575"/>
      <c r="X70" s="575"/>
      <c r="Y70" s="575"/>
      <c r="Z70" s="989"/>
      <c r="AA70" s="575"/>
      <c r="AB70" s="575"/>
      <c r="AC70" s="575"/>
      <c r="AD70" s="575"/>
      <c r="AE70" s="827"/>
      <c r="AF70" s="575"/>
      <c r="AG70" s="960"/>
      <c r="AH70" s="842"/>
      <c r="AI70" s="839">
        <f t="shared" si="4"/>
        <v>0</v>
      </c>
      <c r="AJ70" s="949">
        <v>0</v>
      </c>
      <c r="AK70" s="581">
        <f t="shared" si="2"/>
        <v>0</v>
      </c>
      <c r="AL70" s="746" t="s">
        <v>1469</v>
      </c>
      <c r="AM70" s="743">
        <f t="shared" si="3"/>
        <v>563.80999999999995</v>
      </c>
    </row>
    <row r="71" spans="1:39" s="579" customFormat="1" hidden="1">
      <c r="A71" s="604" t="s">
        <v>577</v>
      </c>
      <c r="B71" s="604" t="s">
        <v>1175</v>
      </c>
      <c r="C71" s="679"/>
      <c r="D71" s="586"/>
      <c r="E71" s="982"/>
      <c r="F71" s="587"/>
      <c r="G71" s="587"/>
      <c r="H71" s="587"/>
      <c r="I71" s="588"/>
      <c r="J71" s="588"/>
      <c r="K71" s="588"/>
      <c r="L71" s="989"/>
      <c r="M71" s="575"/>
      <c r="N71" s="575"/>
      <c r="O71" s="575"/>
      <c r="P71" s="575"/>
      <c r="Q71" s="575"/>
      <c r="R71" s="575"/>
      <c r="S71" s="989"/>
      <c r="T71" s="575"/>
      <c r="U71" s="575"/>
      <c r="V71" s="575"/>
      <c r="W71" s="575"/>
      <c r="X71" s="575"/>
      <c r="Y71" s="575"/>
      <c r="Z71" s="989"/>
      <c r="AA71" s="575"/>
      <c r="AB71" s="575"/>
      <c r="AC71" s="575"/>
      <c r="AD71" s="575"/>
      <c r="AE71" s="827"/>
      <c r="AF71" s="575"/>
      <c r="AG71" s="960"/>
      <c r="AH71" s="842"/>
      <c r="AI71" s="839">
        <f t="shared" si="4"/>
        <v>0</v>
      </c>
      <c r="AJ71" s="949">
        <v>0</v>
      </c>
      <c r="AK71" s="581">
        <f t="shared" si="2"/>
        <v>0</v>
      </c>
      <c r="AL71" s="747"/>
      <c r="AM71" s="743">
        <f t="shared" si="3"/>
        <v>0</v>
      </c>
    </row>
    <row r="72" spans="1:39" s="560" customFormat="1" hidden="1">
      <c r="A72" s="604" t="s">
        <v>578</v>
      </c>
      <c r="B72" s="604" t="s">
        <v>1176</v>
      </c>
      <c r="C72" s="530" t="s">
        <v>39</v>
      </c>
      <c r="D72" s="580"/>
      <c r="E72" s="981"/>
      <c r="F72" s="581"/>
      <c r="G72" s="581"/>
      <c r="H72" s="581"/>
      <c r="I72" s="949"/>
      <c r="J72" s="949"/>
      <c r="K72" s="949"/>
      <c r="L72" s="989"/>
      <c r="M72" s="575"/>
      <c r="N72" s="575"/>
      <c r="O72" s="575"/>
      <c r="P72" s="575"/>
      <c r="Q72" s="575"/>
      <c r="R72" s="575"/>
      <c r="S72" s="989"/>
      <c r="T72" s="575"/>
      <c r="U72" s="575"/>
      <c r="V72" s="575"/>
      <c r="W72" s="575"/>
      <c r="X72" s="575"/>
      <c r="Y72" s="575"/>
      <c r="Z72" s="989"/>
      <c r="AA72" s="575"/>
      <c r="AB72" s="575"/>
      <c r="AC72" s="575"/>
      <c r="AD72" s="575"/>
      <c r="AE72" s="827"/>
      <c r="AF72" s="575"/>
      <c r="AG72" s="960"/>
      <c r="AH72" s="842"/>
      <c r="AI72" s="839">
        <f t="shared" si="4"/>
        <v>0</v>
      </c>
      <c r="AJ72" s="949">
        <v>0</v>
      </c>
      <c r="AK72" s="581">
        <f t="shared" si="2"/>
        <v>0</v>
      </c>
      <c r="AL72" s="746" t="s">
        <v>1470</v>
      </c>
      <c r="AM72" s="743">
        <f t="shared" si="3"/>
        <v>3.65</v>
      </c>
    </row>
    <row r="73" spans="1:39" s="560" customFormat="1" hidden="1">
      <c r="A73" s="604" t="s">
        <v>579</v>
      </c>
      <c r="B73" s="604" t="s">
        <v>1177</v>
      </c>
      <c r="C73" s="530" t="s">
        <v>36</v>
      </c>
      <c r="D73" s="580"/>
      <c r="E73" s="981"/>
      <c r="F73" s="581"/>
      <c r="G73" s="581"/>
      <c r="H73" s="581"/>
      <c r="I73" s="949"/>
      <c r="J73" s="949"/>
      <c r="K73" s="949"/>
      <c r="L73" s="989"/>
      <c r="M73" s="575"/>
      <c r="N73" s="575"/>
      <c r="O73" s="575"/>
      <c r="P73" s="575"/>
      <c r="Q73" s="575"/>
      <c r="R73" s="575"/>
      <c r="S73" s="989"/>
      <c r="T73" s="575"/>
      <c r="U73" s="575"/>
      <c r="V73" s="575"/>
      <c r="W73" s="575"/>
      <c r="X73" s="575"/>
      <c r="Y73" s="575"/>
      <c r="Z73" s="989"/>
      <c r="AA73" s="575"/>
      <c r="AB73" s="575"/>
      <c r="AC73" s="575"/>
      <c r="AD73" s="575"/>
      <c r="AE73" s="827"/>
      <c r="AF73" s="575"/>
      <c r="AG73" s="960"/>
      <c r="AH73" s="842"/>
      <c r="AI73" s="839">
        <f t="shared" si="4"/>
        <v>0</v>
      </c>
      <c r="AJ73" s="949">
        <v>0</v>
      </c>
      <c r="AK73" s="581">
        <f t="shared" si="2"/>
        <v>0</v>
      </c>
      <c r="AL73" s="746" t="s">
        <v>1471</v>
      </c>
      <c r="AM73" s="743">
        <f t="shared" si="3"/>
        <v>41.77</v>
      </c>
    </row>
    <row r="74" spans="1:39" s="560" customFormat="1" hidden="1">
      <c r="A74" s="604" t="s">
        <v>580</v>
      </c>
      <c r="B74" s="604" t="s">
        <v>1178</v>
      </c>
      <c r="C74" s="530" t="s">
        <v>47</v>
      </c>
      <c r="D74" s="580"/>
      <c r="E74" s="981"/>
      <c r="F74" s="581"/>
      <c r="G74" s="581"/>
      <c r="H74" s="581"/>
      <c r="I74" s="949"/>
      <c r="J74" s="949"/>
      <c r="K74" s="949"/>
      <c r="L74" s="989"/>
      <c r="M74" s="575"/>
      <c r="N74" s="575"/>
      <c r="O74" s="575"/>
      <c r="P74" s="575"/>
      <c r="Q74" s="575"/>
      <c r="R74" s="575"/>
      <c r="S74" s="989"/>
      <c r="T74" s="575"/>
      <c r="U74" s="575"/>
      <c r="V74" s="575"/>
      <c r="W74" s="575"/>
      <c r="X74" s="575"/>
      <c r="Y74" s="575"/>
      <c r="Z74" s="989"/>
      <c r="AA74" s="575"/>
      <c r="AB74" s="575"/>
      <c r="AC74" s="575"/>
      <c r="AD74" s="575"/>
      <c r="AE74" s="827"/>
      <c r="AF74" s="575"/>
      <c r="AG74" s="960"/>
      <c r="AH74" s="842"/>
      <c r="AI74" s="839">
        <f t="shared" si="4"/>
        <v>0</v>
      </c>
      <c r="AJ74" s="949">
        <v>0</v>
      </c>
      <c r="AK74" s="581">
        <f t="shared" si="2"/>
        <v>0</v>
      </c>
      <c r="AL74" s="746" t="s">
        <v>1472</v>
      </c>
      <c r="AM74" s="743">
        <f t="shared" si="3"/>
        <v>298.24</v>
      </c>
    </row>
    <row r="75" spans="1:39" s="560" customFormat="1" hidden="1">
      <c r="A75" s="604" t="s">
        <v>581</v>
      </c>
      <c r="B75" s="604" t="s">
        <v>1179</v>
      </c>
      <c r="C75" s="614" t="s">
        <v>1436</v>
      </c>
      <c r="D75" s="580"/>
      <c r="E75" s="981"/>
      <c r="F75" s="581"/>
      <c r="G75" s="581"/>
      <c r="H75" s="581"/>
      <c r="I75" s="949"/>
      <c r="J75" s="949"/>
      <c r="K75" s="949"/>
      <c r="L75" s="989"/>
      <c r="M75" s="575"/>
      <c r="N75" s="575"/>
      <c r="O75" s="575"/>
      <c r="P75" s="575"/>
      <c r="Q75" s="575"/>
      <c r="R75" s="575"/>
      <c r="S75" s="989"/>
      <c r="T75" s="575"/>
      <c r="U75" s="575"/>
      <c r="V75" s="575"/>
      <c r="W75" s="575"/>
      <c r="X75" s="575"/>
      <c r="Y75" s="575"/>
      <c r="Z75" s="989"/>
      <c r="AA75" s="575"/>
      <c r="AB75" s="575"/>
      <c r="AC75" s="575"/>
      <c r="AD75" s="575"/>
      <c r="AE75" s="827"/>
      <c r="AF75" s="575"/>
      <c r="AG75" s="960"/>
      <c r="AH75" s="842"/>
      <c r="AI75" s="839">
        <f t="shared" si="4"/>
        <v>0</v>
      </c>
      <c r="AJ75" s="949">
        <v>0</v>
      </c>
      <c r="AK75" s="581">
        <f t="shared" si="2"/>
        <v>0</v>
      </c>
      <c r="AL75" s="746" t="s">
        <v>1473</v>
      </c>
      <c r="AM75" s="743">
        <f t="shared" si="3"/>
        <v>347.95</v>
      </c>
    </row>
    <row r="76" spans="1:39" s="560" customFormat="1" hidden="1">
      <c r="A76" s="604" t="s">
        <v>582</v>
      </c>
      <c r="B76" s="604" t="s">
        <v>1180</v>
      </c>
      <c r="C76" s="679"/>
      <c r="D76" s="580"/>
      <c r="E76" s="981"/>
      <c r="F76" s="581"/>
      <c r="G76" s="581"/>
      <c r="H76" s="581"/>
      <c r="I76" s="949"/>
      <c r="J76" s="949"/>
      <c r="K76" s="949"/>
      <c r="L76" s="989"/>
      <c r="M76" s="575"/>
      <c r="N76" s="575"/>
      <c r="O76" s="575"/>
      <c r="P76" s="575"/>
      <c r="Q76" s="575"/>
      <c r="R76" s="575"/>
      <c r="S76" s="989"/>
      <c r="T76" s="575"/>
      <c r="U76" s="575"/>
      <c r="V76" s="575"/>
      <c r="W76" s="575"/>
      <c r="X76" s="575"/>
      <c r="Y76" s="575"/>
      <c r="Z76" s="989"/>
      <c r="AA76" s="575"/>
      <c r="AB76" s="575"/>
      <c r="AC76" s="575"/>
      <c r="AD76" s="575"/>
      <c r="AE76" s="827"/>
      <c r="AF76" s="575"/>
      <c r="AG76" s="960"/>
      <c r="AH76" s="842"/>
      <c r="AI76" s="839">
        <f t="shared" si="4"/>
        <v>0</v>
      </c>
      <c r="AJ76" s="949">
        <v>0</v>
      </c>
      <c r="AK76" s="581">
        <f t="shared" si="2"/>
        <v>0</v>
      </c>
      <c r="AL76" s="746"/>
      <c r="AM76" s="743">
        <f t="shared" si="3"/>
        <v>0</v>
      </c>
    </row>
    <row r="77" spans="1:39" s="560" customFormat="1" hidden="1">
      <c r="A77" s="604" t="s">
        <v>583</v>
      </c>
      <c r="B77" s="604" t="s">
        <v>1181</v>
      </c>
      <c r="C77" s="530" t="s">
        <v>39</v>
      </c>
      <c r="D77" s="580"/>
      <c r="E77" s="981"/>
      <c r="F77" s="581"/>
      <c r="G77" s="581"/>
      <c r="H77" s="581"/>
      <c r="I77" s="949"/>
      <c r="J77" s="949"/>
      <c r="K77" s="949"/>
      <c r="L77" s="989"/>
      <c r="M77" s="575"/>
      <c r="N77" s="575"/>
      <c r="O77" s="575"/>
      <c r="P77" s="575"/>
      <c r="Q77" s="575"/>
      <c r="R77" s="575"/>
      <c r="S77" s="989"/>
      <c r="T77" s="575"/>
      <c r="U77" s="575"/>
      <c r="V77" s="575"/>
      <c r="W77" s="575"/>
      <c r="X77" s="575"/>
      <c r="Y77" s="575"/>
      <c r="Z77" s="989"/>
      <c r="AA77" s="575"/>
      <c r="AB77" s="575"/>
      <c r="AC77" s="575"/>
      <c r="AD77" s="575"/>
      <c r="AE77" s="827"/>
      <c r="AF77" s="575"/>
      <c r="AG77" s="960"/>
      <c r="AH77" s="842"/>
      <c r="AI77" s="839">
        <f t="shared" si="4"/>
        <v>0</v>
      </c>
      <c r="AJ77" s="949">
        <v>0</v>
      </c>
      <c r="AK77" s="581">
        <f t="shared" si="2"/>
        <v>0</v>
      </c>
      <c r="AL77" s="746" t="s">
        <v>1474</v>
      </c>
      <c r="AM77" s="743">
        <f t="shared" si="3"/>
        <v>1.2</v>
      </c>
    </row>
    <row r="78" spans="1:39" s="560" customFormat="1" hidden="1">
      <c r="A78" s="604" t="s">
        <v>584</v>
      </c>
      <c r="B78" s="604" t="s">
        <v>1182</v>
      </c>
      <c r="C78" s="530" t="s">
        <v>36</v>
      </c>
      <c r="D78" s="580"/>
      <c r="E78" s="981"/>
      <c r="F78" s="581"/>
      <c r="G78" s="581"/>
      <c r="H78" s="581"/>
      <c r="I78" s="949"/>
      <c r="J78" s="949"/>
      <c r="K78" s="949"/>
      <c r="L78" s="989"/>
      <c r="M78" s="575"/>
      <c r="N78" s="575"/>
      <c r="O78" s="575"/>
      <c r="P78" s="575"/>
      <c r="Q78" s="575"/>
      <c r="R78" s="575"/>
      <c r="S78" s="989"/>
      <c r="T78" s="575"/>
      <c r="U78" s="575"/>
      <c r="V78" s="575"/>
      <c r="W78" s="575"/>
      <c r="X78" s="575"/>
      <c r="Y78" s="575"/>
      <c r="Z78" s="989"/>
      <c r="AA78" s="575"/>
      <c r="AB78" s="575"/>
      <c r="AC78" s="575"/>
      <c r="AD78" s="575"/>
      <c r="AE78" s="827"/>
      <c r="AF78" s="575"/>
      <c r="AG78" s="960"/>
      <c r="AH78" s="842"/>
      <c r="AI78" s="839">
        <f t="shared" si="4"/>
        <v>0</v>
      </c>
      <c r="AJ78" s="949">
        <v>0</v>
      </c>
      <c r="AK78" s="581">
        <f t="shared" ref="AK78:AK141" si="5">AI78+AJ78</f>
        <v>0</v>
      </c>
      <c r="AL78" s="746" t="s">
        <v>1475</v>
      </c>
      <c r="AM78" s="743">
        <f t="shared" ref="AM78:AM141" si="6">AL78-AK78</f>
        <v>16</v>
      </c>
    </row>
    <row r="79" spans="1:39" s="560" customFormat="1" hidden="1">
      <c r="A79" s="604" t="s">
        <v>585</v>
      </c>
      <c r="B79" s="604" t="s">
        <v>1183</v>
      </c>
      <c r="C79" s="530" t="s">
        <v>47</v>
      </c>
      <c r="D79" s="580"/>
      <c r="E79" s="981"/>
      <c r="F79" s="581"/>
      <c r="G79" s="581"/>
      <c r="H79" s="581"/>
      <c r="I79" s="949"/>
      <c r="J79" s="949"/>
      <c r="K79" s="949"/>
      <c r="L79" s="989"/>
      <c r="M79" s="575"/>
      <c r="N79" s="575"/>
      <c r="O79" s="575"/>
      <c r="P79" s="575"/>
      <c r="Q79" s="575"/>
      <c r="R79" s="575"/>
      <c r="S79" s="989"/>
      <c r="T79" s="575"/>
      <c r="U79" s="575"/>
      <c r="V79" s="575"/>
      <c r="W79" s="575"/>
      <c r="X79" s="575"/>
      <c r="Y79" s="575"/>
      <c r="Z79" s="989"/>
      <c r="AA79" s="575"/>
      <c r="AB79" s="575"/>
      <c r="AC79" s="575"/>
      <c r="AD79" s="575"/>
      <c r="AE79" s="827"/>
      <c r="AF79" s="575"/>
      <c r="AG79" s="960"/>
      <c r="AH79" s="842"/>
      <c r="AI79" s="839">
        <f t="shared" ref="AI79:AI142" si="7">ROUND((SUM(D79:AH79)),2)</f>
        <v>0</v>
      </c>
      <c r="AJ79" s="949">
        <v>0</v>
      </c>
      <c r="AK79" s="581">
        <f t="shared" si="5"/>
        <v>0</v>
      </c>
      <c r="AL79" s="746" t="s">
        <v>1476</v>
      </c>
      <c r="AM79" s="743">
        <f t="shared" si="6"/>
        <v>124.05</v>
      </c>
    </row>
    <row r="80" spans="1:39" s="560" customFormat="1" hidden="1">
      <c r="A80" s="607" t="s">
        <v>586</v>
      </c>
      <c r="B80" s="607" t="s">
        <v>1184</v>
      </c>
      <c r="C80" s="679"/>
      <c r="D80" s="580"/>
      <c r="E80" s="981"/>
      <c r="F80" s="581"/>
      <c r="G80" s="581"/>
      <c r="H80" s="581"/>
      <c r="I80" s="949"/>
      <c r="J80" s="949"/>
      <c r="K80" s="949"/>
      <c r="L80" s="989"/>
      <c r="M80" s="575"/>
      <c r="N80" s="575"/>
      <c r="O80" s="575"/>
      <c r="P80" s="575"/>
      <c r="Q80" s="575"/>
      <c r="R80" s="575"/>
      <c r="S80" s="989"/>
      <c r="T80" s="575"/>
      <c r="U80" s="575"/>
      <c r="V80" s="575"/>
      <c r="W80" s="575"/>
      <c r="X80" s="575"/>
      <c r="Y80" s="575"/>
      <c r="Z80" s="989"/>
      <c r="AA80" s="575"/>
      <c r="AB80" s="575"/>
      <c r="AC80" s="575"/>
      <c r="AD80" s="575"/>
      <c r="AE80" s="827"/>
      <c r="AF80" s="575"/>
      <c r="AG80" s="960"/>
      <c r="AH80" s="842"/>
      <c r="AI80" s="839">
        <f t="shared" si="7"/>
        <v>0</v>
      </c>
      <c r="AJ80" s="949">
        <v>0</v>
      </c>
      <c r="AK80" s="581">
        <f t="shared" si="5"/>
        <v>0</v>
      </c>
      <c r="AL80" s="746"/>
      <c r="AM80" s="743">
        <f t="shared" si="6"/>
        <v>0</v>
      </c>
    </row>
    <row r="81" spans="1:39" s="560" customFormat="1" hidden="1">
      <c r="A81" s="604" t="s">
        <v>587</v>
      </c>
      <c r="B81" s="604" t="s">
        <v>1185</v>
      </c>
      <c r="C81" s="530" t="s">
        <v>37</v>
      </c>
      <c r="D81" s="580"/>
      <c r="E81" s="981"/>
      <c r="F81" s="581"/>
      <c r="G81" s="581"/>
      <c r="H81" s="581"/>
      <c r="I81" s="949"/>
      <c r="J81" s="949"/>
      <c r="K81" s="949"/>
      <c r="L81" s="989"/>
      <c r="M81" s="575"/>
      <c r="N81" s="575"/>
      <c r="O81" s="575"/>
      <c r="P81" s="575"/>
      <c r="Q81" s="575"/>
      <c r="R81" s="575"/>
      <c r="S81" s="989"/>
      <c r="T81" s="575"/>
      <c r="U81" s="575"/>
      <c r="V81" s="575"/>
      <c r="W81" s="575"/>
      <c r="X81" s="575"/>
      <c r="Y81" s="575"/>
      <c r="Z81" s="989"/>
      <c r="AA81" s="575"/>
      <c r="AB81" s="575"/>
      <c r="AC81" s="575"/>
      <c r="AD81" s="575"/>
      <c r="AE81" s="827"/>
      <c r="AF81" s="575"/>
      <c r="AG81" s="960"/>
      <c r="AH81" s="842"/>
      <c r="AI81" s="839">
        <f t="shared" si="7"/>
        <v>0</v>
      </c>
      <c r="AJ81" s="949">
        <v>0</v>
      </c>
      <c r="AK81" s="581">
        <f t="shared" si="5"/>
        <v>0</v>
      </c>
      <c r="AL81" s="746" t="s">
        <v>1477</v>
      </c>
      <c r="AM81" s="743">
        <f t="shared" si="6"/>
        <v>59.04</v>
      </c>
    </row>
    <row r="82" spans="1:39" s="560" customFormat="1" hidden="1">
      <c r="A82" s="607" t="s">
        <v>588</v>
      </c>
      <c r="B82" s="607" t="s">
        <v>1186</v>
      </c>
      <c r="C82" s="690"/>
      <c r="D82" s="580"/>
      <c r="E82" s="981"/>
      <c r="F82" s="581"/>
      <c r="G82" s="581"/>
      <c r="H82" s="581"/>
      <c r="I82" s="949"/>
      <c r="J82" s="949"/>
      <c r="K82" s="949"/>
      <c r="L82" s="989"/>
      <c r="M82" s="575"/>
      <c r="N82" s="575"/>
      <c r="O82" s="575"/>
      <c r="P82" s="575"/>
      <c r="Q82" s="575"/>
      <c r="R82" s="575"/>
      <c r="S82" s="989"/>
      <c r="T82" s="575"/>
      <c r="U82" s="575"/>
      <c r="V82" s="575"/>
      <c r="W82" s="575"/>
      <c r="X82" s="575"/>
      <c r="Y82" s="575"/>
      <c r="Z82" s="989"/>
      <c r="AA82" s="575"/>
      <c r="AB82" s="575"/>
      <c r="AC82" s="575"/>
      <c r="AD82" s="575"/>
      <c r="AE82" s="827"/>
      <c r="AF82" s="575"/>
      <c r="AG82" s="960"/>
      <c r="AH82" s="842"/>
      <c r="AI82" s="839">
        <f t="shared" si="7"/>
        <v>0</v>
      </c>
      <c r="AJ82" s="949">
        <v>0</v>
      </c>
      <c r="AK82" s="581">
        <f t="shared" si="5"/>
        <v>0</v>
      </c>
      <c r="AL82" s="746"/>
      <c r="AM82" s="743">
        <f t="shared" si="6"/>
        <v>0</v>
      </c>
    </row>
    <row r="83" spans="1:39" s="560" customFormat="1" hidden="1">
      <c r="A83" s="604" t="s">
        <v>589</v>
      </c>
      <c r="B83" s="604" t="s">
        <v>1187</v>
      </c>
      <c r="C83" s="530" t="s">
        <v>37</v>
      </c>
      <c r="D83" s="580"/>
      <c r="E83" s="981"/>
      <c r="F83" s="581"/>
      <c r="G83" s="581"/>
      <c r="H83" s="581"/>
      <c r="I83" s="949"/>
      <c r="J83" s="949"/>
      <c r="K83" s="949"/>
      <c r="L83" s="989"/>
      <c r="M83" s="575"/>
      <c r="N83" s="575"/>
      <c r="O83" s="575"/>
      <c r="P83" s="575"/>
      <c r="Q83" s="575"/>
      <c r="R83" s="575"/>
      <c r="S83" s="989"/>
      <c r="T83" s="575"/>
      <c r="U83" s="575"/>
      <c r="V83" s="575"/>
      <c r="W83" s="575"/>
      <c r="X83" s="575"/>
      <c r="Y83" s="575"/>
      <c r="Z83" s="989"/>
      <c r="AA83" s="575"/>
      <c r="AB83" s="575"/>
      <c r="AC83" s="575"/>
      <c r="AD83" s="575"/>
      <c r="AE83" s="827"/>
      <c r="AF83" s="575"/>
      <c r="AG83" s="960"/>
      <c r="AH83" s="842"/>
      <c r="AI83" s="839">
        <f t="shared" si="7"/>
        <v>0</v>
      </c>
      <c r="AJ83" s="949">
        <v>0</v>
      </c>
      <c r="AK83" s="581">
        <f t="shared" si="5"/>
        <v>0</v>
      </c>
      <c r="AL83" s="746" t="s">
        <v>1478</v>
      </c>
      <c r="AM83" s="743">
        <f t="shared" si="6"/>
        <v>100.3</v>
      </c>
    </row>
    <row r="84" spans="1:39" s="579" customFormat="1" hidden="1">
      <c r="A84" s="604" t="s">
        <v>590</v>
      </c>
      <c r="B84" s="604" t="s">
        <v>224</v>
      </c>
      <c r="C84" s="530" t="s">
        <v>1436</v>
      </c>
      <c r="D84" s="586"/>
      <c r="E84" s="982"/>
      <c r="F84" s="587"/>
      <c r="G84" s="587"/>
      <c r="H84" s="587"/>
      <c r="I84" s="588"/>
      <c r="J84" s="588"/>
      <c r="K84" s="588"/>
      <c r="L84" s="989"/>
      <c r="M84" s="575"/>
      <c r="N84" s="575"/>
      <c r="O84" s="575"/>
      <c r="P84" s="575"/>
      <c r="Q84" s="575"/>
      <c r="R84" s="575"/>
      <c r="S84" s="989"/>
      <c r="T84" s="575"/>
      <c r="U84" s="575"/>
      <c r="V84" s="575"/>
      <c r="W84" s="575"/>
      <c r="X84" s="575"/>
      <c r="Y84" s="575"/>
      <c r="Z84" s="989"/>
      <c r="AA84" s="575"/>
      <c r="AB84" s="575"/>
      <c r="AC84" s="575"/>
      <c r="AD84" s="575"/>
      <c r="AE84" s="827"/>
      <c r="AF84" s="575"/>
      <c r="AG84" s="960"/>
      <c r="AH84" s="842"/>
      <c r="AI84" s="839">
        <f t="shared" si="7"/>
        <v>0</v>
      </c>
      <c r="AJ84" s="949">
        <v>0</v>
      </c>
      <c r="AK84" s="581">
        <f t="shared" si="5"/>
        <v>0</v>
      </c>
      <c r="AL84" s="747" t="s">
        <v>1479</v>
      </c>
      <c r="AM84" s="743">
        <f t="shared" si="6"/>
        <v>15</v>
      </c>
    </row>
    <row r="85" spans="1:39" s="782" customFormat="1">
      <c r="A85" s="868" t="s">
        <v>43</v>
      </c>
      <c r="B85" s="869" t="s">
        <v>1188</v>
      </c>
      <c r="C85" s="880"/>
      <c r="D85" s="795"/>
      <c r="E85" s="981"/>
      <c r="F85" s="778"/>
      <c r="G85" s="778"/>
      <c r="H85" s="778"/>
      <c r="I85" s="777"/>
      <c r="J85" s="777"/>
      <c r="K85" s="777"/>
      <c r="L85" s="989"/>
      <c r="M85" s="809"/>
      <c r="N85" s="809"/>
      <c r="O85" s="809"/>
      <c r="P85" s="809"/>
      <c r="Q85" s="809"/>
      <c r="R85" s="809"/>
      <c r="S85" s="989"/>
      <c r="T85" s="809"/>
      <c r="U85" s="809"/>
      <c r="V85" s="809"/>
      <c r="W85" s="809"/>
      <c r="X85" s="809"/>
      <c r="Y85" s="809"/>
      <c r="Z85" s="989"/>
      <c r="AA85" s="809"/>
      <c r="AB85" s="809"/>
      <c r="AC85" s="809"/>
      <c r="AD85" s="809"/>
      <c r="AE85" s="827"/>
      <c r="AF85" s="809"/>
      <c r="AG85" s="960"/>
      <c r="AH85" s="873"/>
      <c r="AI85" s="839">
        <f t="shared" si="7"/>
        <v>0</v>
      </c>
      <c r="AJ85" s="777">
        <v>0</v>
      </c>
      <c r="AK85" s="778">
        <f t="shared" si="5"/>
        <v>0</v>
      </c>
      <c r="AL85" s="780"/>
      <c r="AM85" s="781">
        <f t="shared" si="6"/>
        <v>0</v>
      </c>
    </row>
    <row r="86" spans="1:39" s="782" customFormat="1" hidden="1">
      <c r="A86" s="885" t="s">
        <v>53</v>
      </c>
      <c r="B86" s="885" t="s">
        <v>45</v>
      </c>
      <c r="C86" s="880"/>
      <c r="D86" s="795"/>
      <c r="E86" s="981"/>
      <c r="F86" s="778"/>
      <c r="G86" s="778"/>
      <c r="H86" s="778"/>
      <c r="I86" s="777"/>
      <c r="J86" s="777"/>
      <c r="K86" s="777"/>
      <c r="L86" s="989"/>
      <c r="M86" s="809"/>
      <c r="N86" s="809"/>
      <c r="O86" s="809"/>
      <c r="P86" s="809"/>
      <c r="Q86" s="809"/>
      <c r="R86" s="809"/>
      <c r="S86" s="989"/>
      <c r="T86" s="809"/>
      <c r="U86" s="809"/>
      <c r="V86" s="809"/>
      <c r="W86" s="809"/>
      <c r="X86" s="809"/>
      <c r="Y86" s="809"/>
      <c r="Z86" s="989"/>
      <c r="AA86" s="809"/>
      <c r="AB86" s="809"/>
      <c r="AC86" s="809"/>
      <c r="AD86" s="809"/>
      <c r="AE86" s="827"/>
      <c r="AF86" s="809"/>
      <c r="AG86" s="960"/>
      <c r="AH86" s="873"/>
      <c r="AI86" s="839">
        <f t="shared" si="7"/>
        <v>0</v>
      </c>
      <c r="AJ86" s="777">
        <v>0</v>
      </c>
      <c r="AK86" s="778">
        <f t="shared" si="5"/>
        <v>0</v>
      </c>
      <c r="AL86" s="780"/>
      <c r="AM86" s="781">
        <f t="shared" si="6"/>
        <v>0</v>
      </c>
    </row>
    <row r="87" spans="1:39" s="782" customFormat="1" hidden="1">
      <c r="A87" s="772" t="s">
        <v>591</v>
      </c>
      <c r="B87" s="772" t="s">
        <v>1142</v>
      </c>
      <c r="C87" s="876" t="s">
        <v>39</v>
      </c>
      <c r="D87" s="795"/>
      <c r="E87" s="981"/>
      <c r="F87" s="778"/>
      <c r="G87" s="778"/>
      <c r="H87" s="778"/>
      <c r="I87" s="777"/>
      <c r="J87" s="777"/>
      <c r="K87" s="777"/>
      <c r="L87" s="989"/>
      <c r="M87" s="809"/>
      <c r="N87" s="809"/>
      <c r="O87" s="809"/>
      <c r="P87" s="809"/>
      <c r="Q87" s="809"/>
      <c r="R87" s="809"/>
      <c r="S87" s="989"/>
      <c r="T87" s="809"/>
      <c r="U87" s="809"/>
      <c r="V87" s="809"/>
      <c r="W87" s="809"/>
      <c r="X87" s="809"/>
      <c r="Y87" s="809"/>
      <c r="Z87" s="989"/>
      <c r="AA87" s="809"/>
      <c r="AB87" s="809"/>
      <c r="AC87" s="809"/>
      <c r="AD87" s="809"/>
      <c r="AE87" s="827"/>
      <c r="AF87" s="809"/>
      <c r="AG87" s="960"/>
      <c r="AH87" s="873"/>
      <c r="AI87" s="839">
        <f t="shared" si="7"/>
        <v>0</v>
      </c>
      <c r="AJ87" s="777">
        <v>0</v>
      </c>
      <c r="AK87" s="778">
        <f t="shared" si="5"/>
        <v>0</v>
      </c>
      <c r="AL87" s="780" t="s">
        <v>1480</v>
      </c>
      <c r="AM87" s="781">
        <f t="shared" si="6"/>
        <v>34.270000000000003</v>
      </c>
    </row>
    <row r="88" spans="1:39" s="782" customFormat="1" hidden="1">
      <c r="A88" s="772" t="s">
        <v>592</v>
      </c>
      <c r="B88" s="772" t="s">
        <v>1143</v>
      </c>
      <c r="C88" s="876" t="s">
        <v>39</v>
      </c>
      <c r="D88" s="795"/>
      <c r="E88" s="981"/>
      <c r="F88" s="778"/>
      <c r="G88" s="778"/>
      <c r="H88" s="778"/>
      <c r="I88" s="777"/>
      <c r="J88" s="777"/>
      <c r="K88" s="777"/>
      <c r="L88" s="989"/>
      <c r="M88" s="809"/>
      <c r="N88" s="809"/>
      <c r="O88" s="809"/>
      <c r="P88" s="809"/>
      <c r="Q88" s="809"/>
      <c r="R88" s="809"/>
      <c r="S88" s="989"/>
      <c r="T88" s="809"/>
      <c r="U88" s="809"/>
      <c r="V88" s="809"/>
      <c r="W88" s="809"/>
      <c r="X88" s="809"/>
      <c r="Y88" s="809"/>
      <c r="Z88" s="989"/>
      <c r="AA88" s="809"/>
      <c r="AB88" s="809"/>
      <c r="AC88" s="809"/>
      <c r="AD88" s="809"/>
      <c r="AE88" s="827"/>
      <c r="AF88" s="809"/>
      <c r="AG88" s="960"/>
      <c r="AH88" s="873"/>
      <c r="AI88" s="839">
        <f t="shared" si="7"/>
        <v>0</v>
      </c>
      <c r="AJ88" s="777">
        <v>0</v>
      </c>
      <c r="AK88" s="778">
        <f t="shared" si="5"/>
        <v>0</v>
      </c>
      <c r="AL88" s="780" t="s">
        <v>1481</v>
      </c>
      <c r="AM88" s="781">
        <f t="shared" si="6"/>
        <v>16.989999999999998</v>
      </c>
    </row>
    <row r="89" spans="1:39" s="782" customFormat="1" hidden="1">
      <c r="A89" s="772" t="s">
        <v>593</v>
      </c>
      <c r="B89" s="772" t="s">
        <v>1144</v>
      </c>
      <c r="C89" s="877" t="s">
        <v>39</v>
      </c>
      <c r="D89" s="795"/>
      <c r="E89" s="981"/>
      <c r="F89" s="778"/>
      <c r="G89" s="778"/>
      <c r="H89" s="778"/>
      <c r="I89" s="777"/>
      <c r="J89" s="777"/>
      <c r="K89" s="777"/>
      <c r="L89" s="989"/>
      <c r="M89" s="809"/>
      <c r="N89" s="809"/>
      <c r="O89" s="809"/>
      <c r="P89" s="809"/>
      <c r="Q89" s="809"/>
      <c r="R89" s="809"/>
      <c r="S89" s="989"/>
      <c r="T89" s="809"/>
      <c r="U89" s="809"/>
      <c r="V89" s="809"/>
      <c r="W89" s="809"/>
      <c r="X89" s="809"/>
      <c r="Y89" s="809"/>
      <c r="Z89" s="989"/>
      <c r="AA89" s="809"/>
      <c r="AB89" s="809"/>
      <c r="AC89" s="809"/>
      <c r="AD89" s="809"/>
      <c r="AE89" s="827"/>
      <c r="AF89" s="809"/>
      <c r="AG89" s="960"/>
      <c r="AH89" s="873"/>
      <c r="AI89" s="839">
        <f t="shared" si="7"/>
        <v>0</v>
      </c>
      <c r="AJ89" s="777">
        <v>0</v>
      </c>
      <c r="AK89" s="778">
        <f t="shared" si="5"/>
        <v>0</v>
      </c>
      <c r="AL89" s="780" t="s">
        <v>1482</v>
      </c>
      <c r="AM89" s="781">
        <f t="shared" si="6"/>
        <v>28.37</v>
      </c>
    </row>
    <row r="90" spans="1:39" s="782" customFormat="1" hidden="1">
      <c r="A90" s="772" t="s">
        <v>594</v>
      </c>
      <c r="B90" s="772" t="s">
        <v>1145</v>
      </c>
      <c r="C90" s="876" t="s">
        <v>36</v>
      </c>
      <c r="D90" s="795"/>
      <c r="E90" s="981"/>
      <c r="F90" s="778"/>
      <c r="G90" s="778"/>
      <c r="H90" s="778"/>
      <c r="I90" s="777"/>
      <c r="J90" s="777"/>
      <c r="K90" s="777"/>
      <c r="L90" s="989"/>
      <c r="M90" s="809"/>
      <c r="N90" s="809"/>
      <c r="O90" s="809"/>
      <c r="P90" s="809"/>
      <c r="Q90" s="809"/>
      <c r="R90" s="809"/>
      <c r="S90" s="989"/>
      <c r="T90" s="809"/>
      <c r="U90" s="809"/>
      <c r="V90" s="809"/>
      <c r="W90" s="809"/>
      <c r="X90" s="809"/>
      <c r="Y90" s="809"/>
      <c r="Z90" s="989"/>
      <c r="AA90" s="809"/>
      <c r="AB90" s="809"/>
      <c r="AC90" s="809"/>
      <c r="AD90" s="809"/>
      <c r="AE90" s="827"/>
      <c r="AF90" s="809"/>
      <c r="AG90" s="960"/>
      <c r="AH90" s="873"/>
      <c r="AI90" s="839">
        <f t="shared" si="7"/>
        <v>0</v>
      </c>
      <c r="AJ90" s="777">
        <v>0</v>
      </c>
      <c r="AK90" s="778">
        <f t="shared" si="5"/>
        <v>0</v>
      </c>
      <c r="AL90" s="780" t="s">
        <v>1483</v>
      </c>
      <c r="AM90" s="781">
        <f t="shared" si="6"/>
        <v>57.19</v>
      </c>
    </row>
    <row r="91" spans="1:39" s="782" customFormat="1" hidden="1">
      <c r="A91" s="772" t="s">
        <v>595</v>
      </c>
      <c r="B91" s="772" t="s">
        <v>1146</v>
      </c>
      <c r="C91" s="876" t="s">
        <v>39</v>
      </c>
      <c r="D91" s="795"/>
      <c r="E91" s="981"/>
      <c r="F91" s="778"/>
      <c r="G91" s="778"/>
      <c r="H91" s="778"/>
      <c r="I91" s="777"/>
      <c r="J91" s="777"/>
      <c r="K91" s="777"/>
      <c r="L91" s="989"/>
      <c r="M91" s="809"/>
      <c r="N91" s="809"/>
      <c r="O91" s="809"/>
      <c r="P91" s="809"/>
      <c r="Q91" s="809"/>
      <c r="R91" s="809"/>
      <c r="S91" s="989"/>
      <c r="T91" s="809"/>
      <c r="U91" s="809"/>
      <c r="V91" s="809"/>
      <c r="W91" s="809"/>
      <c r="X91" s="809"/>
      <c r="Y91" s="809"/>
      <c r="Z91" s="989"/>
      <c r="AA91" s="809"/>
      <c r="AB91" s="809"/>
      <c r="AC91" s="809"/>
      <c r="AD91" s="809"/>
      <c r="AE91" s="827"/>
      <c r="AF91" s="809"/>
      <c r="AG91" s="960"/>
      <c r="AH91" s="873"/>
      <c r="AI91" s="839">
        <f t="shared" si="7"/>
        <v>0</v>
      </c>
      <c r="AJ91" s="777">
        <v>0</v>
      </c>
      <c r="AK91" s="778">
        <f t="shared" si="5"/>
        <v>0</v>
      </c>
      <c r="AL91" s="780" t="s">
        <v>1484</v>
      </c>
      <c r="AM91" s="781">
        <f t="shared" si="6"/>
        <v>28.61</v>
      </c>
    </row>
    <row r="92" spans="1:39" s="897" customFormat="1" hidden="1">
      <c r="A92" s="886" t="s">
        <v>596</v>
      </c>
      <c r="B92" s="886" t="s">
        <v>1147</v>
      </c>
      <c r="C92" s="887" t="s">
        <v>39</v>
      </c>
      <c r="D92" s="888"/>
      <c r="E92" s="981"/>
      <c r="F92" s="889"/>
      <c r="G92" s="889"/>
      <c r="H92" s="889"/>
      <c r="I92" s="890"/>
      <c r="J92" s="890"/>
      <c r="K92" s="890"/>
      <c r="L92" s="989"/>
      <c r="M92" s="891"/>
      <c r="N92" s="891"/>
      <c r="O92" s="891"/>
      <c r="P92" s="891"/>
      <c r="Q92" s="891"/>
      <c r="R92" s="891"/>
      <c r="S92" s="989"/>
      <c r="T92" s="891"/>
      <c r="U92" s="891"/>
      <c r="V92" s="891"/>
      <c r="W92" s="891"/>
      <c r="X92" s="891"/>
      <c r="Y92" s="891"/>
      <c r="Z92" s="989"/>
      <c r="AA92" s="891"/>
      <c r="AB92" s="891"/>
      <c r="AC92" s="891"/>
      <c r="AD92" s="891"/>
      <c r="AE92" s="827"/>
      <c r="AF92" s="891"/>
      <c r="AG92" s="960"/>
      <c r="AH92" s="893"/>
      <c r="AI92" s="839">
        <f t="shared" si="7"/>
        <v>0</v>
      </c>
      <c r="AJ92" s="890">
        <v>0</v>
      </c>
      <c r="AK92" s="889">
        <f t="shared" si="5"/>
        <v>0</v>
      </c>
      <c r="AL92" s="895" t="s">
        <v>1484</v>
      </c>
      <c r="AM92" s="896">
        <f t="shared" si="6"/>
        <v>28.61</v>
      </c>
    </row>
    <row r="93" spans="1:39" s="560" customFormat="1" hidden="1">
      <c r="A93" s="607" t="s">
        <v>54</v>
      </c>
      <c r="B93" s="607" t="s">
        <v>1148</v>
      </c>
      <c r="C93" s="679"/>
      <c r="D93" s="580"/>
      <c r="E93" s="981"/>
      <c r="F93" s="581"/>
      <c r="G93" s="581"/>
      <c r="H93" s="581"/>
      <c r="I93" s="949"/>
      <c r="J93" s="949"/>
      <c r="K93" s="949"/>
      <c r="L93" s="989"/>
      <c r="M93" s="575"/>
      <c r="N93" s="575"/>
      <c r="O93" s="575"/>
      <c r="P93" s="575"/>
      <c r="Q93" s="575"/>
      <c r="R93" s="575"/>
      <c r="S93" s="989"/>
      <c r="T93" s="575"/>
      <c r="U93" s="575"/>
      <c r="V93" s="575"/>
      <c r="W93" s="575"/>
      <c r="X93" s="575"/>
      <c r="Y93" s="575"/>
      <c r="Z93" s="989"/>
      <c r="AA93" s="575"/>
      <c r="AB93" s="575"/>
      <c r="AC93" s="575"/>
      <c r="AD93" s="575"/>
      <c r="AE93" s="827"/>
      <c r="AF93" s="575"/>
      <c r="AG93" s="960"/>
      <c r="AH93" s="842"/>
      <c r="AI93" s="839">
        <f t="shared" si="7"/>
        <v>0</v>
      </c>
      <c r="AJ93" s="949">
        <v>0</v>
      </c>
      <c r="AK93" s="581">
        <f t="shared" si="5"/>
        <v>0</v>
      </c>
      <c r="AL93" s="746"/>
      <c r="AM93" s="743">
        <f t="shared" si="6"/>
        <v>0</v>
      </c>
    </row>
    <row r="94" spans="1:39" s="560" customFormat="1" hidden="1">
      <c r="A94" s="604" t="s">
        <v>597</v>
      </c>
      <c r="B94" s="604" t="s">
        <v>1189</v>
      </c>
      <c r="C94" s="530" t="s">
        <v>36</v>
      </c>
      <c r="D94" s="580"/>
      <c r="E94" s="981"/>
      <c r="F94" s="581"/>
      <c r="G94" s="581"/>
      <c r="H94" s="581"/>
      <c r="I94" s="949"/>
      <c r="J94" s="949"/>
      <c r="K94" s="949"/>
      <c r="L94" s="989"/>
      <c r="M94" s="575"/>
      <c r="N94" s="575"/>
      <c r="O94" s="575"/>
      <c r="R94" s="575"/>
      <c r="S94" s="989"/>
      <c r="T94" s="575"/>
      <c r="U94" s="575"/>
      <c r="V94" s="741"/>
      <c r="W94" s="741"/>
      <c r="X94" s="741"/>
      <c r="Y94" s="741"/>
      <c r="Z94" s="994"/>
      <c r="AA94" s="741"/>
      <c r="AB94" s="741"/>
      <c r="AD94" s="741"/>
      <c r="AE94" s="827"/>
      <c r="AF94" s="575"/>
      <c r="AG94" s="960"/>
      <c r="AH94" s="842"/>
      <c r="AI94" s="839">
        <f t="shared" si="7"/>
        <v>0</v>
      </c>
      <c r="AJ94" s="949">
        <v>0</v>
      </c>
      <c r="AK94" s="581">
        <f t="shared" si="5"/>
        <v>0</v>
      </c>
      <c r="AL94" s="746" t="s">
        <v>1485</v>
      </c>
      <c r="AM94" s="743">
        <f t="shared" si="6"/>
        <v>26.55</v>
      </c>
    </row>
    <row r="95" spans="1:39" s="897" customFormat="1" hidden="1">
      <c r="A95" s="886" t="s">
        <v>598</v>
      </c>
      <c r="B95" s="886" t="s">
        <v>1190</v>
      </c>
      <c r="C95" s="887" t="s">
        <v>39</v>
      </c>
      <c r="D95" s="888"/>
      <c r="E95" s="981"/>
      <c r="F95" s="889"/>
      <c r="G95" s="889"/>
      <c r="H95" s="889"/>
      <c r="I95" s="890"/>
      <c r="J95" s="890"/>
      <c r="K95" s="890"/>
      <c r="L95" s="989"/>
      <c r="M95" s="891"/>
      <c r="N95" s="891"/>
      <c r="O95" s="891"/>
      <c r="P95" s="891"/>
      <c r="Q95" s="891"/>
      <c r="R95" s="891"/>
      <c r="S95" s="989"/>
      <c r="T95" s="891"/>
      <c r="U95" s="891"/>
      <c r="V95" s="891"/>
      <c r="W95" s="891"/>
      <c r="X95" s="891"/>
      <c r="Y95" s="891"/>
      <c r="Z95" s="989"/>
      <c r="AA95" s="891"/>
      <c r="AB95" s="891"/>
      <c r="AC95" s="891"/>
      <c r="AD95" s="891"/>
      <c r="AE95" s="827"/>
      <c r="AF95" s="891"/>
      <c r="AG95" s="960"/>
      <c r="AH95" s="893"/>
      <c r="AI95" s="839">
        <f t="shared" si="7"/>
        <v>0</v>
      </c>
      <c r="AJ95" s="890">
        <v>0</v>
      </c>
      <c r="AK95" s="889">
        <f t="shared" si="5"/>
        <v>0</v>
      </c>
      <c r="AL95" s="895" t="s">
        <v>1486</v>
      </c>
      <c r="AM95" s="896">
        <f t="shared" si="6"/>
        <v>12.87</v>
      </c>
    </row>
    <row r="96" spans="1:39" s="897" customFormat="1" hidden="1">
      <c r="A96" s="886" t="s">
        <v>599</v>
      </c>
      <c r="B96" s="886" t="s">
        <v>1191</v>
      </c>
      <c r="C96" s="887" t="s">
        <v>39</v>
      </c>
      <c r="D96" s="888"/>
      <c r="E96" s="981"/>
      <c r="F96" s="889"/>
      <c r="G96" s="889"/>
      <c r="H96" s="889"/>
      <c r="I96" s="890"/>
      <c r="J96" s="890"/>
      <c r="K96" s="890"/>
      <c r="L96" s="989"/>
      <c r="M96" s="891"/>
      <c r="N96" s="891"/>
      <c r="O96" s="891"/>
      <c r="P96" s="891"/>
      <c r="Q96" s="891"/>
      <c r="R96" s="891"/>
      <c r="S96" s="989"/>
      <c r="T96" s="891"/>
      <c r="U96" s="891"/>
      <c r="V96" s="891"/>
      <c r="W96" s="891"/>
      <c r="X96" s="891"/>
      <c r="Y96" s="891"/>
      <c r="Z96" s="989"/>
      <c r="AA96" s="891"/>
      <c r="AB96" s="891"/>
      <c r="AC96" s="891"/>
      <c r="AD96" s="891"/>
      <c r="AE96" s="827"/>
      <c r="AF96" s="891"/>
      <c r="AG96" s="960"/>
      <c r="AH96" s="893"/>
      <c r="AI96" s="839">
        <f t="shared" si="7"/>
        <v>0</v>
      </c>
      <c r="AJ96" s="890">
        <v>0</v>
      </c>
      <c r="AK96" s="889">
        <f t="shared" si="5"/>
        <v>0</v>
      </c>
      <c r="AL96" s="895" t="s">
        <v>1487</v>
      </c>
      <c r="AM96" s="896">
        <f t="shared" si="6"/>
        <v>2.68</v>
      </c>
    </row>
    <row r="97" spans="1:39" s="782" customFormat="1" hidden="1">
      <c r="A97" s="772" t="s">
        <v>600</v>
      </c>
      <c r="B97" s="772" t="s">
        <v>1153</v>
      </c>
      <c r="C97" s="877" t="s">
        <v>36</v>
      </c>
      <c r="D97" s="795"/>
      <c r="E97" s="981"/>
      <c r="F97" s="778"/>
      <c r="G97" s="778"/>
      <c r="H97" s="778"/>
      <c r="I97" s="777"/>
      <c r="J97" s="777"/>
      <c r="K97" s="777"/>
      <c r="L97" s="989"/>
      <c r="M97" s="809"/>
      <c r="N97" s="809"/>
      <c r="O97" s="809"/>
      <c r="P97" s="809"/>
      <c r="Q97" s="809"/>
      <c r="R97" s="809"/>
      <c r="S97" s="989"/>
      <c r="T97" s="809"/>
      <c r="U97" s="809"/>
      <c r="V97" s="809"/>
      <c r="W97" s="809"/>
      <c r="X97" s="809"/>
      <c r="Y97" s="809"/>
      <c r="Z97" s="989"/>
      <c r="AA97" s="809"/>
      <c r="AB97" s="809"/>
      <c r="AC97" s="809"/>
      <c r="AD97" s="809"/>
      <c r="AE97" s="827"/>
      <c r="AF97" s="809"/>
      <c r="AG97" s="960"/>
      <c r="AH97" s="873"/>
      <c r="AI97" s="839">
        <f t="shared" si="7"/>
        <v>0</v>
      </c>
      <c r="AJ97" s="777">
        <v>0</v>
      </c>
      <c r="AK97" s="778">
        <f t="shared" si="5"/>
        <v>0</v>
      </c>
      <c r="AL97" s="780" t="s">
        <v>1488</v>
      </c>
      <c r="AM97" s="781">
        <f t="shared" si="6"/>
        <v>96.66</v>
      </c>
    </row>
    <row r="98" spans="1:39" s="782" customFormat="1" hidden="1">
      <c r="A98" s="772" t="s">
        <v>601</v>
      </c>
      <c r="B98" s="772" t="s">
        <v>1154</v>
      </c>
      <c r="C98" s="876" t="s">
        <v>36</v>
      </c>
      <c r="D98" s="795"/>
      <c r="E98" s="981"/>
      <c r="F98" s="778"/>
      <c r="G98" s="778"/>
      <c r="H98" s="778"/>
      <c r="I98" s="777"/>
      <c r="J98" s="777"/>
      <c r="K98" s="777"/>
      <c r="L98" s="989"/>
      <c r="M98" s="809"/>
      <c r="N98" s="809"/>
      <c r="O98" s="809"/>
      <c r="P98" s="809"/>
      <c r="Q98" s="809"/>
      <c r="R98" s="809"/>
      <c r="S98" s="989"/>
      <c r="T98" s="809"/>
      <c r="U98" s="809"/>
      <c r="V98" s="809"/>
      <c r="W98" s="809"/>
      <c r="X98" s="809"/>
      <c r="Y98" s="809"/>
      <c r="Z98" s="989"/>
      <c r="AA98" s="809"/>
      <c r="AB98" s="809"/>
      <c r="AC98" s="809"/>
      <c r="AD98" s="809"/>
      <c r="AE98" s="827"/>
      <c r="AF98" s="809"/>
      <c r="AG98" s="960"/>
      <c r="AH98" s="873"/>
      <c r="AI98" s="839">
        <f t="shared" si="7"/>
        <v>0</v>
      </c>
      <c r="AJ98" s="777">
        <v>0</v>
      </c>
      <c r="AK98" s="778">
        <f t="shared" si="5"/>
        <v>0</v>
      </c>
      <c r="AL98" s="780" t="s">
        <v>1483</v>
      </c>
      <c r="AM98" s="781">
        <f t="shared" si="6"/>
        <v>57.19</v>
      </c>
    </row>
    <row r="99" spans="1:39" s="782" customFormat="1">
      <c r="A99" s="885" t="s">
        <v>602</v>
      </c>
      <c r="B99" s="885" t="s">
        <v>1155</v>
      </c>
      <c r="C99" s="880"/>
      <c r="D99" s="795"/>
      <c r="E99" s="981"/>
      <c r="F99" s="778"/>
      <c r="G99" s="778"/>
      <c r="H99" s="778"/>
      <c r="I99" s="777"/>
      <c r="J99" s="777"/>
      <c r="K99" s="777"/>
      <c r="L99" s="989"/>
      <c r="M99" s="809"/>
      <c r="N99" s="809"/>
      <c r="O99" s="809"/>
      <c r="P99" s="809"/>
      <c r="Q99" s="809"/>
      <c r="R99" s="809"/>
      <c r="S99" s="989"/>
      <c r="T99" s="809"/>
      <c r="U99" s="809"/>
      <c r="V99" s="809"/>
      <c r="W99" s="809"/>
      <c r="X99" s="809"/>
      <c r="Y99" s="809"/>
      <c r="Z99" s="989"/>
      <c r="AA99" s="809"/>
      <c r="AB99" s="809"/>
      <c r="AC99" s="809"/>
      <c r="AD99" s="809"/>
      <c r="AE99" s="827"/>
      <c r="AF99" s="809"/>
      <c r="AG99" s="960"/>
      <c r="AH99" s="873"/>
      <c r="AI99" s="839">
        <f t="shared" si="7"/>
        <v>0</v>
      </c>
      <c r="AJ99" s="777">
        <v>0</v>
      </c>
      <c r="AK99" s="778">
        <f t="shared" si="5"/>
        <v>0</v>
      </c>
      <c r="AL99" s="780"/>
      <c r="AM99" s="781">
        <f t="shared" si="6"/>
        <v>0</v>
      </c>
    </row>
    <row r="100" spans="1:39" s="782" customFormat="1" hidden="1">
      <c r="A100" s="772" t="s">
        <v>603</v>
      </c>
      <c r="B100" s="772" t="s">
        <v>1156</v>
      </c>
      <c r="C100" s="880"/>
      <c r="D100" s="795"/>
      <c r="E100" s="981"/>
      <c r="F100" s="778"/>
      <c r="G100" s="778"/>
      <c r="H100" s="778"/>
      <c r="I100" s="777"/>
      <c r="J100" s="777"/>
      <c r="K100" s="777"/>
      <c r="L100" s="989"/>
      <c r="M100" s="809"/>
      <c r="N100" s="809"/>
      <c r="O100" s="809"/>
      <c r="P100" s="809"/>
      <c r="Q100" s="809"/>
      <c r="R100" s="809"/>
      <c r="S100" s="989"/>
      <c r="T100" s="809"/>
      <c r="U100" s="809"/>
      <c r="V100" s="809"/>
      <c r="W100" s="809"/>
      <c r="X100" s="809"/>
      <c r="Y100" s="809"/>
      <c r="Z100" s="989"/>
      <c r="AA100" s="809"/>
      <c r="AB100" s="809"/>
      <c r="AC100" s="809"/>
      <c r="AD100" s="809"/>
      <c r="AE100" s="827"/>
      <c r="AF100" s="809"/>
      <c r="AG100" s="960"/>
      <c r="AH100" s="873"/>
      <c r="AI100" s="839">
        <f t="shared" si="7"/>
        <v>0</v>
      </c>
      <c r="AJ100" s="777">
        <v>0</v>
      </c>
      <c r="AK100" s="778">
        <f t="shared" si="5"/>
        <v>0</v>
      </c>
      <c r="AL100" s="780"/>
      <c r="AM100" s="781">
        <f t="shared" si="6"/>
        <v>0</v>
      </c>
    </row>
    <row r="101" spans="1:39" s="560" customFormat="1" hidden="1">
      <c r="A101" s="604" t="s">
        <v>604</v>
      </c>
      <c r="B101" s="604" t="s">
        <v>1192</v>
      </c>
      <c r="C101" s="530" t="s">
        <v>39</v>
      </c>
      <c r="D101" s="580"/>
      <c r="E101" s="981"/>
      <c r="F101" s="581"/>
      <c r="G101" s="581"/>
      <c r="H101" s="581"/>
      <c r="I101" s="949"/>
      <c r="J101" s="949"/>
      <c r="K101" s="949"/>
      <c r="L101" s="989"/>
      <c r="M101" s="575"/>
      <c r="N101" s="575"/>
      <c r="O101" s="575"/>
      <c r="P101" s="575"/>
      <c r="Q101" s="575"/>
      <c r="R101" s="575"/>
      <c r="S101" s="989"/>
      <c r="T101" s="575"/>
      <c r="U101" s="575"/>
      <c r="V101" s="575"/>
      <c r="W101" s="575"/>
      <c r="X101" s="575"/>
      <c r="Y101" s="575"/>
      <c r="Z101" s="989"/>
      <c r="AA101" s="575"/>
      <c r="AB101" s="575"/>
      <c r="AC101" s="575"/>
      <c r="AD101" s="949"/>
      <c r="AE101" s="854"/>
      <c r="AF101" s="575"/>
      <c r="AG101" s="960"/>
      <c r="AH101" s="842"/>
      <c r="AI101" s="839">
        <f t="shared" si="7"/>
        <v>0</v>
      </c>
      <c r="AJ101" s="949">
        <v>0</v>
      </c>
      <c r="AK101" s="581">
        <f t="shared" si="5"/>
        <v>0</v>
      </c>
      <c r="AL101" s="746" t="s">
        <v>1489</v>
      </c>
      <c r="AM101" s="743">
        <f t="shared" si="6"/>
        <v>8.06</v>
      </c>
    </row>
    <row r="102" spans="1:39" s="560" customFormat="1" hidden="1">
      <c r="A102" s="604" t="s">
        <v>605</v>
      </c>
      <c r="B102" s="604" t="s">
        <v>1158</v>
      </c>
      <c r="C102" s="530" t="s">
        <v>47</v>
      </c>
      <c r="D102" s="580"/>
      <c r="E102" s="981"/>
      <c r="F102" s="581"/>
      <c r="G102" s="581"/>
      <c r="H102" s="581"/>
      <c r="I102" s="949"/>
      <c r="J102" s="949"/>
      <c r="K102" s="949"/>
      <c r="L102" s="989"/>
      <c r="M102" s="575"/>
      <c r="N102" s="575"/>
      <c r="O102" s="575"/>
      <c r="P102" s="575"/>
      <c r="Q102" s="575"/>
      <c r="R102" s="575"/>
      <c r="S102" s="989"/>
      <c r="T102" s="575"/>
      <c r="U102" s="575"/>
      <c r="V102" s="575"/>
      <c r="W102" s="575"/>
      <c r="X102" s="575"/>
      <c r="Y102" s="575"/>
      <c r="Z102" s="989"/>
      <c r="AA102" s="575"/>
      <c r="AB102" s="575"/>
      <c r="AC102" s="813"/>
      <c r="AD102" s="741"/>
      <c r="AE102" s="827"/>
      <c r="AF102" s="575"/>
      <c r="AG102" s="960"/>
      <c r="AH102" s="842"/>
      <c r="AI102" s="839">
        <f t="shared" si="7"/>
        <v>0</v>
      </c>
      <c r="AJ102" s="949">
        <v>0</v>
      </c>
      <c r="AK102" s="581">
        <f t="shared" si="5"/>
        <v>0</v>
      </c>
      <c r="AL102" s="746" t="s">
        <v>1490</v>
      </c>
      <c r="AM102" s="743">
        <f t="shared" si="6"/>
        <v>337.22</v>
      </c>
    </row>
    <row r="103" spans="1:39" s="782" customFormat="1">
      <c r="A103" s="772" t="s">
        <v>606</v>
      </c>
      <c r="B103" s="772" t="s">
        <v>1159</v>
      </c>
      <c r="C103" s="880"/>
      <c r="D103" s="795"/>
      <c r="E103" s="981"/>
      <c r="F103" s="778"/>
      <c r="G103" s="778"/>
      <c r="H103" s="778"/>
      <c r="I103" s="777"/>
      <c r="J103" s="777"/>
      <c r="K103" s="777"/>
      <c r="L103" s="989"/>
      <c r="M103" s="809"/>
      <c r="N103" s="809"/>
      <c r="O103" s="809"/>
      <c r="P103" s="809"/>
      <c r="Q103" s="809"/>
      <c r="R103" s="809"/>
      <c r="S103" s="989"/>
      <c r="T103" s="809"/>
      <c r="U103" s="809"/>
      <c r="V103" s="809"/>
      <c r="W103" s="809"/>
      <c r="X103" s="809"/>
      <c r="Y103" s="809"/>
      <c r="Z103" s="989"/>
      <c r="AA103" s="809"/>
      <c r="AB103" s="809"/>
      <c r="AC103" s="809"/>
      <c r="AD103" s="809"/>
      <c r="AE103" s="827"/>
      <c r="AF103" s="809"/>
      <c r="AG103" s="960"/>
      <c r="AH103" s="873"/>
      <c r="AI103" s="839">
        <f t="shared" si="7"/>
        <v>0</v>
      </c>
      <c r="AJ103" s="777">
        <v>0</v>
      </c>
      <c r="AK103" s="778">
        <f t="shared" si="5"/>
        <v>0</v>
      </c>
      <c r="AL103" s="780"/>
      <c r="AM103" s="781">
        <f t="shared" si="6"/>
        <v>0</v>
      </c>
    </row>
    <row r="104" spans="1:39" s="782" customFormat="1">
      <c r="A104" s="772" t="s">
        <v>607</v>
      </c>
      <c r="B104" s="772" t="s">
        <v>1193</v>
      </c>
      <c r="C104" s="876" t="s">
        <v>39</v>
      </c>
      <c r="D104" s="795"/>
      <c r="E104" s="981"/>
      <c r="F104" s="778"/>
      <c r="G104" s="778"/>
      <c r="H104" s="778"/>
      <c r="I104" s="825">
        <f>40.91*0.25*0.3722</f>
        <v>3.8066754999999994</v>
      </c>
      <c r="J104" s="777"/>
      <c r="K104" s="777"/>
      <c r="L104" s="989"/>
      <c r="M104" s="809"/>
      <c r="N104" s="809"/>
      <c r="O104" s="809"/>
      <c r="P104" s="809"/>
      <c r="Q104" s="809"/>
      <c r="R104" s="809"/>
      <c r="S104" s="989"/>
      <c r="T104" s="809"/>
      <c r="U104" s="809"/>
      <c r="V104" s="809"/>
      <c r="W104" s="809"/>
      <c r="X104" s="809"/>
      <c r="Y104" s="809"/>
      <c r="Z104" s="989"/>
      <c r="AA104" s="809"/>
      <c r="AB104" s="809"/>
      <c r="AC104" s="809"/>
      <c r="AD104" s="809"/>
      <c r="AE104" s="827"/>
      <c r="AF104" s="809"/>
      <c r="AG104" s="960"/>
      <c r="AH104" s="873"/>
      <c r="AI104" s="839">
        <f t="shared" si="7"/>
        <v>3.81</v>
      </c>
      <c r="AJ104" s="777">
        <v>0</v>
      </c>
      <c r="AK104" s="778">
        <f t="shared" si="5"/>
        <v>3.81</v>
      </c>
      <c r="AL104" s="780" t="s">
        <v>1491</v>
      </c>
      <c r="AM104" s="781">
        <f t="shared" si="6"/>
        <v>0</v>
      </c>
    </row>
    <row r="105" spans="1:39" s="782" customFormat="1">
      <c r="A105" s="772" t="s">
        <v>608</v>
      </c>
      <c r="B105" s="772" t="s">
        <v>1161</v>
      </c>
      <c r="C105" s="877" t="s">
        <v>36</v>
      </c>
      <c r="D105" s="795"/>
      <c r="E105" s="981"/>
      <c r="F105" s="778"/>
      <c r="G105" s="778"/>
      <c r="H105" s="922">
        <f>40.91*2*0.3722</f>
        <v>30.453403999999995</v>
      </c>
      <c r="I105" s="777"/>
      <c r="J105" s="777"/>
      <c r="K105" s="777"/>
      <c r="L105" s="989"/>
      <c r="M105" s="809"/>
      <c r="N105" s="809"/>
      <c r="O105" s="809"/>
      <c r="P105" s="809"/>
      <c r="Q105" s="809"/>
      <c r="R105" s="809"/>
      <c r="S105" s="989"/>
      <c r="T105" s="809"/>
      <c r="U105" s="809"/>
      <c r="V105" s="809"/>
      <c r="W105" s="809"/>
      <c r="X105" s="809"/>
      <c r="Y105" s="809"/>
      <c r="Z105" s="989"/>
      <c r="AA105" s="809"/>
      <c r="AB105" s="809"/>
      <c r="AC105" s="809"/>
      <c r="AD105" s="809"/>
      <c r="AE105" s="827"/>
      <c r="AF105" s="809"/>
      <c r="AG105" s="960"/>
      <c r="AH105" s="873"/>
      <c r="AI105" s="839">
        <f t="shared" si="7"/>
        <v>30.45</v>
      </c>
      <c r="AJ105" s="777">
        <v>0</v>
      </c>
      <c r="AK105" s="778">
        <f t="shared" si="5"/>
        <v>30.45</v>
      </c>
      <c r="AL105" s="780" t="s">
        <v>1492</v>
      </c>
      <c r="AM105" s="781">
        <f t="shared" si="6"/>
        <v>0</v>
      </c>
    </row>
    <row r="106" spans="1:39" s="560" customFormat="1" hidden="1">
      <c r="A106" s="604" t="s">
        <v>609</v>
      </c>
      <c r="B106" s="604" t="s">
        <v>1162</v>
      </c>
      <c r="C106" s="530" t="s">
        <v>47</v>
      </c>
      <c r="D106" s="580"/>
      <c r="E106" s="981"/>
      <c r="F106" s="581"/>
      <c r="G106" s="581"/>
      <c r="H106" s="581"/>
      <c r="I106" s="949"/>
      <c r="J106" s="949"/>
      <c r="K106" s="949"/>
      <c r="L106" s="989"/>
      <c r="M106" s="575"/>
      <c r="N106" s="575"/>
      <c r="O106" s="575"/>
      <c r="P106" s="575"/>
      <c r="Q106" s="575"/>
      <c r="R106" s="575"/>
      <c r="S106" s="989"/>
      <c r="T106" s="575"/>
      <c r="U106" s="575"/>
      <c r="V106" s="575"/>
      <c r="W106" s="575"/>
      <c r="X106" s="575"/>
      <c r="Y106" s="575"/>
      <c r="Z106" s="989"/>
      <c r="AA106" s="575"/>
      <c r="AB106" s="575"/>
      <c r="AC106" s="575"/>
      <c r="AD106" s="575"/>
      <c r="AE106" s="827"/>
      <c r="AF106" s="575"/>
      <c r="AG106" s="962"/>
      <c r="AH106" s="843"/>
      <c r="AI106" s="839">
        <f t="shared" si="7"/>
        <v>0</v>
      </c>
      <c r="AJ106" s="949">
        <v>0</v>
      </c>
      <c r="AK106" s="581">
        <f t="shared" si="5"/>
        <v>0</v>
      </c>
      <c r="AL106" s="746" t="s">
        <v>1493</v>
      </c>
      <c r="AM106" s="743">
        <f t="shared" si="6"/>
        <v>322.07</v>
      </c>
    </row>
    <row r="107" spans="1:39" s="782" customFormat="1">
      <c r="A107" s="772" t="s">
        <v>610</v>
      </c>
      <c r="B107" s="772" t="s">
        <v>1163</v>
      </c>
      <c r="C107" s="880"/>
      <c r="D107" s="795"/>
      <c r="E107" s="981"/>
      <c r="F107" s="778"/>
      <c r="G107" s="778"/>
      <c r="H107" s="778"/>
      <c r="I107" s="777"/>
      <c r="J107" s="777"/>
      <c r="K107" s="777"/>
      <c r="L107" s="989"/>
      <c r="M107" s="809"/>
      <c r="N107" s="809"/>
      <c r="O107" s="809"/>
      <c r="P107" s="809"/>
      <c r="Q107" s="809"/>
      <c r="R107" s="809"/>
      <c r="S107" s="989"/>
      <c r="T107" s="809"/>
      <c r="U107" s="809"/>
      <c r="V107" s="809"/>
      <c r="W107" s="809"/>
      <c r="X107" s="809"/>
      <c r="Y107" s="809"/>
      <c r="Z107" s="989"/>
      <c r="AA107" s="809"/>
      <c r="AB107" s="809"/>
      <c r="AC107" s="809"/>
      <c r="AD107" s="809"/>
      <c r="AE107" s="827"/>
      <c r="AF107" s="809"/>
      <c r="AG107" s="960"/>
      <c r="AH107" s="873"/>
      <c r="AI107" s="839">
        <f t="shared" si="7"/>
        <v>0</v>
      </c>
      <c r="AJ107" s="777">
        <v>0</v>
      </c>
      <c r="AK107" s="778">
        <f t="shared" si="5"/>
        <v>0</v>
      </c>
      <c r="AL107" s="780"/>
      <c r="AM107" s="781">
        <f t="shared" si="6"/>
        <v>0</v>
      </c>
    </row>
    <row r="108" spans="1:39" s="782" customFormat="1">
      <c r="A108" s="772" t="s">
        <v>611</v>
      </c>
      <c r="B108" s="772" t="s">
        <v>1194</v>
      </c>
      <c r="C108" s="876" t="s">
        <v>39</v>
      </c>
      <c r="D108" s="795"/>
      <c r="E108" s="981"/>
      <c r="F108" s="778"/>
      <c r="G108" s="778"/>
      <c r="H108" s="778"/>
      <c r="I108" s="777"/>
      <c r="J108" s="777"/>
      <c r="K108" s="777"/>
      <c r="L108" s="989"/>
      <c r="M108" s="809"/>
      <c r="N108" s="809"/>
      <c r="O108" s="809"/>
      <c r="Q108" s="945">
        <f>8*0.25*0.4*4.25</f>
        <v>3.4000000000000004</v>
      </c>
      <c r="R108" s="797"/>
      <c r="S108" s="989"/>
      <c r="T108" s="945">
        <f>6*0.25*0.4*4.25</f>
        <v>2.5500000000000003</v>
      </c>
      <c r="U108" s="809"/>
      <c r="V108" s="809"/>
      <c r="W108" s="809"/>
      <c r="X108" s="809"/>
      <c r="Y108" s="809"/>
      <c r="Z108" s="989"/>
      <c r="AA108" s="809"/>
      <c r="AB108" s="809"/>
      <c r="AC108" s="809"/>
      <c r="AD108" s="809"/>
      <c r="AE108" s="827"/>
      <c r="AF108" s="809"/>
      <c r="AG108" s="960"/>
      <c r="AH108" s="873"/>
      <c r="AI108" s="839">
        <f t="shared" si="7"/>
        <v>5.95</v>
      </c>
      <c r="AJ108" s="777">
        <v>0</v>
      </c>
      <c r="AK108" s="778">
        <f t="shared" si="5"/>
        <v>5.95</v>
      </c>
      <c r="AL108" s="780" t="s">
        <v>1494</v>
      </c>
      <c r="AM108" s="973">
        <f t="shared" si="6"/>
        <v>0</v>
      </c>
    </row>
    <row r="109" spans="1:39" s="785" customFormat="1">
      <c r="A109" s="772" t="s">
        <v>612</v>
      </c>
      <c r="B109" s="772" t="s">
        <v>1165</v>
      </c>
      <c r="C109" s="876" t="s">
        <v>36</v>
      </c>
      <c r="D109" s="881"/>
      <c r="E109" s="982"/>
      <c r="F109" s="783"/>
      <c r="G109" s="783"/>
      <c r="H109" s="783"/>
      <c r="I109" s="779"/>
      <c r="J109" s="779"/>
      <c r="K109" s="779"/>
      <c r="L109" s="989"/>
      <c r="M109" s="809"/>
      <c r="N109" s="809"/>
      <c r="O109" s="809"/>
      <c r="Q109" s="945">
        <f>6*(0.25+0.25+0.4+0.4)*4.25+2*(0.25+0.25+0.15+0.15+0.25+0.25)*4.25</f>
        <v>44.2</v>
      </c>
      <c r="R109" s="945">
        <f>6*(0.25+0.25+0.15+0.15+0.25+0.25)*4.25</f>
        <v>33.150000000000006</v>
      </c>
      <c r="S109" s="989"/>
      <c r="T109" s="809"/>
      <c r="U109" s="809"/>
      <c r="V109" s="809"/>
      <c r="W109" s="809"/>
      <c r="X109" s="809"/>
      <c r="Y109" s="809"/>
      <c r="Z109" s="989"/>
      <c r="AA109" s="809"/>
      <c r="AB109" s="809"/>
      <c r="AC109" s="809"/>
      <c r="AD109" s="809"/>
      <c r="AE109" s="827"/>
      <c r="AF109" s="850"/>
      <c r="AG109" s="960"/>
      <c r="AH109" s="873"/>
      <c r="AI109" s="839">
        <f t="shared" si="7"/>
        <v>77.349999999999994</v>
      </c>
      <c r="AJ109" s="777">
        <v>0</v>
      </c>
      <c r="AK109" s="778">
        <f t="shared" si="5"/>
        <v>77.349999999999994</v>
      </c>
      <c r="AL109" s="784" t="s">
        <v>1495</v>
      </c>
      <c r="AM109" s="973">
        <f t="shared" si="6"/>
        <v>0.56000000000000227</v>
      </c>
    </row>
    <row r="110" spans="1:39" s="560" customFormat="1" hidden="1">
      <c r="A110" s="604" t="s">
        <v>613</v>
      </c>
      <c r="B110" s="604" t="s">
        <v>1166</v>
      </c>
      <c r="C110" s="530" t="s">
        <v>47</v>
      </c>
      <c r="D110" s="580"/>
      <c r="E110" s="981"/>
      <c r="F110" s="581"/>
      <c r="G110" s="581"/>
      <c r="H110" s="581"/>
      <c r="I110" s="949"/>
      <c r="J110" s="949"/>
      <c r="K110" s="949"/>
      <c r="L110" s="989"/>
      <c r="M110" s="575"/>
      <c r="N110" s="575"/>
      <c r="O110" s="575"/>
      <c r="P110" s="575"/>
      <c r="Q110" s="575"/>
      <c r="R110" s="575"/>
      <c r="S110" s="989"/>
      <c r="T110" s="575"/>
      <c r="U110" s="575"/>
      <c r="V110" s="575"/>
      <c r="W110" s="575"/>
      <c r="X110" s="575"/>
      <c r="Y110" s="575"/>
      <c r="Z110" s="989"/>
      <c r="AA110" s="575"/>
      <c r="AB110" s="575"/>
      <c r="AC110" s="575"/>
      <c r="AE110" s="855"/>
      <c r="AF110" s="810"/>
      <c r="AG110" s="960"/>
      <c r="AH110" s="842"/>
      <c r="AI110" s="839">
        <f t="shared" si="7"/>
        <v>0</v>
      </c>
      <c r="AJ110" s="949">
        <v>0</v>
      </c>
      <c r="AK110" s="581">
        <f t="shared" si="5"/>
        <v>0</v>
      </c>
      <c r="AL110" s="746" t="s">
        <v>1496</v>
      </c>
      <c r="AM110" s="743">
        <f t="shared" si="6"/>
        <v>2582.91</v>
      </c>
    </row>
    <row r="111" spans="1:39" s="782" customFormat="1" hidden="1">
      <c r="A111" s="772" t="s">
        <v>614</v>
      </c>
      <c r="B111" s="772" t="s">
        <v>1167</v>
      </c>
      <c r="C111" s="880"/>
      <c r="D111" s="795"/>
      <c r="E111" s="981"/>
      <c r="F111" s="778"/>
      <c r="G111" s="778"/>
      <c r="H111" s="778"/>
      <c r="I111" s="777"/>
      <c r="J111" s="777"/>
      <c r="K111" s="777"/>
      <c r="L111" s="989"/>
      <c r="M111" s="809"/>
      <c r="N111" s="809"/>
      <c r="O111" s="809"/>
      <c r="P111" s="809"/>
      <c r="Q111" s="809"/>
      <c r="R111" s="809"/>
      <c r="S111" s="989"/>
      <c r="T111" s="809"/>
      <c r="U111" s="809"/>
      <c r="V111" s="809"/>
      <c r="W111" s="809"/>
      <c r="X111" s="809"/>
      <c r="Y111" s="809"/>
      <c r="Z111" s="989"/>
      <c r="AA111" s="809"/>
      <c r="AB111" s="809"/>
      <c r="AC111" s="809"/>
      <c r="AD111" s="809"/>
      <c r="AE111" s="827"/>
      <c r="AF111" s="809"/>
      <c r="AG111" s="960"/>
      <c r="AH111" s="873"/>
      <c r="AI111" s="839">
        <f t="shared" si="7"/>
        <v>0</v>
      </c>
      <c r="AJ111" s="777">
        <v>0</v>
      </c>
      <c r="AK111" s="778">
        <f t="shared" si="5"/>
        <v>0</v>
      </c>
      <c r="AL111" s="780"/>
      <c r="AM111" s="781">
        <f t="shared" si="6"/>
        <v>0</v>
      </c>
    </row>
    <row r="112" spans="1:39" s="782" customFormat="1" hidden="1">
      <c r="A112" s="772" t="s">
        <v>615</v>
      </c>
      <c r="B112" s="772" t="s">
        <v>1168</v>
      </c>
      <c r="C112" s="876" t="s">
        <v>39</v>
      </c>
      <c r="D112" s="795"/>
      <c r="E112" s="981"/>
      <c r="F112" s="778"/>
      <c r="G112" s="778"/>
      <c r="H112" s="778"/>
      <c r="I112" s="777"/>
      <c r="J112" s="777"/>
      <c r="K112" s="777"/>
      <c r="L112" s="989"/>
      <c r="M112" s="809"/>
      <c r="N112" s="809"/>
      <c r="O112" s="809"/>
      <c r="P112" s="809"/>
      <c r="Q112" s="809"/>
      <c r="R112" s="809"/>
      <c r="S112" s="989"/>
      <c r="T112" s="809"/>
      <c r="U112" s="809"/>
      <c r="V112" s="809"/>
      <c r="W112" s="809"/>
      <c r="X112" s="809"/>
      <c r="Y112" s="809"/>
      <c r="Z112" s="989"/>
      <c r="AA112" s="809"/>
      <c r="AB112" s="809"/>
      <c r="AC112" s="809"/>
      <c r="AD112" s="809"/>
      <c r="AE112" s="827"/>
      <c r="AF112" s="809"/>
      <c r="AG112" s="960"/>
      <c r="AH112" s="873"/>
      <c r="AI112" s="839">
        <f t="shared" si="7"/>
        <v>0</v>
      </c>
      <c r="AJ112" s="777">
        <v>0</v>
      </c>
      <c r="AK112" s="778">
        <f t="shared" si="5"/>
        <v>0</v>
      </c>
      <c r="AL112" s="780" t="s">
        <v>1497</v>
      </c>
      <c r="AM112" s="781">
        <f t="shared" si="6"/>
        <v>2.82</v>
      </c>
    </row>
    <row r="113" spans="1:39" s="782" customFormat="1" hidden="1">
      <c r="A113" s="772" t="s">
        <v>616</v>
      </c>
      <c r="B113" s="772" t="s">
        <v>1169</v>
      </c>
      <c r="C113" s="877" t="s">
        <v>36</v>
      </c>
      <c r="D113" s="795"/>
      <c r="E113" s="981"/>
      <c r="F113" s="778"/>
      <c r="G113" s="778"/>
      <c r="H113" s="778"/>
      <c r="I113" s="777"/>
      <c r="J113" s="777"/>
      <c r="K113" s="777"/>
      <c r="L113" s="989"/>
      <c r="M113" s="809"/>
      <c r="N113" s="809"/>
      <c r="O113" s="809"/>
      <c r="P113" s="809"/>
      <c r="Q113" s="809"/>
      <c r="R113" s="809"/>
      <c r="S113" s="989"/>
      <c r="T113" s="809"/>
      <c r="U113" s="809"/>
      <c r="V113" s="809"/>
      <c r="W113" s="809"/>
      <c r="X113" s="809"/>
      <c r="Y113" s="809"/>
      <c r="Z113" s="989"/>
      <c r="AA113" s="809"/>
      <c r="AB113" s="809"/>
      <c r="AC113" s="809"/>
      <c r="AD113" s="809"/>
      <c r="AE113" s="827"/>
      <c r="AF113" s="809"/>
      <c r="AG113" s="960"/>
      <c r="AH113" s="873"/>
      <c r="AI113" s="839">
        <f t="shared" si="7"/>
        <v>0</v>
      </c>
      <c r="AJ113" s="777">
        <v>0</v>
      </c>
      <c r="AK113" s="778">
        <f t="shared" si="5"/>
        <v>0</v>
      </c>
      <c r="AL113" s="780" t="s">
        <v>1498</v>
      </c>
      <c r="AM113" s="781">
        <f t="shared" si="6"/>
        <v>35.44</v>
      </c>
    </row>
    <row r="114" spans="1:39" s="782" customFormat="1" hidden="1">
      <c r="A114" s="772" t="s">
        <v>617</v>
      </c>
      <c r="B114" s="772" t="s">
        <v>1170</v>
      </c>
      <c r="C114" s="876" t="s">
        <v>47</v>
      </c>
      <c r="D114" s="795"/>
      <c r="E114" s="981"/>
      <c r="F114" s="778"/>
      <c r="G114" s="778"/>
      <c r="H114" s="778"/>
      <c r="I114" s="777"/>
      <c r="J114" s="777"/>
      <c r="K114" s="777"/>
      <c r="L114" s="989"/>
      <c r="M114" s="809"/>
      <c r="N114" s="809"/>
      <c r="O114" s="809"/>
      <c r="P114" s="809"/>
      <c r="Q114" s="809"/>
      <c r="R114" s="809"/>
      <c r="S114" s="989"/>
      <c r="T114" s="809"/>
      <c r="U114" s="809"/>
      <c r="V114" s="809"/>
      <c r="W114" s="809"/>
      <c r="X114" s="809"/>
      <c r="Y114" s="809"/>
      <c r="Z114" s="989"/>
      <c r="AA114" s="809"/>
      <c r="AB114" s="809"/>
      <c r="AC114" s="809"/>
      <c r="AD114" s="809"/>
      <c r="AE114" s="827"/>
      <c r="AF114" s="809"/>
      <c r="AG114" s="960"/>
      <c r="AH114" s="873"/>
      <c r="AI114" s="839">
        <f t="shared" si="7"/>
        <v>0</v>
      </c>
      <c r="AJ114" s="777">
        <v>0</v>
      </c>
      <c r="AK114" s="778">
        <f t="shared" si="5"/>
        <v>0</v>
      </c>
      <c r="AL114" s="780" t="s">
        <v>1499</v>
      </c>
      <c r="AM114" s="781">
        <f t="shared" si="6"/>
        <v>536.94000000000005</v>
      </c>
    </row>
    <row r="115" spans="1:39" s="782" customFormat="1">
      <c r="A115" s="772" t="s">
        <v>618</v>
      </c>
      <c r="B115" s="772" t="s">
        <v>1171</v>
      </c>
      <c r="C115" s="880"/>
      <c r="D115" s="795"/>
      <c r="E115" s="981"/>
      <c r="F115" s="778"/>
      <c r="G115" s="778"/>
      <c r="H115" s="778"/>
      <c r="I115" s="777"/>
      <c r="J115" s="777"/>
      <c r="K115" s="777"/>
      <c r="L115" s="989"/>
      <c r="M115" s="809"/>
      <c r="N115" s="809"/>
      <c r="O115" s="809"/>
      <c r="P115" s="809"/>
      <c r="Q115" s="809"/>
      <c r="R115" s="809"/>
      <c r="S115" s="989"/>
      <c r="T115" s="809"/>
      <c r="U115" s="809"/>
      <c r="V115" s="809"/>
      <c r="W115" s="809"/>
      <c r="X115" s="809"/>
      <c r="Y115" s="809"/>
      <c r="Z115" s="989"/>
      <c r="AA115" s="809"/>
      <c r="AB115" s="809"/>
      <c r="AC115" s="809"/>
      <c r="AD115" s="809"/>
      <c r="AE115" s="827"/>
      <c r="AF115" s="809"/>
      <c r="AG115" s="960"/>
      <c r="AH115" s="873"/>
      <c r="AI115" s="839">
        <f t="shared" si="7"/>
        <v>0</v>
      </c>
      <c r="AJ115" s="777">
        <v>0</v>
      </c>
      <c r="AK115" s="778">
        <f t="shared" si="5"/>
        <v>0</v>
      </c>
      <c r="AL115" s="780"/>
      <c r="AM115" s="781">
        <f t="shared" si="6"/>
        <v>0</v>
      </c>
    </row>
    <row r="116" spans="1:39" s="782" customFormat="1">
      <c r="A116" s="772" t="s">
        <v>619</v>
      </c>
      <c r="B116" s="772" t="s">
        <v>1172</v>
      </c>
      <c r="C116" s="876" t="s">
        <v>39</v>
      </c>
      <c r="D116" s="795"/>
      <c r="E116" s="981"/>
      <c r="F116" s="778"/>
      <c r="G116" s="778"/>
      <c r="H116" s="778"/>
      <c r="I116" s="777"/>
      <c r="J116" s="777"/>
      <c r="K116" s="777"/>
      <c r="L116" s="989"/>
      <c r="M116" s="809"/>
      <c r="N116" s="809"/>
      <c r="O116" s="809"/>
      <c r="P116" s="809"/>
      <c r="Q116" s="809"/>
      <c r="R116" s="809"/>
      <c r="S116" s="989"/>
      <c r="T116" s="809"/>
      <c r="U116" s="809"/>
      <c r="V116" s="809"/>
      <c r="W116" s="809"/>
      <c r="X116" s="809"/>
      <c r="Y116" s="809"/>
      <c r="Z116" s="989"/>
      <c r="AA116" s="809"/>
      <c r="AB116" s="809"/>
      <c r="AC116" s="809"/>
      <c r="AD116" s="809"/>
      <c r="AE116" s="827"/>
      <c r="AF116" s="809"/>
      <c r="AG116" s="960"/>
      <c r="AH116" s="873"/>
      <c r="AI116" s="839">
        <f t="shared" si="7"/>
        <v>0</v>
      </c>
      <c r="AJ116" s="777">
        <v>0</v>
      </c>
      <c r="AK116" s="778">
        <f t="shared" si="5"/>
        <v>0</v>
      </c>
      <c r="AL116" s="780" t="s">
        <v>1500</v>
      </c>
      <c r="AM116" s="781">
        <f t="shared" si="6"/>
        <v>10.33</v>
      </c>
    </row>
    <row r="117" spans="1:39" s="782" customFormat="1">
      <c r="A117" s="772" t="s">
        <v>620</v>
      </c>
      <c r="B117" s="772" t="s">
        <v>1173</v>
      </c>
      <c r="C117" s="876" t="s">
        <v>36</v>
      </c>
      <c r="D117" s="795"/>
      <c r="E117" s="981"/>
      <c r="F117" s="778"/>
      <c r="G117" s="778"/>
      <c r="H117" s="778"/>
      <c r="I117" s="777"/>
      <c r="J117" s="777"/>
      <c r="K117" s="777"/>
      <c r="L117" s="989"/>
      <c r="M117" s="809"/>
      <c r="N117" s="809"/>
      <c r="O117" s="809"/>
      <c r="P117" s="809"/>
      <c r="Q117" s="809"/>
      <c r="R117" s="809"/>
      <c r="S117" s="989"/>
      <c r="T117" s="809"/>
      <c r="U117" s="809"/>
      <c r="V117" s="809"/>
      <c r="W117" s="945">
        <f>(2.43+2.24+2.24+2.48+2.48+2.19+2.44+2.19+2.48+2.48+2.48+2.48+2.24+2.24)*0.25+2.48*2*0.25+2.28*0.25</f>
        <v>10.082500000000001</v>
      </c>
      <c r="X117" s="945">
        <f>7*2*0.4+8*2.48*0.4</f>
        <v>13.536000000000001</v>
      </c>
      <c r="Y117" s="945">
        <f>7.54*0.4*4+18*0.4*0.2*3</f>
        <v>16.384</v>
      </c>
      <c r="Z117" s="989"/>
      <c r="AA117" s="809"/>
      <c r="AB117" s="809"/>
      <c r="AC117" s="809"/>
      <c r="AD117" s="809"/>
      <c r="AE117" s="827"/>
      <c r="AF117" s="809"/>
      <c r="AG117" s="960"/>
      <c r="AH117" s="873"/>
      <c r="AI117" s="839">
        <f t="shared" si="7"/>
        <v>40</v>
      </c>
      <c r="AJ117" s="777">
        <v>0</v>
      </c>
      <c r="AK117" s="778">
        <f t="shared" si="5"/>
        <v>40</v>
      </c>
      <c r="AL117" s="780" t="s">
        <v>1501</v>
      </c>
      <c r="AM117" s="781">
        <f t="shared" si="6"/>
        <v>76.459999999999994</v>
      </c>
    </row>
    <row r="118" spans="1:39" s="782" customFormat="1">
      <c r="A118" s="772" t="s">
        <v>621</v>
      </c>
      <c r="B118" s="772" t="s">
        <v>1174</v>
      </c>
      <c r="C118" s="876" t="s">
        <v>47</v>
      </c>
      <c r="D118" s="795"/>
      <c r="E118" s="981"/>
      <c r="F118" s="778"/>
      <c r="G118" s="778"/>
      <c r="H118" s="778"/>
      <c r="I118" s="777"/>
      <c r="J118" s="777"/>
      <c r="K118" s="777"/>
      <c r="L118" s="989"/>
      <c r="M118" s="809"/>
      <c r="N118" s="809"/>
      <c r="O118" s="809"/>
      <c r="P118" s="809"/>
      <c r="Q118" s="809"/>
      <c r="R118" s="809"/>
      <c r="S118" s="989"/>
      <c r="T118" s="809"/>
      <c r="U118" s="809"/>
      <c r="V118" s="945">
        <v>1452.85</v>
      </c>
      <c r="W118" s="809"/>
      <c r="X118" s="809"/>
      <c r="Y118" s="809"/>
      <c r="Z118" s="989"/>
      <c r="AA118" s="809"/>
      <c r="AB118" s="809"/>
      <c r="AC118" s="809"/>
      <c r="AD118" s="809"/>
      <c r="AE118" s="827"/>
      <c r="AF118" s="809"/>
      <c r="AG118" s="960"/>
      <c r="AH118" s="873"/>
      <c r="AI118" s="839">
        <f t="shared" si="7"/>
        <v>1452.85</v>
      </c>
      <c r="AJ118" s="777">
        <v>0</v>
      </c>
      <c r="AK118" s="778">
        <f t="shared" si="5"/>
        <v>1452.85</v>
      </c>
      <c r="AL118" s="780" t="s">
        <v>1502</v>
      </c>
      <c r="AM118" s="781">
        <f t="shared" si="6"/>
        <v>0</v>
      </c>
    </row>
    <row r="119" spans="1:39" s="782" customFormat="1">
      <c r="A119" s="772" t="s">
        <v>622</v>
      </c>
      <c r="B119" s="772" t="s">
        <v>1175</v>
      </c>
      <c r="C119" s="876"/>
      <c r="D119" s="795"/>
      <c r="E119" s="981"/>
      <c r="F119" s="778"/>
      <c r="G119" s="778"/>
      <c r="H119" s="778"/>
      <c r="I119" s="777"/>
      <c r="J119" s="777"/>
      <c r="K119" s="777"/>
      <c r="L119" s="989"/>
      <c r="M119" s="809"/>
      <c r="N119" s="809"/>
      <c r="O119" s="809"/>
      <c r="P119" s="809"/>
      <c r="Q119" s="809"/>
      <c r="R119" s="809"/>
      <c r="S119" s="989"/>
      <c r="T119" s="809"/>
      <c r="U119" s="809"/>
      <c r="V119" s="809"/>
      <c r="W119" s="809"/>
      <c r="X119" s="809"/>
      <c r="Y119" s="809"/>
      <c r="Z119" s="989"/>
      <c r="AA119" s="809"/>
      <c r="AB119" s="809"/>
      <c r="AC119" s="809"/>
      <c r="AD119" s="809"/>
      <c r="AE119" s="827"/>
      <c r="AF119" s="809"/>
      <c r="AG119" s="960"/>
      <c r="AH119" s="873"/>
      <c r="AI119" s="839">
        <f t="shared" si="7"/>
        <v>0</v>
      </c>
      <c r="AJ119" s="777">
        <v>0</v>
      </c>
      <c r="AK119" s="778">
        <f t="shared" si="5"/>
        <v>0</v>
      </c>
      <c r="AL119" s="780"/>
      <c r="AM119" s="781">
        <f t="shared" si="6"/>
        <v>0</v>
      </c>
    </row>
    <row r="120" spans="1:39" s="782" customFormat="1" hidden="1">
      <c r="A120" s="772" t="s">
        <v>623</v>
      </c>
      <c r="B120" s="772" t="s">
        <v>1176</v>
      </c>
      <c r="C120" s="876" t="s">
        <v>39</v>
      </c>
      <c r="D120" s="795"/>
      <c r="E120" s="981"/>
      <c r="F120" s="778"/>
      <c r="G120" s="778"/>
      <c r="H120" s="778"/>
      <c r="I120" s="777"/>
      <c r="J120" s="777"/>
      <c r="K120" s="777"/>
      <c r="L120" s="989"/>
      <c r="M120" s="809"/>
      <c r="N120" s="809"/>
      <c r="O120" s="809"/>
      <c r="P120" s="809"/>
      <c r="Q120" s="809"/>
      <c r="R120" s="809"/>
      <c r="S120" s="989"/>
      <c r="T120" s="809"/>
      <c r="U120" s="809"/>
      <c r="V120" s="809"/>
      <c r="W120" s="809"/>
      <c r="X120" s="809"/>
      <c r="Y120" s="809"/>
      <c r="Z120" s="989"/>
      <c r="AA120" s="809"/>
      <c r="AB120" s="809"/>
      <c r="AC120" s="809"/>
      <c r="AD120" s="809"/>
      <c r="AE120" s="827"/>
      <c r="AF120" s="809"/>
      <c r="AG120" s="960"/>
      <c r="AH120" s="873"/>
      <c r="AI120" s="839">
        <f t="shared" si="7"/>
        <v>0</v>
      </c>
      <c r="AJ120" s="777">
        <v>0</v>
      </c>
      <c r="AK120" s="778">
        <f t="shared" si="5"/>
        <v>0</v>
      </c>
      <c r="AL120" s="780" t="s">
        <v>1503</v>
      </c>
      <c r="AM120" s="781">
        <f t="shared" si="6"/>
        <v>8.94</v>
      </c>
    </row>
    <row r="121" spans="1:39" s="782" customFormat="1">
      <c r="A121" s="772" t="s">
        <v>624</v>
      </c>
      <c r="B121" s="772" t="s">
        <v>1177</v>
      </c>
      <c r="C121" s="876" t="s">
        <v>36</v>
      </c>
      <c r="D121" s="795"/>
      <c r="E121" s="981"/>
      <c r="F121" s="778"/>
      <c r="G121" s="778"/>
      <c r="H121" s="778"/>
      <c r="I121" s="777"/>
      <c r="J121" s="777"/>
      <c r="K121" s="777"/>
      <c r="L121" s="989"/>
      <c r="M121" s="809"/>
      <c r="N121" s="809"/>
      <c r="O121" s="809"/>
      <c r="P121" s="809"/>
      <c r="Q121" s="809"/>
      <c r="R121" s="809"/>
      <c r="S121" s="989"/>
      <c r="T121" s="809"/>
      <c r="U121" s="809"/>
      <c r="V121" s="809"/>
      <c r="W121" s="809"/>
      <c r="X121" s="809"/>
      <c r="Y121" s="809"/>
      <c r="Z121" s="989"/>
      <c r="AA121" s="809"/>
      <c r="AB121" s="945">
        <f>(2.55+2.37+2.04+1.85+1.71+1.38+1.06+0.73+0.4)*0.25*3</f>
        <v>10.567499999999999</v>
      </c>
      <c r="AC121" s="945">
        <f>(2.55+2.37+2.04+1.85+1.71+1.38+1.06+0.73+0.4)*0.25*3</f>
        <v>10.567499999999999</v>
      </c>
      <c r="AD121" s="945">
        <f>(2.55+2.37+2.04+1.85+1.71+1.38+1.06+0.73+0.4)*0.25*2</f>
        <v>7.0449999999999999</v>
      </c>
      <c r="AE121" s="945"/>
      <c r="AF121" s="945">
        <f>2.23*0.25*12</f>
        <v>6.6899999999999995</v>
      </c>
      <c r="AG121" s="962"/>
      <c r="AH121" s="945">
        <f>7*0.25*2.19</f>
        <v>3.8325</v>
      </c>
      <c r="AI121" s="839">
        <f t="shared" si="7"/>
        <v>38.700000000000003</v>
      </c>
      <c r="AJ121" s="777">
        <v>0</v>
      </c>
      <c r="AK121" s="778">
        <f t="shared" si="5"/>
        <v>38.700000000000003</v>
      </c>
      <c r="AL121" s="780" t="s">
        <v>1504</v>
      </c>
      <c r="AM121" s="781">
        <f t="shared" si="6"/>
        <v>63.47</v>
      </c>
    </row>
    <row r="122" spans="1:39" s="782" customFormat="1" hidden="1">
      <c r="A122" s="772" t="s">
        <v>625</v>
      </c>
      <c r="B122" s="772" t="s">
        <v>1178</v>
      </c>
      <c r="C122" s="876" t="s">
        <v>47</v>
      </c>
      <c r="D122" s="795"/>
      <c r="E122" s="981"/>
      <c r="F122" s="778"/>
      <c r="G122" s="778"/>
      <c r="H122" s="778"/>
      <c r="I122" s="777"/>
      <c r="J122" s="777"/>
      <c r="K122" s="777"/>
      <c r="L122" s="989"/>
      <c r="M122" s="809"/>
      <c r="N122" s="809"/>
      <c r="O122" s="809"/>
      <c r="P122" s="809"/>
      <c r="Q122" s="809"/>
      <c r="R122" s="809"/>
      <c r="S122" s="989"/>
      <c r="T122" s="809"/>
      <c r="U122" s="809"/>
      <c r="V122" s="809"/>
      <c r="W122" s="809"/>
      <c r="X122" s="809"/>
      <c r="Y122" s="809"/>
      <c r="Z122" s="989"/>
      <c r="AA122" s="809"/>
      <c r="AB122" s="809"/>
      <c r="AC122" s="809"/>
      <c r="AD122" s="809"/>
      <c r="AE122" s="827"/>
      <c r="AF122" s="809"/>
      <c r="AG122" s="960"/>
      <c r="AH122" s="873"/>
      <c r="AI122" s="839">
        <f t="shared" si="7"/>
        <v>0</v>
      </c>
      <c r="AJ122" s="777">
        <v>0</v>
      </c>
      <c r="AK122" s="778">
        <f t="shared" si="5"/>
        <v>0</v>
      </c>
      <c r="AL122" s="780" t="s">
        <v>1505</v>
      </c>
      <c r="AM122" s="781">
        <f t="shared" si="6"/>
        <v>1062.45</v>
      </c>
    </row>
    <row r="123" spans="1:39" s="782" customFormat="1" hidden="1">
      <c r="A123" s="772" t="s">
        <v>626</v>
      </c>
      <c r="B123" s="772" t="s">
        <v>1179</v>
      </c>
      <c r="C123" s="876" t="s">
        <v>1436</v>
      </c>
      <c r="D123" s="795"/>
      <c r="E123" s="981"/>
      <c r="F123" s="778"/>
      <c r="G123" s="778"/>
      <c r="H123" s="778"/>
      <c r="I123" s="777"/>
      <c r="J123" s="777"/>
      <c r="K123" s="777"/>
      <c r="L123" s="989"/>
      <c r="M123" s="809"/>
      <c r="N123" s="809"/>
      <c r="O123" s="809"/>
      <c r="P123" s="809"/>
      <c r="Q123" s="809"/>
      <c r="R123" s="809"/>
      <c r="S123" s="989"/>
      <c r="T123" s="809"/>
      <c r="U123" s="809"/>
      <c r="V123" s="809"/>
      <c r="W123" s="809"/>
      <c r="X123" s="809"/>
      <c r="Y123" s="809"/>
      <c r="Z123" s="989"/>
      <c r="AA123" s="809"/>
      <c r="AB123" s="809"/>
      <c r="AC123" s="809"/>
      <c r="AD123" s="809"/>
      <c r="AE123" s="827"/>
      <c r="AF123" s="809"/>
      <c r="AG123" s="960"/>
      <c r="AH123" s="873"/>
      <c r="AI123" s="839">
        <f t="shared" si="7"/>
        <v>0</v>
      </c>
      <c r="AJ123" s="777">
        <v>0</v>
      </c>
      <c r="AK123" s="778">
        <f t="shared" si="5"/>
        <v>0</v>
      </c>
      <c r="AL123" s="780" t="s">
        <v>1506</v>
      </c>
      <c r="AM123" s="781">
        <f t="shared" si="6"/>
        <v>851.11</v>
      </c>
    </row>
    <row r="124" spans="1:39" s="782" customFormat="1" hidden="1">
      <c r="A124" s="772" t="s">
        <v>627</v>
      </c>
      <c r="B124" s="772" t="s">
        <v>1180</v>
      </c>
      <c r="C124" s="880"/>
      <c r="D124" s="795"/>
      <c r="E124" s="981"/>
      <c r="F124" s="778"/>
      <c r="G124" s="778"/>
      <c r="H124" s="778"/>
      <c r="I124" s="777"/>
      <c r="J124" s="777"/>
      <c r="K124" s="777"/>
      <c r="L124" s="989"/>
      <c r="M124" s="809"/>
      <c r="N124" s="809"/>
      <c r="O124" s="809"/>
      <c r="P124" s="809"/>
      <c r="Q124" s="809"/>
      <c r="R124" s="809"/>
      <c r="S124" s="989"/>
      <c r="T124" s="809"/>
      <c r="U124" s="809"/>
      <c r="V124" s="809"/>
      <c r="W124" s="809"/>
      <c r="X124" s="809"/>
      <c r="Y124" s="809"/>
      <c r="Z124" s="989"/>
      <c r="AA124" s="809"/>
      <c r="AB124" s="809"/>
      <c r="AC124" s="809"/>
      <c r="AD124" s="809"/>
      <c r="AE124" s="827"/>
      <c r="AF124" s="809"/>
      <c r="AG124" s="960"/>
      <c r="AH124" s="873"/>
      <c r="AI124" s="839">
        <f t="shared" si="7"/>
        <v>0</v>
      </c>
      <c r="AJ124" s="777">
        <v>0</v>
      </c>
      <c r="AK124" s="778">
        <f t="shared" si="5"/>
        <v>0</v>
      </c>
      <c r="AL124" s="780"/>
      <c r="AM124" s="781">
        <f t="shared" si="6"/>
        <v>0</v>
      </c>
    </row>
    <row r="125" spans="1:39" s="782" customFormat="1" hidden="1">
      <c r="A125" s="772" t="s">
        <v>628</v>
      </c>
      <c r="B125" s="772" t="s">
        <v>1181</v>
      </c>
      <c r="C125" s="876" t="s">
        <v>39</v>
      </c>
      <c r="D125" s="795"/>
      <c r="E125" s="981"/>
      <c r="F125" s="778"/>
      <c r="G125" s="778"/>
      <c r="H125" s="778"/>
      <c r="I125" s="777"/>
      <c r="J125" s="777"/>
      <c r="K125" s="777"/>
      <c r="L125" s="989"/>
      <c r="M125" s="809"/>
      <c r="N125" s="809"/>
      <c r="O125" s="809"/>
      <c r="P125" s="809"/>
      <c r="Q125" s="809"/>
      <c r="R125" s="809"/>
      <c r="S125" s="989"/>
      <c r="T125" s="809"/>
      <c r="U125" s="809"/>
      <c r="V125" s="809"/>
      <c r="W125" s="809"/>
      <c r="X125" s="809"/>
      <c r="Y125" s="809"/>
      <c r="Z125" s="989"/>
      <c r="AA125" s="809"/>
      <c r="AB125" s="809"/>
      <c r="AC125" s="809"/>
      <c r="AD125" s="809"/>
      <c r="AE125" s="827"/>
      <c r="AF125" s="809"/>
      <c r="AG125" s="960"/>
      <c r="AH125" s="873"/>
      <c r="AI125" s="839">
        <f t="shared" si="7"/>
        <v>0</v>
      </c>
      <c r="AJ125" s="777">
        <v>0</v>
      </c>
      <c r="AK125" s="778">
        <f t="shared" si="5"/>
        <v>0</v>
      </c>
      <c r="AL125" s="780" t="s">
        <v>1507</v>
      </c>
      <c r="AM125" s="781">
        <f t="shared" si="6"/>
        <v>2.66</v>
      </c>
    </row>
    <row r="126" spans="1:39" s="782" customFormat="1" hidden="1">
      <c r="A126" s="772" t="s">
        <v>629</v>
      </c>
      <c r="B126" s="772" t="s">
        <v>1182</v>
      </c>
      <c r="C126" s="876" t="s">
        <v>36</v>
      </c>
      <c r="D126" s="795"/>
      <c r="E126" s="981"/>
      <c r="F126" s="778"/>
      <c r="G126" s="778"/>
      <c r="H126" s="778"/>
      <c r="I126" s="777"/>
      <c r="J126" s="777"/>
      <c r="K126" s="777"/>
      <c r="L126" s="989"/>
      <c r="M126" s="809"/>
      <c r="N126" s="809"/>
      <c r="O126" s="809"/>
      <c r="P126" s="809"/>
      <c r="Q126" s="809"/>
      <c r="R126" s="809"/>
      <c r="S126" s="989"/>
      <c r="T126" s="809"/>
      <c r="U126" s="809"/>
      <c r="V126" s="809"/>
      <c r="W126" s="809"/>
      <c r="X126" s="809"/>
      <c r="Y126" s="809"/>
      <c r="Z126" s="989"/>
      <c r="AA126" s="809"/>
      <c r="AB126" s="809"/>
      <c r="AC126" s="809"/>
      <c r="AD126" s="809"/>
      <c r="AE126" s="827"/>
      <c r="AF126" s="809"/>
      <c r="AG126" s="960"/>
      <c r="AH126" s="873"/>
      <c r="AI126" s="839">
        <f t="shared" si="7"/>
        <v>0</v>
      </c>
      <c r="AJ126" s="777">
        <v>0</v>
      </c>
      <c r="AK126" s="778">
        <f t="shared" si="5"/>
        <v>0</v>
      </c>
      <c r="AL126" s="780" t="s">
        <v>1498</v>
      </c>
      <c r="AM126" s="781">
        <f t="shared" si="6"/>
        <v>35.44</v>
      </c>
    </row>
    <row r="127" spans="1:39" s="782" customFormat="1" hidden="1">
      <c r="A127" s="772" t="s">
        <v>630</v>
      </c>
      <c r="B127" s="772" t="s">
        <v>1183</v>
      </c>
      <c r="C127" s="876" t="s">
        <v>47</v>
      </c>
      <c r="D127" s="795"/>
      <c r="E127" s="981"/>
      <c r="F127" s="778"/>
      <c r="G127" s="778"/>
      <c r="H127" s="778"/>
      <c r="I127" s="777"/>
      <c r="J127" s="777"/>
      <c r="K127" s="777"/>
      <c r="L127" s="989"/>
      <c r="M127" s="809"/>
      <c r="N127" s="809"/>
      <c r="O127" s="809"/>
      <c r="P127" s="809"/>
      <c r="Q127" s="809"/>
      <c r="R127" s="809"/>
      <c r="S127" s="989"/>
      <c r="T127" s="809"/>
      <c r="U127" s="809"/>
      <c r="V127" s="809"/>
      <c r="W127" s="809"/>
      <c r="X127" s="809"/>
      <c r="Y127" s="809"/>
      <c r="Z127" s="989"/>
      <c r="AA127" s="809"/>
      <c r="AB127" s="809"/>
      <c r="AC127" s="809"/>
      <c r="AD127" s="809"/>
      <c r="AE127" s="827"/>
      <c r="AF127" s="809"/>
      <c r="AG127" s="960"/>
      <c r="AH127" s="873"/>
      <c r="AI127" s="839">
        <f t="shared" si="7"/>
        <v>0</v>
      </c>
      <c r="AJ127" s="777">
        <v>0</v>
      </c>
      <c r="AK127" s="778">
        <f t="shared" si="5"/>
        <v>0</v>
      </c>
      <c r="AL127" s="780" t="s">
        <v>1508</v>
      </c>
      <c r="AM127" s="781">
        <f t="shared" si="6"/>
        <v>179.59</v>
      </c>
    </row>
    <row r="128" spans="1:39" s="782" customFormat="1" hidden="1">
      <c r="A128" s="885" t="s">
        <v>631</v>
      </c>
      <c r="B128" s="885" t="s">
        <v>1184</v>
      </c>
      <c r="C128" s="880"/>
      <c r="D128" s="795"/>
      <c r="E128" s="981"/>
      <c r="F128" s="778"/>
      <c r="G128" s="778"/>
      <c r="H128" s="778"/>
      <c r="I128" s="777"/>
      <c r="J128" s="777"/>
      <c r="K128" s="777"/>
      <c r="L128" s="989"/>
      <c r="M128" s="809"/>
      <c r="N128" s="809"/>
      <c r="O128" s="809"/>
      <c r="P128" s="809"/>
      <c r="Q128" s="809"/>
      <c r="R128" s="809"/>
      <c r="S128" s="989"/>
      <c r="T128" s="809"/>
      <c r="U128" s="809"/>
      <c r="V128" s="809"/>
      <c r="W128" s="809"/>
      <c r="X128" s="809"/>
      <c r="Y128" s="809"/>
      <c r="Z128" s="989"/>
      <c r="AA128" s="809"/>
      <c r="AB128" s="809"/>
      <c r="AC128" s="809"/>
      <c r="AD128" s="809"/>
      <c r="AE128" s="827"/>
      <c r="AF128" s="809"/>
      <c r="AG128" s="960"/>
      <c r="AH128" s="873"/>
      <c r="AI128" s="839">
        <f t="shared" si="7"/>
        <v>0</v>
      </c>
      <c r="AJ128" s="777">
        <v>0</v>
      </c>
      <c r="AK128" s="778">
        <f t="shared" si="5"/>
        <v>0</v>
      </c>
      <c r="AL128" s="780"/>
      <c r="AM128" s="781">
        <f t="shared" si="6"/>
        <v>0</v>
      </c>
    </row>
    <row r="129" spans="1:39" s="782" customFormat="1" hidden="1">
      <c r="A129" s="772" t="s">
        <v>632</v>
      </c>
      <c r="B129" s="772" t="s">
        <v>1185</v>
      </c>
      <c r="C129" s="876" t="s">
        <v>37</v>
      </c>
      <c r="D129" s="795"/>
      <c r="E129" s="981"/>
      <c r="F129" s="778"/>
      <c r="G129" s="778"/>
      <c r="H129" s="778"/>
      <c r="I129" s="777"/>
      <c r="J129" s="777"/>
      <c r="K129" s="777"/>
      <c r="L129" s="989"/>
      <c r="M129" s="809"/>
      <c r="N129" s="809"/>
      <c r="O129" s="809"/>
      <c r="P129" s="809"/>
      <c r="Q129" s="809"/>
      <c r="R129" s="809"/>
      <c r="S129" s="989"/>
      <c r="T129" s="809"/>
      <c r="U129" s="809"/>
      <c r="V129" s="809"/>
      <c r="W129" s="809"/>
      <c r="X129" s="809"/>
      <c r="Y129" s="809"/>
      <c r="Z129" s="989"/>
      <c r="AA129" s="809"/>
      <c r="AB129" s="809"/>
      <c r="AC129" s="809"/>
      <c r="AD129" s="809"/>
      <c r="AE129" s="827"/>
      <c r="AF129" s="809"/>
      <c r="AG129" s="960"/>
      <c r="AH129" s="873"/>
      <c r="AI129" s="839">
        <f t="shared" si="7"/>
        <v>0</v>
      </c>
      <c r="AJ129" s="777">
        <v>0</v>
      </c>
      <c r="AK129" s="778">
        <f t="shared" si="5"/>
        <v>0</v>
      </c>
      <c r="AL129" s="780" t="s">
        <v>1509</v>
      </c>
      <c r="AM129" s="781">
        <f t="shared" si="6"/>
        <v>158.4</v>
      </c>
    </row>
    <row r="130" spans="1:39" s="785" customFormat="1">
      <c r="A130" s="885" t="s">
        <v>633</v>
      </c>
      <c r="B130" s="885" t="s">
        <v>1186</v>
      </c>
      <c r="C130" s="898"/>
      <c r="D130" s="881"/>
      <c r="E130" s="982"/>
      <c r="F130" s="783"/>
      <c r="G130" s="783"/>
      <c r="H130" s="783"/>
      <c r="I130" s="779"/>
      <c r="J130" s="779"/>
      <c r="K130" s="779"/>
      <c r="L130" s="989"/>
      <c r="M130" s="809"/>
      <c r="N130" s="809"/>
      <c r="O130" s="809"/>
      <c r="P130" s="809"/>
      <c r="Q130" s="809"/>
      <c r="R130" s="809"/>
      <c r="S130" s="989"/>
      <c r="T130" s="809"/>
      <c r="U130" s="809"/>
      <c r="V130" s="809"/>
      <c r="W130" s="809"/>
      <c r="X130" s="809"/>
      <c r="Y130" s="809"/>
      <c r="Z130" s="989"/>
      <c r="AA130" s="809"/>
      <c r="AB130" s="809"/>
      <c r="AC130" s="809"/>
      <c r="AD130" s="809"/>
      <c r="AE130" s="827"/>
      <c r="AF130" s="809"/>
      <c r="AG130" s="960"/>
      <c r="AH130" s="873"/>
      <c r="AI130" s="839">
        <f t="shared" si="7"/>
        <v>0</v>
      </c>
      <c r="AJ130" s="777">
        <v>0</v>
      </c>
      <c r="AK130" s="778">
        <f t="shared" si="5"/>
        <v>0</v>
      </c>
      <c r="AL130" s="784"/>
      <c r="AM130" s="781">
        <f t="shared" si="6"/>
        <v>0</v>
      </c>
    </row>
    <row r="131" spans="1:39" s="785" customFormat="1" hidden="1">
      <c r="A131" s="772" t="s">
        <v>634</v>
      </c>
      <c r="B131" s="772" t="s">
        <v>1187</v>
      </c>
      <c r="C131" s="876" t="s">
        <v>37</v>
      </c>
      <c r="D131" s="881"/>
      <c r="E131" s="982"/>
      <c r="F131" s="783"/>
      <c r="G131" s="783"/>
      <c r="H131" s="783"/>
      <c r="I131" s="779"/>
      <c r="J131" s="779"/>
      <c r="K131" s="779"/>
      <c r="L131" s="989"/>
      <c r="M131" s="809"/>
      <c r="N131" s="809"/>
      <c r="O131" s="809"/>
      <c r="P131" s="809"/>
      <c r="Q131" s="809"/>
      <c r="R131" s="809"/>
      <c r="S131" s="989"/>
      <c r="T131" s="809"/>
      <c r="U131" s="809"/>
      <c r="V131" s="809"/>
      <c r="W131" s="809"/>
      <c r="X131" s="809"/>
      <c r="Y131" s="809"/>
      <c r="Z131" s="989"/>
      <c r="AA131" s="809"/>
      <c r="AB131" s="809"/>
      <c r="AC131" s="809"/>
      <c r="AD131" s="809"/>
      <c r="AE131" s="827"/>
      <c r="AF131" s="809"/>
      <c r="AG131" s="960"/>
      <c r="AH131" s="873"/>
      <c r="AI131" s="839">
        <f t="shared" si="7"/>
        <v>0</v>
      </c>
      <c r="AJ131" s="777">
        <v>0</v>
      </c>
      <c r="AK131" s="778">
        <f t="shared" si="5"/>
        <v>0</v>
      </c>
      <c r="AL131" s="784" t="s">
        <v>1510</v>
      </c>
      <c r="AM131" s="781">
        <f t="shared" si="6"/>
        <v>83.2</v>
      </c>
    </row>
    <row r="132" spans="1:39" s="782" customFormat="1">
      <c r="A132" s="772" t="s">
        <v>635</v>
      </c>
      <c r="B132" s="772" t="s">
        <v>224</v>
      </c>
      <c r="C132" s="876" t="s">
        <v>1436</v>
      </c>
      <c r="D132" s="795"/>
      <c r="E132" s="981"/>
      <c r="F132" s="778"/>
      <c r="G132" s="778"/>
      <c r="H132" s="778"/>
      <c r="I132" s="777"/>
      <c r="J132" s="777"/>
      <c r="K132" s="777"/>
      <c r="L132" s="989"/>
      <c r="M132" s="809"/>
      <c r="N132" s="809"/>
      <c r="O132" s="809"/>
      <c r="P132" s="809"/>
      <c r="Q132" s="809"/>
      <c r="R132" s="809"/>
      <c r="S132" s="989"/>
      <c r="T132" s="809"/>
      <c r="U132" s="809"/>
      <c r="V132" s="809"/>
      <c r="W132" s="809"/>
      <c r="X132" s="809"/>
      <c r="Y132" s="809"/>
      <c r="Z132" s="989"/>
      <c r="AA132" s="809"/>
      <c r="AB132" s="809"/>
      <c r="AC132" s="809"/>
      <c r="AD132" s="809"/>
      <c r="AE132" s="827"/>
      <c r="AF132" s="809"/>
      <c r="AG132" s="960"/>
      <c r="AH132" s="974">
        <v>5</v>
      </c>
      <c r="AI132" s="839">
        <f t="shared" si="7"/>
        <v>5</v>
      </c>
      <c r="AJ132" s="777">
        <v>0</v>
      </c>
      <c r="AK132" s="778">
        <f t="shared" si="5"/>
        <v>5</v>
      </c>
      <c r="AL132" s="780" t="s">
        <v>1479</v>
      </c>
      <c r="AM132" s="781">
        <f t="shared" si="6"/>
        <v>10</v>
      </c>
    </row>
    <row r="133" spans="1:39" s="782" customFormat="1">
      <c r="A133" s="868" t="s">
        <v>51</v>
      </c>
      <c r="B133" s="869" t="s">
        <v>1195</v>
      </c>
      <c r="C133" s="880"/>
      <c r="D133" s="795"/>
      <c r="E133" s="981"/>
      <c r="F133" s="778"/>
      <c r="G133" s="778"/>
      <c r="H133" s="778"/>
      <c r="I133" s="777"/>
      <c r="J133" s="777"/>
      <c r="K133" s="777"/>
      <c r="L133" s="989"/>
      <c r="M133" s="809"/>
      <c r="N133" s="809"/>
      <c r="O133" s="809"/>
      <c r="P133" s="809"/>
      <c r="Q133" s="809"/>
      <c r="R133" s="809"/>
      <c r="S133" s="989"/>
      <c r="T133" s="809"/>
      <c r="U133" s="809"/>
      <c r="V133" s="809"/>
      <c r="W133" s="809"/>
      <c r="X133" s="809"/>
      <c r="Y133" s="809"/>
      <c r="Z133" s="989"/>
      <c r="AA133" s="809"/>
      <c r="AB133" s="809"/>
      <c r="AC133" s="809"/>
      <c r="AD133" s="809"/>
      <c r="AE133" s="827"/>
      <c r="AF133" s="809"/>
      <c r="AG133" s="960"/>
      <c r="AH133" s="873"/>
      <c r="AI133" s="839">
        <f t="shared" si="7"/>
        <v>0</v>
      </c>
      <c r="AJ133" s="777">
        <v>0</v>
      </c>
      <c r="AK133" s="778">
        <f t="shared" si="5"/>
        <v>0</v>
      </c>
      <c r="AL133" s="780"/>
      <c r="AM133" s="781">
        <f t="shared" si="6"/>
        <v>0</v>
      </c>
    </row>
    <row r="134" spans="1:39" s="782" customFormat="1">
      <c r="A134" s="885" t="s">
        <v>55</v>
      </c>
      <c r="B134" s="885" t="s">
        <v>45</v>
      </c>
      <c r="C134" s="898"/>
      <c r="D134" s="795"/>
      <c r="E134" s="981"/>
      <c r="F134" s="778"/>
      <c r="G134" s="778"/>
      <c r="H134" s="778"/>
      <c r="I134" s="777"/>
      <c r="J134" s="777"/>
      <c r="K134" s="777"/>
      <c r="L134" s="991"/>
      <c r="M134" s="797"/>
      <c r="N134" s="797"/>
      <c r="O134" s="797"/>
      <c r="P134" s="797"/>
      <c r="Q134" s="797"/>
      <c r="R134" s="797"/>
      <c r="S134" s="991"/>
      <c r="T134" s="797"/>
      <c r="U134" s="797"/>
      <c r="V134" s="797"/>
      <c r="W134" s="797"/>
      <c r="X134" s="797"/>
      <c r="Y134" s="797"/>
      <c r="Z134" s="991"/>
      <c r="AA134" s="797"/>
      <c r="AB134" s="797"/>
      <c r="AC134" s="797"/>
      <c r="AD134" s="797"/>
      <c r="AE134" s="827"/>
      <c r="AF134" s="797"/>
      <c r="AG134" s="962"/>
      <c r="AH134" s="899"/>
      <c r="AI134" s="839">
        <f t="shared" si="7"/>
        <v>0</v>
      </c>
      <c r="AJ134" s="777">
        <v>0</v>
      </c>
      <c r="AK134" s="778">
        <f t="shared" si="5"/>
        <v>0</v>
      </c>
      <c r="AL134" s="780"/>
      <c r="AM134" s="781">
        <f t="shared" si="6"/>
        <v>0</v>
      </c>
    </row>
    <row r="135" spans="1:39" s="560" customFormat="1" hidden="1">
      <c r="A135" s="604" t="s">
        <v>636</v>
      </c>
      <c r="B135" s="604" t="s">
        <v>1142</v>
      </c>
      <c r="C135" s="614" t="s">
        <v>39</v>
      </c>
      <c r="D135" s="580"/>
      <c r="E135" s="981"/>
      <c r="F135" s="581"/>
      <c r="G135" s="581"/>
      <c r="H135" s="581"/>
      <c r="I135" s="949"/>
      <c r="J135" s="949"/>
      <c r="K135" s="949"/>
      <c r="L135" s="991"/>
      <c r="M135" s="583"/>
      <c r="N135" s="583"/>
      <c r="O135" s="583"/>
      <c r="P135" s="583"/>
      <c r="Q135" s="583"/>
      <c r="R135" s="583"/>
      <c r="S135" s="991"/>
      <c r="T135" s="583"/>
      <c r="U135" s="583"/>
      <c r="V135" s="583"/>
      <c r="W135" s="583"/>
      <c r="X135" s="583"/>
      <c r="Y135" s="583"/>
      <c r="Z135" s="991"/>
      <c r="AA135" s="583"/>
      <c r="AB135" s="583"/>
      <c r="AC135" s="583"/>
      <c r="AD135" s="583"/>
      <c r="AE135" s="827"/>
      <c r="AF135" s="583"/>
      <c r="AG135" s="962"/>
      <c r="AH135" s="843"/>
      <c r="AI135" s="839">
        <f t="shared" si="7"/>
        <v>0</v>
      </c>
      <c r="AJ135" s="949">
        <v>0</v>
      </c>
      <c r="AK135" s="581">
        <f t="shared" si="5"/>
        <v>0</v>
      </c>
      <c r="AL135" s="746" t="s">
        <v>1511</v>
      </c>
      <c r="AM135" s="743">
        <f t="shared" si="6"/>
        <v>28.51</v>
      </c>
    </row>
    <row r="136" spans="1:39" s="579" customFormat="1" hidden="1">
      <c r="A136" s="604" t="s">
        <v>637</v>
      </c>
      <c r="B136" s="604" t="s">
        <v>1143</v>
      </c>
      <c r="C136" s="614" t="s">
        <v>39</v>
      </c>
      <c r="D136" s="586"/>
      <c r="E136" s="982"/>
      <c r="F136" s="587"/>
      <c r="G136" s="587"/>
      <c r="H136" s="587"/>
      <c r="I136" s="588"/>
      <c r="J136" s="588"/>
      <c r="K136" s="588"/>
      <c r="L136" s="991"/>
      <c r="M136" s="583"/>
      <c r="N136" s="583"/>
      <c r="O136" s="583"/>
      <c r="P136" s="583"/>
      <c r="Q136" s="583"/>
      <c r="R136" s="583"/>
      <c r="S136" s="991"/>
      <c r="T136" s="583"/>
      <c r="U136" s="583"/>
      <c r="V136" s="583"/>
      <c r="W136" s="583"/>
      <c r="X136" s="583"/>
      <c r="Y136" s="583"/>
      <c r="Z136" s="991"/>
      <c r="AA136" s="583"/>
      <c r="AB136" s="583"/>
      <c r="AC136" s="583"/>
      <c r="AD136" s="583"/>
      <c r="AE136" s="827"/>
      <c r="AF136" s="583"/>
      <c r="AG136" s="962"/>
      <c r="AH136" s="843"/>
      <c r="AI136" s="839">
        <f t="shared" si="7"/>
        <v>0</v>
      </c>
      <c r="AJ136" s="949">
        <v>0</v>
      </c>
      <c r="AK136" s="581">
        <f t="shared" si="5"/>
        <v>0</v>
      </c>
      <c r="AL136" s="747" t="s">
        <v>1512</v>
      </c>
      <c r="AM136" s="743">
        <f t="shared" si="6"/>
        <v>19.8</v>
      </c>
    </row>
    <row r="137" spans="1:39" s="782" customFormat="1">
      <c r="A137" s="772" t="s">
        <v>638</v>
      </c>
      <c r="B137" s="772" t="s">
        <v>1144</v>
      </c>
      <c r="C137" s="877" t="s">
        <v>39</v>
      </c>
      <c r="D137" s="795"/>
      <c r="E137" s="981"/>
      <c r="F137" s="778"/>
      <c r="G137" s="778"/>
      <c r="H137" s="922">
        <f>(6.78*8.285+2.485*1.4995+1.5403*2.4848+2.485*3.3402)*0.5</f>
        <v>36.013145970000004</v>
      </c>
      <c r="I137" s="777"/>
      <c r="J137" s="777"/>
      <c r="K137" s="777"/>
      <c r="L137" s="991"/>
      <c r="M137" s="797"/>
      <c r="N137" s="797"/>
      <c r="O137" s="797"/>
      <c r="P137" s="797"/>
      <c r="Q137" s="797"/>
      <c r="R137" s="797"/>
      <c r="S137" s="991"/>
      <c r="T137" s="797"/>
      <c r="U137" s="797"/>
      <c r="V137" s="797"/>
      <c r="W137" s="797"/>
      <c r="X137" s="797"/>
      <c r="Y137" s="797"/>
      <c r="Z137" s="991"/>
      <c r="AA137" s="797"/>
      <c r="AB137" s="797"/>
      <c r="AC137" s="797"/>
      <c r="AD137" s="797"/>
      <c r="AE137" s="827"/>
      <c r="AF137" s="797"/>
      <c r="AG137" s="962"/>
      <c r="AH137" s="899"/>
      <c r="AI137" s="839">
        <f t="shared" si="7"/>
        <v>36.01</v>
      </c>
      <c r="AJ137" s="777">
        <v>0</v>
      </c>
      <c r="AK137" s="778">
        <f t="shared" si="5"/>
        <v>36.01</v>
      </c>
      <c r="AL137" s="780" t="s">
        <v>1513</v>
      </c>
      <c r="AM137" s="781">
        <f t="shared" si="6"/>
        <v>-1.4499999999999957</v>
      </c>
    </row>
    <row r="138" spans="1:39" s="782" customFormat="1">
      <c r="A138" s="772" t="s">
        <v>639</v>
      </c>
      <c r="B138" s="772" t="s">
        <v>1145</v>
      </c>
      <c r="C138" s="877" t="s">
        <v>36</v>
      </c>
      <c r="D138" s="795"/>
      <c r="E138" s="981"/>
      <c r="F138" s="778"/>
      <c r="G138" s="778"/>
      <c r="H138" s="922">
        <f>(6.78*8.285+2.485*1.4995+1.5403*2.4848+2.485*3.3402)</f>
        <v>72.026291940000007</v>
      </c>
      <c r="I138" s="777"/>
      <c r="J138" s="777"/>
      <c r="K138" s="777"/>
      <c r="L138" s="991"/>
      <c r="M138" s="797"/>
      <c r="N138" s="797"/>
      <c r="O138" s="797"/>
      <c r="P138" s="797"/>
      <c r="Q138" s="797"/>
      <c r="R138" s="797"/>
      <c r="S138" s="991"/>
      <c r="T138" s="797"/>
      <c r="U138" s="797"/>
      <c r="V138" s="797"/>
      <c r="W138" s="797"/>
      <c r="X138" s="797"/>
      <c r="Y138" s="797"/>
      <c r="Z138" s="991"/>
      <c r="AA138" s="797"/>
      <c r="AB138" s="797"/>
      <c r="AC138" s="797"/>
      <c r="AD138" s="797"/>
      <c r="AE138" s="827"/>
      <c r="AF138" s="797"/>
      <c r="AG138" s="962"/>
      <c r="AH138" s="899"/>
      <c r="AI138" s="839">
        <f t="shared" si="7"/>
        <v>72.03</v>
      </c>
      <c r="AJ138" s="777">
        <v>0</v>
      </c>
      <c r="AK138" s="778">
        <f t="shared" si="5"/>
        <v>72.03</v>
      </c>
      <c r="AL138" s="780" t="s">
        <v>1514</v>
      </c>
      <c r="AM138" s="781">
        <f t="shared" si="6"/>
        <v>0.29999999999999716</v>
      </c>
    </row>
    <row r="139" spans="1:39" s="782" customFormat="1">
      <c r="A139" s="772" t="s">
        <v>640</v>
      </c>
      <c r="B139" s="772" t="s">
        <v>1146</v>
      </c>
      <c r="C139" s="877" t="s">
        <v>39</v>
      </c>
      <c r="D139" s="795"/>
      <c r="E139" s="981"/>
      <c r="F139" s="778"/>
      <c r="G139" s="778"/>
      <c r="H139" s="922">
        <f>(7.28*11.52*1.3)-(36.01*1.3)</f>
        <v>62.212280000000007</v>
      </c>
      <c r="I139" s="777"/>
      <c r="J139" s="777"/>
      <c r="K139" s="777"/>
      <c r="L139" s="989"/>
      <c r="M139" s="809"/>
      <c r="N139" s="809"/>
      <c r="O139" s="809"/>
      <c r="P139" s="809"/>
      <c r="Q139" s="809"/>
      <c r="R139" s="809"/>
      <c r="S139" s="989"/>
      <c r="T139" s="809"/>
      <c r="U139" s="809"/>
      <c r="V139" s="809"/>
      <c r="W139" s="809"/>
      <c r="X139" s="809"/>
      <c r="Y139" s="809"/>
      <c r="Z139" s="989"/>
      <c r="AA139" s="809"/>
      <c r="AB139" s="809"/>
      <c r="AC139" s="809"/>
      <c r="AD139" s="809"/>
      <c r="AE139" s="827"/>
      <c r="AF139" s="809"/>
      <c r="AG139" s="960"/>
      <c r="AH139" s="873"/>
      <c r="AI139" s="839">
        <f t="shared" si="7"/>
        <v>62.21</v>
      </c>
      <c r="AJ139" s="777">
        <v>0</v>
      </c>
      <c r="AK139" s="778">
        <f t="shared" si="5"/>
        <v>62.21</v>
      </c>
      <c r="AL139" s="780" t="s">
        <v>1515</v>
      </c>
      <c r="AM139" s="781">
        <f t="shared" si="6"/>
        <v>-45.019999999999996</v>
      </c>
    </row>
    <row r="140" spans="1:39" s="897" customFormat="1" hidden="1">
      <c r="A140" s="886" t="s">
        <v>641</v>
      </c>
      <c r="B140" s="886" t="s">
        <v>1147</v>
      </c>
      <c r="C140" s="900" t="s">
        <v>39</v>
      </c>
      <c r="D140" s="888"/>
      <c r="E140" s="981"/>
      <c r="F140" s="889"/>
      <c r="G140" s="889"/>
      <c r="H140" s="889"/>
      <c r="I140" s="890"/>
      <c r="J140" s="890"/>
      <c r="K140" s="890"/>
      <c r="L140" s="989"/>
      <c r="M140" s="891"/>
      <c r="N140" s="891"/>
      <c r="O140" s="891"/>
      <c r="P140" s="891"/>
      <c r="Q140" s="891"/>
      <c r="R140" s="891"/>
      <c r="S140" s="989"/>
      <c r="T140" s="891"/>
      <c r="U140" s="891"/>
      <c r="V140" s="891"/>
      <c r="W140" s="891"/>
      <c r="X140" s="891"/>
      <c r="Y140" s="891"/>
      <c r="Z140" s="989"/>
      <c r="AA140" s="891"/>
      <c r="AB140" s="891"/>
      <c r="AC140" s="891"/>
      <c r="AD140" s="891"/>
      <c r="AE140" s="827"/>
      <c r="AF140" s="891"/>
      <c r="AG140" s="960"/>
      <c r="AH140" s="893"/>
      <c r="AI140" s="839">
        <f t="shared" si="7"/>
        <v>0</v>
      </c>
      <c r="AJ140" s="890">
        <v>0</v>
      </c>
      <c r="AK140" s="889">
        <f t="shared" si="5"/>
        <v>0</v>
      </c>
      <c r="AL140" s="895" t="s">
        <v>1515</v>
      </c>
      <c r="AM140" s="896">
        <f t="shared" si="6"/>
        <v>17.190000000000001</v>
      </c>
    </row>
    <row r="141" spans="1:39" s="785" customFormat="1" hidden="1">
      <c r="A141" s="885" t="s">
        <v>56</v>
      </c>
      <c r="B141" s="885" t="s">
        <v>1148</v>
      </c>
      <c r="C141" s="898"/>
      <c r="D141" s="881"/>
      <c r="E141" s="982"/>
      <c r="F141" s="783"/>
      <c r="G141" s="783"/>
      <c r="H141" s="783"/>
      <c r="I141" s="779"/>
      <c r="J141" s="779"/>
      <c r="K141" s="779"/>
      <c r="L141" s="989"/>
      <c r="M141" s="809"/>
      <c r="N141" s="809"/>
      <c r="O141" s="809"/>
      <c r="P141" s="809"/>
      <c r="Q141" s="809"/>
      <c r="R141" s="809"/>
      <c r="S141" s="989"/>
      <c r="T141" s="809"/>
      <c r="U141" s="809"/>
      <c r="V141" s="809"/>
      <c r="W141" s="809"/>
      <c r="X141" s="809"/>
      <c r="Y141" s="809"/>
      <c r="Z141" s="989"/>
      <c r="AA141" s="809"/>
      <c r="AB141" s="809"/>
      <c r="AC141" s="809"/>
      <c r="AD141" s="850"/>
      <c r="AE141" s="827"/>
      <c r="AF141" s="809"/>
      <c r="AG141" s="960"/>
      <c r="AH141" s="873"/>
      <c r="AI141" s="839">
        <f t="shared" si="7"/>
        <v>0</v>
      </c>
      <c r="AJ141" s="777">
        <v>0</v>
      </c>
      <c r="AK141" s="778">
        <f t="shared" si="5"/>
        <v>0</v>
      </c>
      <c r="AL141" s="784"/>
      <c r="AM141" s="781">
        <f t="shared" si="6"/>
        <v>0</v>
      </c>
    </row>
    <row r="142" spans="1:39" s="560" customFormat="1" hidden="1">
      <c r="A142" s="604" t="s">
        <v>642</v>
      </c>
      <c r="B142" s="604" t="s">
        <v>1189</v>
      </c>
      <c r="C142" s="614" t="s">
        <v>36</v>
      </c>
      <c r="D142" s="580"/>
      <c r="E142" s="981"/>
      <c r="F142" s="581"/>
      <c r="G142" s="581"/>
      <c r="H142" s="581"/>
      <c r="I142" s="949"/>
      <c r="J142" s="949"/>
      <c r="K142" s="949"/>
      <c r="L142" s="989"/>
      <c r="M142" s="575"/>
      <c r="N142" s="575"/>
      <c r="O142" s="575"/>
      <c r="P142" s="575"/>
      <c r="Q142" s="575"/>
      <c r="R142" s="575"/>
      <c r="S142" s="989"/>
      <c r="T142" s="575"/>
      <c r="U142" s="575"/>
      <c r="V142" s="575"/>
      <c r="W142" s="575"/>
      <c r="X142" s="575"/>
      <c r="Y142" s="575"/>
      <c r="Z142" s="989"/>
      <c r="AA142" s="575"/>
      <c r="AB142" s="575"/>
      <c r="AC142" s="575"/>
      <c r="AD142" s="575"/>
      <c r="AE142" s="827"/>
      <c r="AF142" s="575"/>
      <c r="AG142" s="960"/>
      <c r="AH142" s="842"/>
      <c r="AI142" s="839">
        <f t="shared" si="7"/>
        <v>0</v>
      </c>
      <c r="AJ142" s="949">
        <v>0</v>
      </c>
      <c r="AK142" s="581">
        <f t="shared" ref="AK142:AK205" si="8">AI142+AJ142</f>
        <v>0</v>
      </c>
      <c r="AL142" s="746" t="s">
        <v>1516</v>
      </c>
      <c r="AM142" s="743">
        <f t="shared" ref="AM142:AM205" si="9">AL142-AK142</f>
        <v>23.07</v>
      </c>
    </row>
    <row r="143" spans="1:39" s="897" customFormat="1" hidden="1">
      <c r="A143" s="886" t="s">
        <v>643</v>
      </c>
      <c r="B143" s="886" t="s">
        <v>1190</v>
      </c>
      <c r="C143" s="900" t="s">
        <v>39</v>
      </c>
      <c r="D143" s="888"/>
      <c r="E143" s="981"/>
      <c r="F143" s="889"/>
      <c r="G143" s="889"/>
      <c r="H143" s="889"/>
      <c r="I143" s="890"/>
      <c r="J143" s="890"/>
      <c r="K143" s="890"/>
      <c r="L143" s="989"/>
      <c r="M143" s="891"/>
      <c r="N143" s="891"/>
      <c r="O143" s="891"/>
      <c r="P143" s="891"/>
      <c r="Q143" s="891"/>
      <c r="R143" s="891"/>
      <c r="S143" s="989"/>
      <c r="T143" s="891"/>
      <c r="U143" s="891"/>
      <c r="V143" s="891"/>
      <c r="W143" s="891"/>
      <c r="X143" s="891"/>
      <c r="Y143" s="891"/>
      <c r="Z143" s="989"/>
      <c r="AA143" s="891"/>
      <c r="AB143" s="891"/>
      <c r="AC143" s="891"/>
      <c r="AD143" s="891"/>
      <c r="AE143" s="827"/>
      <c r="AF143" s="891"/>
      <c r="AG143" s="960"/>
      <c r="AH143" s="893"/>
      <c r="AI143" s="839">
        <f t="shared" ref="AI143:AI206" si="10">ROUND((SUM(D143:AH143)),2)</f>
        <v>0</v>
      </c>
      <c r="AJ143" s="890">
        <v>0</v>
      </c>
      <c r="AK143" s="889">
        <f t="shared" si="8"/>
        <v>0</v>
      </c>
      <c r="AL143" s="895" t="s">
        <v>1517</v>
      </c>
      <c r="AM143" s="896">
        <f t="shared" si="9"/>
        <v>10.4</v>
      </c>
    </row>
    <row r="144" spans="1:39" s="897" customFormat="1" hidden="1">
      <c r="A144" s="886" t="s">
        <v>644</v>
      </c>
      <c r="B144" s="886" t="s">
        <v>1191</v>
      </c>
      <c r="C144" s="900" t="s">
        <v>39</v>
      </c>
      <c r="D144" s="888"/>
      <c r="E144" s="981"/>
      <c r="F144" s="889"/>
      <c r="G144" s="889"/>
      <c r="H144" s="889"/>
      <c r="I144" s="890"/>
      <c r="J144" s="890"/>
      <c r="K144" s="890"/>
      <c r="L144" s="989"/>
      <c r="M144" s="891"/>
      <c r="N144" s="891"/>
      <c r="O144" s="891"/>
      <c r="P144" s="891"/>
      <c r="Q144" s="891"/>
      <c r="R144" s="891"/>
      <c r="S144" s="989"/>
      <c r="T144" s="891"/>
      <c r="U144" s="891"/>
      <c r="V144" s="891"/>
      <c r="W144" s="891"/>
      <c r="X144" s="891"/>
      <c r="Y144" s="891"/>
      <c r="Z144" s="989"/>
      <c r="AA144" s="891"/>
      <c r="AB144" s="891"/>
      <c r="AC144" s="891"/>
      <c r="AD144" s="891"/>
      <c r="AE144" s="827"/>
      <c r="AF144" s="891"/>
      <c r="AG144" s="960"/>
      <c r="AH144" s="893"/>
      <c r="AI144" s="839">
        <f t="shared" si="10"/>
        <v>0</v>
      </c>
      <c r="AJ144" s="890">
        <v>0</v>
      </c>
      <c r="AK144" s="889">
        <f t="shared" si="8"/>
        <v>0</v>
      </c>
      <c r="AL144" s="895" t="s">
        <v>1518</v>
      </c>
      <c r="AM144" s="896">
        <f t="shared" si="9"/>
        <v>2.1800000000000002</v>
      </c>
    </row>
    <row r="145" spans="1:39" s="782" customFormat="1" hidden="1">
      <c r="A145" s="772" t="s">
        <v>645</v>
      </c>
      <c r="B145" s="772" t="s">
        <v>1153</v>
      </c>
      <c r="C145" s="877" t="s">
        <v>36</v>
      </c>
      <c r="D145" s="795"/>
      <c r="E145" s="981"/>
      <c r="F145" s="778"/>
      <c r="G145" s="778"/>
      <c r="H145" s="778"/>
      <c r="I145" s="777"/>
      <c r="J145" s="777"/>
      <c r="K145" s="777"/>
      <c r="L145" s="989"/>
      <c r="M145" s="809"/>
      <c r="N145" s="809"/>
      <c r="O145" s="809"/>
      <c r="P145" s="809"/>
      <c r="Q145" s="809"/>
      <c r="R145" s="809"/>
      <c r="S145" s="989"/>
      <c r="T145" s="809"/>
      <c r="U145" s="809"/>
      <c r="V145" s="809"/>
      <c r="W145" s="809"/>
      <c r="X145" s="809"/>
      <c r="Y145" s="809"/>
      <c r="Z145" s="989"/>
      <c r="AA145" s="809"/>
      <c r="AB145" s="809"/>
      <c r="AC145" s="809"/>
      <c r="AD145" s="809"/>
      <c r="AE145" s="827"/>
      <c r="AF145" s="809"/>
      <c r="AG145" s="960"/>
      <c r="AH145" s="873"/>
      <c r="AI145" s="839">
        <f t="shared" si="10"/>
        <v>0</v>
      </c>
      <c r="AJ145" s="777">
        <v>0</v>
      </c>
      <c r="AK145" s="778">
        <f t="shared" si="8"/>
        <v>0</v>
      </c>
      <c r="AL145" s="780" t="s">
        <v>1519</v>
      </c>
      <c r="AM145" s="781">
        <f t="shared" si="9"/>
        <v>29.03</v>
      </c>
    </row>
    <row r="146" spans="1:39" s="782" customFormat="1" hidden="1">
      <c r="A146" s="772" t="s">
        <v>646</v>
      </c>
      <c r="B146" s="772" t="s">
        <v>1154</v>
      </c>
      <c r="C146" s="877" t="s">
        <v>36</v>
      </c>
      <c r="D146" s="795"/>
      <c r="E146" s="981"/>
      <c r="F146" s="778"/>
      <c r="G146" s="778"/>
      <c r="H146" s="778"/>
      <c r="I146" s="777"/>
      <c r="J146" s="777"/>
      <c r="K146" s="777"/>
      <c r="L146" s="989"/>
      <c r="M146" s="809"/>
      <c r="N146" s="809"/>
      <c r="O146" s="809"/>
      <c r="P146" s="809"/>
      <c r="Q146" s="809"/>
      <c r="R146" s="809"/>
      <c r="S146" s="989"/>
      <c r="T146" s="809"/>
      <c r="U146" s="809"/>
      <c r="V146" s="809"/>
      <c r="W146" s="809"/>
      <c r="X146" s="809"/>
      <c r="Y146" s="809"/>
      <c r="Z146" s="989"/>
      <c r="AA146" s="809"/>
      <c r="AB146" s="809"/>
      <c r="AC146" s="809"/>
      <c r="AD146" s="809"/>
      <c r="AE146" s="827"/>
      <c r="AF146" s="809"/>
      <c r="AG146" s="960"/>
      <c r="AH146" s="873"/>
      <c r="AI146" s="839">
        <f t="shared" si="10"/>
        <v>0</v>
      </c>
      <c r="AJ146" s="777">
        <v>0</v>
      </c>
      <c r="AK146" s="778">
        <f t="shared" si="8"/>
        <v>0</v>
      </c>
      <c r="AL146" s="780" t="s">
        <v>1514</v>
      </c>
      <c r="AM146" s="781">
        <f t="shared" si="9"/>
        <v>72.33</v>
      </c>
    </row>
    <row r="147" spans="1:39" s="782" customFormat="1">
      <c r="A147" s="885" t="s">
        <v>647</v>
      </c>
      <c r="B147" s="885" t="s">
        <v>1155</v>
      </c>
      <c r="C147" s="898"/>
      <c r="D147" s="795"/>
      <c r="E147" s="981"/>
      <c r="F147" s="778"/>
      <c r="G147" s="778"/>
      <c r="H147" s="778"/>
      <c r="I147" s="777"/>
      <c r="J147" s="777"/>
      <c r="K147" s="777"/>
      <c r="L147" s="989"/>
      <c r="M147" s="809"/>
      <c r="N147" s="809"/>
      <c r="O147" s="809"/>
      <c r="P147" s="809"/>
      <c r="Q147" s="809"/>
      <c r="R147" s="809"/>
      <c r="S147" s="989"/>
      <c r="T147" s="809"/>
      <c r="U147" s="809"/>
      <c r="V147" s="809"/>
      <c r="W147" s="809"/>
      <c r="X147" s="809"/>
      <c r="Y147" s="809"/>
      <c r="Z147" s="989"/>
      <c r="AA147" s="809"/>
      <c r="AB147" s="809"/>
      <c r="AC147" s="809"/>
      <c r="AD147" s="809"/>
      <c r="AE147" s="827"/>
      <c r="AF147" s="809"/>
      <c r="AG147" s="960"/>
      <c r="AH147" s="873"/>
      <c r="AI147" s="839">
        <f t="shared" si="10"/>
        <v>0</v>
      </c>
      <c r="AJ147" s="777">
        <v>0</v>
      </c>
      <c r="AK147" s="778">
        <f t="shared" si="8"/>
        <v>0</v>
      </c>
      <c r="AL147" s="780"/>
      <c r="AM147" s="781">
        <f t="shared" si="9"/>
        <v>0</v>
      </c>
    </row>
    <row r="148" spans="1:39" s="782" customFormat="1" hidden="1">
      <c r="A148" s="772" t="s">
        <v>648</v>
      </c>
      <c r="B148" s="772" t="s">
        <v>1156</v>
      </c>
      <c r="C148" s="898"/>
      <c r="D148" s="795"/>
      <c r="E148" s="981"/>
      <c r="F148" s="778"/>
      <c r="G148" s="778"/>
      <c r="H148" s="778"/>
      <c r="I148" s="777"/>
      <c r="J148" s="777"/>
      <c r="K148" s="777"/>
      <c r="L148" s="989"/>
      <c r="M148" s="809"/>
      <c r="N148" s="809"/>
      <c r="O148" s="809"/>
      <c r="P148" s="809"/>
      <c r="Q148" s="809"/>
      <c r="R148" s="809"/>
      <c r="S148" s="989"/>
      <c r="T148" s="809"/>
      <c r="U148" s="809"/>
      <c r="V148" s="809"/>
      <c r="W148" s="809"/>
      <c r="X148" s="809"/>
      <c r="Y148" s="809"/>
      <c r="Z148" s="989"/>
      <c r="AA148" s="809"/>
      <c r="AB148" s="809"/>
      <c r="AC148" s="797"/>
      <c r="AD148" s="809"/>
      <c r="AE148" s="827"/>
      <c r="AF148" s="809"/>
      <c r="AG148" s="960"/>
      <c r="AH148" s="873"/>
      <c r="AI148" s="839">
        <f t="shared" si="10"/>
        <v>0</v>
      </c>
      <c r="AJ148" s="777">
        <v>0</v>
      </c>
      <c r="AK148" s="778">
        <f t="shared" si="8"/>
        <v>0</v>
      </c>
      <c r="AL148" s="780"/>
      <c r="AM148" s="781">
        <f t="shared" si="9"/>
        <v>0</v>
      </c>
    </row>
    <row r="149" spans="1:39" s="560" customFormat="1" hidden="1">
      <c r="A149" s="604" t="s">
        <v>649</v>
      </c>
      <c r="B149" s="604" t="s">
        <v>1192</v>
      </c>
      <c r="C149" s="614" t="s">
        <v>39</v>
      </c>
      <c r="D149" s="580"/>
      <c r="E149" s="981"/>
      <c r="F149" s="581"/>
      <c r="G149" s="581"/>
      <c r="H149" s="581"/>
      <c r="I149" s="949"/>
      <c r="J149" s="949"/>
      <c r="K149" s="949"/>
      <c r="L149" s="989"/>
      <c r="M149" s="575"/>
      <c r="N149" s="575"/>
      <c r="O149" s="575"/>
      <c r="P149" s="575"/>
      <c r="Q149" s="575"/>
      <c r="R149" s="575"/>
      <c r="S149" s="989"/>
      <c r="T149" s="575"/>
      <c r="U149" s="575"/>
      <c r="V149" s="575"/>
      <c r="W149" s="575"/>
      <c r="X149" s="575"/>
      <c r="Y149" s="575"/>
      <c r="Z149" s="995"/>
      <c r="AA149" s="575"/>
      <c r="AB149" s="575"/>
      <c r="AC149" s="575"/>
      <c r="AD149" s="575"/>
      <c r="AE149" s="827"/>
      <c r="AF149" s="575"/>
      <c r="AG149" s="960"/>
      <c r="AH149" s="842"/>
      <c r="AI149" s="839">
        <f t="shared" si="10"/>
        <v>0</v>
      </c>
      <c r="AJ149" s="949">
        <v>0</v>
      </c>
      <c r="AK149" s="581">
        <f t="shared" si="8"/>
        <v>0</v>
      </c>
      <c r="AL149" s="746" t="s">
        <v>1520</v>
      </c>
      <c r="AM149" s="743">
        <f t="shared" si="9"/>
        <v>6.34</v>
      </c>
    </row>
    <row r="150" spans="1:39" s="560" customFormat="1" hidden="1">
      <c r="A150" s="604" t="s">
        <v>650</v>
      </c>
      <c r="B150" s="604" t="s">
        <v>1158</v>
      </c>
      <c r="C150" s="614" t="s">
        <v>47</v>
      </c>
      <c r="D150" s="580"/>
      <c r="E150" s="981"/>
      <c r="F150" s="581"/>
      <c r="G150" s="581"/>
      <c r="H150" s="581"/>
      <c r="I150" s="949"/>
      <c r="J150" s="949"/>
      <c r="K150" s="949"/>
      <c r="L150" s="989"/>
      <c r="M150" s="575"/>
      <c r="N150" s="575"/>
      <c r="O150" s="575"/>
      <c r="P150" s="575"/>
      <c r="Q150" s="575"/>
      <c r="R150" s="575"/>
      <c r="S150" s="989"/>
      <c r="T150" s="575"/>
      <c r="U150" s="575"/>
      <c r="V150" s="575"/>
      <c r="W150" s="575"/>
      <c r="X150" s="575"/>
      <c r="Y150" s="575"/>
      <c r="Z150" s="989"/>
      <c r="AA150" s="575"/>
      <c r="AB150" s="575"/>
      <c r="AC150" s="575"/>
      <c r="AD150" s="575"/>
      <c r="AE150" s="827"/>
      <c r="AF150" s="575"/>
      <c r="AG150" s="960"/>
      <c r="AH150" s="842"/>
      <c r="AI150" s="839">
        <f t="shared" si="10"/>
        <v>0</v>
      </c>
      <c r="AJ150" s="949">
        <v>0</v>
      </c>
      <c r="AK150" s="581">
        <f t="shared" si="8"/>
        <v>0</v>
      </c>
      <c r="AL150" s="746" t="s">
        <v>1521</v>
      </c>
      <c r="AM150" s="743">
        <f t="shared" si="9"/>
        <v>264.95999999999998</v>
      </c>
    </row>
    <row r="151" spans="1:39" s="782" customFormat="1">
      <c r="A151" s="772" t="s">
        <v>651</v>
      </c>
      <c r="B151" s="772" t="s">
        <v>1159</v>
      </c>
      <c r="C151" s="898"/>
      <c r="D151" s="795"/>
      <c r="E151" s="981"/>
      <c r="F151" s="778"/>
      <c r="G151" s="778"/>
      <c r="H151" s="778"/>
      <c r="I151" s="777"/>
      <c r="J151" s="777"/>
      <c r="K151" s="777"/>
      <c r="L151" s="989"/>
      <c r="M151" s="809"/>
      <c r="N151" s="809"/>
      <c r="O151" s="809"/>
      <c r="P151" s="809"/>
      <c r="Q151" s="809"/>
      <c r="R151" s="809"/>
      <c r="S151" s="989"/>
      <c r="T151" s="809"/>
      <c r="U151" s="809"/>
      <c r="V151" s="809"/>
      <c r="W151" s="809"/>
      <c r="X151" s="809"/>
      <c r="Y151" s="809"/>
      <c r="Z151" s="989"/>
      <c r="AA151" s="809"/>
      <c r="AB151" s="809"/>
      <c r="AC151" s="809"/>
      <c r="AD151" s="809"/>
      <c r="AE151" s="827"/>
      <c r="AF151" s="809"/>
      <c r="AG151" s="960"/>
      <c r="AH151" s="873"/>
      <c r="AI151" s="839">
        <f t="shared" si="10"/>
        <v>0</v>
      </c>
      <c r="AJ151" s="777">
        <v>0</v>
      </c>
      <c r="AK151" s="778">
        <f t="shared" si="8"/>
        <v>0</v>
      </c>
      <c r="AL151" s="780"/>
      <c r="AM151" s="781">
        <f t="shared" si="9"/>
        <v>0</v>
      </c>
    </row>
    <row r="152" spans="1:39" s="782" customFormat="1">
      <c r="A152" s="772" t="s">
        <v>652</v>
      </c>
      <c r="B152" s="772" t="s">
        <v>1193</v>
      </c>
      <c r="C152" s="877" t="s">
        <v>39</v>
      </c>
      <c r="D152" s="795"/>
      <c r="E152" s="981"/>
      <c r="G152" s="922">
        <f>40.27*0.3747*0.25</f>
        <v>3.77229225</v>
      </c>
      <c r="H152" s="778"/>
      <c r="I152" s="777"/>
      <c r="J152" s="777"/>
      <c r="K152" s="777"/>
      <c r="L152" s="989"/>
      <c r="M152" s="809"/>
      <c r="N152" s="809"/>
      <c r="O152" s="809"/>
      <c r="P152" s="809"/>
      <c r="Q152" s="809"/>
      <c r="R152" s="809"/>
      <c r="S152" s="989"/>
      <c r="T152" s="809"/>
      <c r="U152" s="809"/>
      <c r="V152" s="809"/>
      <c r="W152" s="809"/>
      <c r="X152" s="809"/>
      <c r="Y152" s="809"/>
      <c r="Z152" s="989"/>
      <c r="AA152" s="809"/>
      <c r="AB152" s="809"/>
      <c r="AC152" s="809"/>
      <c r="AD152" s="809"/>
      <c r="AE152" s="827"/>
      <c r="AF152" s="809"/>
      <c r="AG152" s="960"/>
      <c r="AH152" s="873"/>
      <c r="AI152" s="839">
        <f t="shared" si="10"/>
        <v>3.77</v>
      </c>
      <c r="AJ152" s="777">
        <v>0</v>
      </c>
      <c r="AK152" s="778">
        <f t="shared" si="8"/>
        <v>3.77</v>
      </c>
      <c r="AL152" s="780" t="s">
        <v>1522</v>
      </c>
      <c r="AM152" s="781">
        <f t="shared" si="9"/>
        <v>0</v>
      </c>
    </row>
    <row r="153" spans="1:39" s="782" customFormat="1">
      <c r="A153" s="772" t="s">
        <v>653</v>
      </c>
      <c r="B153" s="772" t="s">
        <v>1161</v>
      </c>
      <c r="C153" s="877" t="s">
        <v>36</v>
      </c>
      <c r="D153" s="795"/>
      <c r="E153" s="981"/>
      <c r="F153" s="922">
        <f>40.27*0.3747*2</f>
        <v>30.178338</v>
      </c>
      <c r="G153" s="778"/>
      <c r="H153" s="778"/>
      <c r="I153" s="777"/>
      <c r="J153" s="777"/>
      <c r="K153" s="777"/>
      <c r="L153" s="989"/>
      <c r="M153" s="809"/>
      <c r="N153" s="809"/>
      <c r="O153" s="809"/>
      <c r="P153" s="809"/>
      <c r="Q153" s="809"/>
      <c r="R153" s="809"/>
      <c r="S153" s="989"/>
      <c r="T153" s="809"/>
      <c r="U153" s="809"/>
      <c r="V153" s="809"/>
      <c r="W153" s="809"/>
      <c r="X153" s="809"/>
      <c r="Y153" s="809"/>
      <c r="Z153" s="989"/>
      <c r="AA153" s="809"/>
      <c r="AB153" s="809"/>
      <c r="AC153" s="779"/>
      <c r="AD153" s="828"/>
      <c r="AE153" s="827"/>
      <c r="AF153" s="809"/>
      <c r="AG153" s="960"/>
      <c r="AH153" s="873"/>
      <c r="AI153" s="839">
        <f t="shared" si="10"/>
        <v>30.18</v>
      </c>
      <c r="AJ153" s="777">
        <v>0</v>
      </c>
      <c r="AK153" s="778">
        <f t="shared" si="8"/>
        <v>30.18</v>
      </c>
      <c r="AL153" s="780" t="s">
        <v>1523</v>
      </c>
      <c r="AM153" s="781">
        <f t="shared" si="9"/>
        <v>0</v>
      </c>
    </row>
    <row r="154" spans="1:39" s="560" customFormat="1" hidden="1">
      <c r="A154" s="604" t="s">
        <v>654</v>
      </c>
      <c r="B154" s="604" t="s">
        <v>1162</v>
      </c>
      <c r="C154" s="614" t="s">
        <v>47</v>
      </c>
      <c r="D154" s="580"/>
      <c r="E154" s="981"/>
      <c r="F154" s="581"/>
      <c r="G154" s="581"/>
      <c r="H154" s="581"/>
      <c r="I154" s="949"/>
      <c r="J154" s="949"/>
      <c r="K154" s="949"/>
      <c r="L154" s="989"/>
      <c r="M154" s="575"/>
      <c r="N154" s="575"/>
      <c r="O154" s="575"/>
      <c r="P154" s="575"/>
      <c r="Q154" s="575"/>
      <c r="R154" s="575"/>
      <c r="S154" s="989"/>
      <c r="T154" s="575"/>
      <c r="U154" s="575"/>
      <c r="V154" s="575"/>
      <c r="W154" s="575"/>
      <c r="X154" s="575"/>
      <c r="Y154" s="575"/>
      <c r="Z154" s="989"/>
      <c r="AA154" s="575"/>
      <c r="AB154" s="575"/>
      <c r="AC154" s="575"/>
      <c r="AD154" s="575"/>
      <c r="AE154" s="827"/>
      <c r="AF154" s="575"/>
      <c r="AG154" s="960"/>
      <c r="AH154" s="842"/>
      <c r="AI154" s="839">
        <f t="shared" si="10"/>
        <v>0</v>
      </c>
      <c r="AJ154" s="949">
        <v>0</v>
      </c>
      <c r="AK154" s="581">
        <f t="shared" si="8"/>
        <v>0</v>
      </c>
      <c r="AL154" s="746" t="s">
        <v>1524</v>
      </c>
      <c r="AM154" s="743">
        <f t="shared" si="9"/>
        <v>365.33</v>
      </c>
    </row>
    <row r="155" spans="1:39" s="782" customFormat="1">
      <c r="A155" s="772" t="s">
        <v>655</v>
      </c>
      <c r="B155" s="772" t="s">
        <v>1163</v>
      </c>
      <c r="C155" s="877"/>
      <c r="D155" s="795"/>
      <c r="E155" s="981"/>
      <c r="F155" s="778"/>
      <c r="G155" s="778"/>
      <c r="H155" s="778"/>
      <c r="I155" s="777"/>
      <c r="J155" s="777"/>
      <c r="K155" s="777"/>
      <c r="L155" s="989"/>
      <c r="M155" s="809"/>
      <c r="N155" s="809"/>
      <c r="O155" s="809"/>
      <c r="P155" s="809"/>
      <c r="Q155" s="809"/>
      <c r="R155" s="809"/>
      <c r="S155" s="989"/>
      <c r="T155" s="809"/>
      <c r="U155" s="809"/>
      <c r="V155" s="809"/>
      <c r="W155" s="809"/>
      <c r="X155" s="809"/>
      <c r="Y155" s="809"/>
      <c r="Z155" s="989"/>
      <c r="AA155" s="809"/>
      <c r="AB155" s="809"/>
      <c r="AC155" s="809"/>
      <c r="AD155" s="809"/>
      <c r="AE155" s="827"/>
      <c r="AF155" s="809"/>
      <c r="AG155" s="960"/>
      <c r="AH155" s="873"/>
      <c r="AI155" s="839">
        <f t="shared" si="10"/>
        <v>0</v>
      </c>
      <c r="AJ155" s="777">
        <v>0</v>
      </c>
      <c r="AK155" s="778">
        <f t="shared" si="8"/>
        <v>0</v>
      </c>
      <c r="AL155" s="780"/>
      <c r="AM155" s="781">
        <f t="shared" si="9"/>
        <v>0</v>
      </c>
    </row>
    <row r="156" spans="1:39" s="782" customFormat="1">
      <c r="A156" s="772" t="s">
        <v>656</v>
      </c>
      <c r="B156" s="772" t="s">
        <v>1194</v>
      </c>
      <c r="C156" s="877" t="s">
        <v>39</v>
      </c>
      <c r="D156" s="795"/>
      <c r="E156" s="981"/>
      <c r="F156" s="778"/>
      <c r="G156" s="778"/>
      <c r="H156" s="778"/>
      <c r="I156" s="777"/>
      <c r="J156" s="777"/>
      <c r="K156" s="777"/>
      <c r="L156" s="989"/>
      <c r="M156" s="809"/>
      <c r="N156" s="809"/>
      <c r="O156" s="797"/>
      <c r="P156" s="945">
        <f>3*0.25*0.4*4.35+0.25*0.4*4.35+3*0.25*0.5*4.35</f>
        <v>3.3712499999999999</v>
      </c>
      <c r="Q156" s="945">
        <f>3*0.25*0.4*4.35</f>
        <v>1.3050000000000002</v>
      </c>
      <c r="R156" s="797"/>
      <c r="S156" s="989"/>
      <c r="T156" s="809"/>
      <c r="U156" s="809"/>
      <c r="V156" s="809"/>
      <c r="W156" s="809"/>
      <c r="X156" s="945">
        <f>1.04*0.25*0.4</f>
        <v>0.10400000000000001</v>
      </c>
      <c r="Y156" s="809"/>
      <c r="Z156" s="989"/>
      <c r="AA156" s="797"/>
      <c r="AB156" s="809"/>
      <c r="AC156" s="809"/>
      <c r="AD156" s="809"/>
      <c r="AE156" s="827"/>
      <c r="AF156" s="809"/>
      <c r="AG156" s="960"/>
      <c r="AH156" s="873"/>
      <c r="AI156" s="839">
        <f t="shared" si="10"/>
        <v>4.78</v>
      </c>
      <c r="AJ156" s="777">
        <v>0</v>
      </c>
      <c r="AK156" s="778">
        <f t="shared" si="8"/>
        <v>4.78</v>
      </c>
      <c r="AL156" s="780" t="s">
        <v>1525</v>
      </c>
      <c r="AM156" s="781">
        <f t="shared" si="9"/>
        <v>1.62</v>
      </c>
    </row>
    <row r="157" spans="1:39" s="782" customFormat="1">
      <c r="A157" s="772" t="s">
        <v>657</v>
      </c>
      <c r="B157" s="772" t="s">
        <v>1165</v>
      </c>
      <c r="C157" s="877" t="s">
        <v>36</v>
      </c>
      <c r="D157" s="795"/>
      <c r="E157" s="981"/>
      <c r="F157" s="778"/>
      <c r="G157" s="778"/>
      <c r="H157" s="778"/>
      <c r="I157" s="777"/>
      <c r="J157" s="777"/>
      <c r="K157" s="777"/>
      <c r="L157" s="989"/>
      <c r="M157" s="809"/>
      <c r="N157" s="809"/>
      <c r="O157" s="945">
        <f>3*2*(0.25+0.4)*4.35+2*(0.25+0.4)*5.39</f>
        <v>23.972000000000001</v>
      </c>
      <c r="P157" s="945">
        <f>4*2*(0.25+0.5)*4.35</f>
        <v>26.099999999999998</v>
      </c>
      <c r="Q157" s="945">
        <f>3*2*(0.25+0.4)*4.35</f>
        <v>16.965</v>
      </c>
      <c r="R157" s="797"/>
      <c r="S157" s="989"/>
      <c r="T157" s="809"/>
      <c r="U157" s="809"/>
      <c r="V157" s="809"/>
      <c r="W157" s="809"/>
      <c r="X157" s="945">
        <f>(0.4+0.25)*2*1.04</f>
        <v>1.3520000000000001</v>
      </c>
      <c r="Y157" s="809"/>
      <c r="Z157" s="991"/>
      <c r="AA157" s="797"/>
      <c r="AB157" s="809"/>
      <c r="AC157" s="809"/>
      <c r="AD157" s="809"/>
      <c r="AE157" s="827"/>
      <c r="AF157" s="809"/>
      <c r="AG157" s="960"/>
      <c r="AH157" s="873"/>
      <c r="AI157" s="839">
        <f t="shared" si="10"/>
        <v>68.39</v>
      </c>
      <c r="AJ157" s="777">
        <v>0</v>
      </c>
      <c r="AK157" s="778">
        <f t="shared" si="8"/>
        <v>68.39</v>
      </c>
      <c r="AL157" s="780" t="s">
        <v>1526</v>
      </c>
      <c r="AM157" s="781">
        <f t="shared" si="9"/>
        <v>8.3100000000000023</v>
      </c>
    </row>
    <row r="158" spans="1:39" s="560" customFormat="1" hidden="1">
      <c r="A158" s="604" t="s">
        <v>658</v>
      </c>
      <c r="B158" s="604" t="s">
        <v>1166</v>
      </c>
      <c r="C158" s="614" t="s">
        <v>47</v>
      </c>
      <c r="D158" s="580"/>
      <c r="E158" s="981"/>
      <c r="F158" s="581"/>
      <c r="G158" s="581"/>
      <c r="H158" s="581"/>
      <c r="I158" s="949"/>
      <c r="J158" s="949"/>
      <c r="K158" s="949"/>
      <c r="L158" s="989"/>
      <c r="M158" s="575"/>
      <c r="N158" s="575"/>
      <c r="O158" s="575"/>
      <c r="P158" s="575"/>
      <c r="Q158" s="575"/>
      <c r="R158" s="575"/>
      <c r="S158" s="989"/>
      <c r="T158" s="575"/>
      <c r="U158" s="575"/>
      <c r="V158" s="575"/>
      <c r="W158" s="575"/>
      <c r="X158" s="575"/>
      <c r="Y158" s="575"/>
      <c r="Z158" s="989"/>
      <c r="AA158" s="575"/>
      <c r="AB158" s="575"/>
      <c r="AC158" s="575"/>
      <c r="AD158" s="575"/>
      <c r="AE158" s="827"/>
      <c r="AF158" s="575"/>
      <c r="AG158" s="960"/>
      <c r="AH158" s="842"/>
      <c r="AI158" s="839">
        <f t="shared" si="10"/>
        <v>0</v>
      </c>
      <c r="AJ158" s="949">
        <v>0</v>
      </c>
      <c r="AK158" s="581">
        <f t="shared" si="8"/>
        <v>0</v>
      </c>
      <c r="AL158" s="746" t="s">
        <v>1527</v>
      </c>
      <c r="AM158" s="743">
        <f t="shared" si="9"/>
        <v>1929.18</v>
      </c>
    </row>
    <row r="159" spans="1:39" s="782" customFormat="1" hidden="1">
      <c r="A159" s="772" t="s">
        <v>659</v>
      </c>
      <c r="B159" s="772" t="s">
        <v>1167</v>
      </c>
      <c r="C159" s="898"/>
      <c r="D159" s="795"/>
      <c r="E159" s="981"/>
      <c r="F159" s="778"/>
      <c r="G159" s="778"/>
      <c r="H159" s="778"/>
      <c r="I159" s="777"/>
      <c r="J159" s="777"/>
      <c r="K159" s="777"/>
      <c r="L159" s="989"/>
      <c r="M159" s="809"/>
      <c r="N159" s="809"/>
      <c r="P159" s="809"/>
      <c r="Q159" s="809"/>
      <c r="R159" s="809"/>
      <c r="S159" s="989"/>
      <c r="T159" s="809"/>
      <c r="U159" s="809"/>
      <c r="V159" s="809"/>
      <c r="W159" s="809"/>
      <c r="X159" s="809"/>
      <c r="Y159" s="809"/>
      <c r="Z159" s="989"/>
      <c r="AA159" s="809"/>
      <c r="AB159" s="809"/>
      <c r="AC159" s="809"/>
      <c r="AD159" s="809"/>
      <c r="AE159" s="827"/>
      <c r="AF159" s="809"/>
      <c r="AG159" s="960"/>
      <c r="AH159" s="873"/>
      <c r="AI159" s="839">
        <f t="shared" si="10"/>
        <v>0</v>
      </c>
      <c r="AJ159" s="777">
        <v>0</v>
      </c>
      <c r="AK159" s="778">
        <f t="shared" si="8"/>
        <v>0</v>
      </c>
      <c r="AL159" s="780"/>
      <c r="AM159" s="781">
        <f t="shared" si="9"/>
        <v>0</v>
      </c>
    </row>
    <row r="160" spans="1:39" s="782" customFormat="1" hidden="1">
      <c r="A160" s="772" t="s">
        <v>660</v>
      </c>
      <c r="B160" s="772" t="s">
        <v>1168</v>
      </c>
      <c r="C160" s="877" t="s">
        <v>39</v>
      </c>
      <c r="D160" s="795"/>
      <c r="E160" s="981"/>
      <c r="F160" s="778"/>
      <c r="G160" s="778"/>
      <c r="H160" s="778"/>
      <c r="I160" s="777"/>
      <c r="J160" s="777"/>
      <c r="K160" s="777"/>
      <c r="L160" s="989"/>
      <c r="M160" s="809"/>
      <c r="N160" s="809"/>
      <c r="O160" s="809"/>
      <c r="P160" s="809"/>
      <c r="Q160" s="809"/>
      <c r="R160" s="809"/>
      <c r="S160" s="989"/>
      <c r="T160" s="809"/>
      <c r="U160" s="809"/>
      <c r="V160" s="809"/>
      <c r="W160" s="809"/>
      <c r="X160" s="809"/>
      <c r="Y160" s="809"/>
      <c r="Z160" s="989"/>
      <c r="AA160" s="809"/>
      <c r="AB160" s="809"/>
      <c r="AC160" s="809"/>
      <c r="AD160" s="809"/>
      <c r="AE160" s="827"/>
      <c r="AF160" s="809"/>
      <c r="AG160" s="960"/>
      <c r="AH160" s="873"/>
      <c r="AI160" s="839">
        <f t="shared" si="10"/>
        <v>0</v>
      </c>
      <c r="AJ160" s="777">
        <v>0</v>
      </c>
      <c r="AK160" s="778">
        <f t="shared" si="8"/>
        <v>0</v>
      </c>
      <c r="AL160" s="780" t="s">
        <v>1528</v>
      </c>
      <c r="AM160" s="781">
        <f t="shared" si="9"/>
        <v>3.44</v>
      </c>
    </row>
    <row r="161" spans="1:39" s="782" customFormat="1" hidden="1">
      <c r="A161" s="772" t="s">
        <v>661</v>
      </c>
      <c r="B161" s="772" t="s">
        <v>1169</v>
      </c>
      <c r="C161" s="877" t="s">
        <v>36</v>
      </c>
      <c r="D161" s="795"/>
      <c r="E161" s="981"/>
      <c r="F161" s="778"/>
      <c r="G161" s="778"/>
      <c r="H161" s="778"/>
      <c r="I161" s="777"/>
      <c r="J161" s="777"/>
      <c r="K161" s="777"/>
      <c r="L161" s="989"/>
      <c r="M161" s="809"/>
      <c r="N161" s="809"/>
      <c r="O161" s="809"/>
      <c r="P161" s="809"/>
      <c r="Q161" s="809"/>
      <c r="R161" s="809"/>
      <c r="S161" s="989"/>
      <c r="T161" s="809"/>
      <c r="U161" s="809"/>
      <c r="V161" s="809"/>
      <c r="W161" s="809"/>
      <c r="X161" s="809"/>
      <c r="Y161" s="809"/>
      <c r="Z161" s="989"/>
      <c r="AA161" s="809"/>
      <c r="AB161" s="809"/>
      <c r="AC161" s="809"/>
      <c r="AD161" s="809"/>
      <c r="AE161" s="827"/>
      <c r="AF161" s="809"/>
      <c r="AG161" s="960"/>
      <c r="AH161" s="873"/>
      <c r="AI161" s="839">
        <f t="shared" si="10"/>
        <v>0</v>
      </c>
      <c r="AJ161" s="777">
        <v>0</v>
      </c>
      <c r="AK161" s="778">
        <f t="shared" si="8"/>
        <v>0</v>
      </c>
      <c r="AL161" s="780" t="s">
        <v>1529</v>
      </c>
      <c r="AM161" s="781">
        <f t="shared" si="9"/>
        <v>21.46</v>
      </c>
    </row>
    <row r="162" spans="1:39" s="782" customFormat="1" hidden="1">
      <c r="A162" s="772" t="s">
        <v>662</v>
      </c>
      <c r="B162" s="772" t="s">
        <v>1170</v>
      </c>
      <c r="C162" s="877" t="s">
        <v>47</v>
      </c>
      <c r="D162" s="795"/>
      <c r="E162" s="981"/>
      <c r="F162" s="778"/>
      <c r="G162" s="778"/>
      <c r="H162" s="778"/>
      <c r="I162" s="777"/>
      <c r="J162" s="777"/>
      <c r="K162" s="777"/>
      <c r="L162" s="989"/>
      <c r="M162" s="809"/>
      <c r="N162" s="809"/>
      <c r="O162" s="809"/>
      <c r="P162" s="809"/>
      <c r="Q162" s="809"/>
      <c r="R162" s="809"/>
      <c r="S162" s="989"/>
      <c r="T162" s="809"/>
      <c r="U162" s="809"/>
      <c r="V162" s="809"/>
      <c r="W162" s="809"/>
      <c r="X162" s="809"/>
      <c r="Y162" s="809"/>
      <c r="Z162" s="989"/>
      <c r="AA162" s="809"/>
      <c r="AB162" s="809"/>
      <c r="AC162" s="809"/>
      <c r="AD162" s="809"/>
      <c r="AE162" s="827"/>
      <c r="AF162" s="809"/>
      <c r="AG162" s="960"/>
      <c r="AH162" s="873"/>
      <c r="AI162" s="839">
        <f t="shared" si="10"/>
        <v>0</v>
      </c>
      <c r="AJ162" s="777">
        <v>0</v>
      </c>
      <c r="AK162" s="778">
        <f t="shared" si="8"/>
        <v>0</v>
      </c>
      <c r="AL162" s="780" t="s">
        <v>1530</v>
      </c>
      <c r="AM162" s="781">
        <f t="shared" si="9"/>
        <v>302.89999999999998</v>
      </c>
    </row>
    <row r="163" spans="1:39" s="782" customFormat="1">
      <c r="A163" s="772" t="s">
        <v>663</v>
      </c>
      <c r="B163" s="772" t="s">
        <v>1171</v>
      </c>
      <c r="C163" s="898"/>
      <c r="D163" s="795"/>
      <c r="E163" s="981"/>
      <c r="F163" s="778"/>
      <c r="G163" s="778"/>
      <c r="H163" s="778"/>
      <c r="I163" s="777"/>
      <c r="J163" s="777"/>
      <c r="K163" s="777"/>
      <c r="L163" s="989"/>
      <c r="M163" s="809"/>
      <c r="N163" s="809"/>
      <c r="O163" s="809"/>
      <c r="P163" s="809"/>
      <c r="Q163" s="809"/>
      <c r="R163" s="809"/>
      <c r="S163" s="989"/>
      <c r="T163" s="809"/>
      <c r="U163" s="809"/>
      <c r="V163" s="809"/>
      <c r="W163" s="809"/>
      <c r="X163" s="809"/>
      <c r="Y163" s="809"/>
      <c r="Z163" s="989"/>
      <c r="AA163" s="809"/>
      <c r="AB163" s="809"/>
      <c r="AC163" s="809"/>
      <c r="AD163" s="809"/>
      <c r="AE163" s="827"/>
      <c r="AF163" s="809"/>
      <c r="AG163" s="960"/>
      <c r="AH163" s="873"/>
      <c r="AI163" s="839">
        <f t="shared" si="10"/>
        <v>0</v>
      </c>
      <c r="AJ163" s="777">
        <v>0</v>
      </c>
      <c r="AK163" s="778">
        <f t="shared" si="8"/>
        <v>0</v>
      </c>
      <c r="AL163" s="780"/>
      <c r="AM163" s="781">
        <f t="shared" si="9"/>
        <v>0</v>
      </c>
    </row>
    <row r="164" spans="1:39" s="782" customFormat="1">
      <c r="A164" s="772" t="s">
        <v>664</v>
      </c>
      <c r="B164" s="772" t="s">
        <v>1172</v>
      </c>
      <c r="C164" s="877" t="s">
        <v>39</v>
      </c>
      <c r="D164" s="795"/>
      <c r="E164" s="981"/>
      <c r="F164" s="778"/>
      <c r="G164" s="778"/>
      <c r="H164" s="778"/>
      <c r="I164" s="777"/>
      <c r="J164" s="777"/>
      <c r="K164" s="777"/>
      <c r="L164" s="989"/>
      <c r="M164" s="809"/>
      <c r="N164" s="809"/>
      <c r="O164" s="809"/>
      <c r="P164" s="809"/>
      <c r="Q164" s="809"/>
      <c r="R164" s="809"/>
      <c r="S164" s="989"/>
      <c r="T164" s="809"/>
      <c r="U164" s="809"/>
      <c r="V164" s="809"/>
      <c r="W164" s="945">
        <f>5.24*0.25*0.5</f>
        <v>0.65500000000000003</v>
      </c>
      <c r="X164" s="809"/>
      <c r="Y164" s="809"/>
      <c r="Z164" s="989"/>
      <c r="AA164" s="809"/>
      <c r="AB164" s="809"/>
      <c r="AC164" s="809"/>
      <c r="AD164" s="809"/>
      <c r="AE164" s="827"/>
      <c r="AF164" s="809"/>
      <c r="AG164" s="960"/>
      <c r="AH164" s="873"/>
      <c r="AI164" s="839">
        <f t="shared" si="10"/>
        <v>0.66</v>
      </c>
      <c r="AJ164" s="777">
        <v>0</v>
      </c>
      <c r="AK164" s="778">
        <f t="shared" si="8"/>
        <v>0.66</v>
      </c>
      <c r="AL164" s="780" t="s">
        <v>1531</v>
      </c>
      <c r="AM164" s="781">
        <f t="shared" si="9"/>
        <v>10.9</v>
      </c>
    </row>
    <row r="165" spans="1:39" s="782" customFormat="1">
      <c r="A165" s="772" t="s">
        <v>665</v>
      </c>
      <c r="B165" s="772" t="s">
        <v>1173</v>
      </c>
      <c r="C165" s="877" t="s">
        <v>36</v>
      </c>
      <c r="D165" s="795"/>
      <c r="E165" s="981"/>
      <c r="F165" s="778"/>
      <c r="G165" s="778"/>
      <c r="H165" s="778"/>
      <c r="I165" s="777"/>
      <c r="J165" s="777"/>
      <c r="K165" s="777"/>
      <c r="L165" s="989"/>
      <c r="M165" s="809"/>
      <c r="N165" s="809"/>
      <c r="O165" s="809"/>
      <c r="P165" s="809"/>
      <c r="Q165" s="809"/>
      <c r="R165" s="809"/>
      <c r="S165" s="989"/>
      <c r="T165" s="809"/>
      <c r="U165" s="945">
        <f>3.12*2*0.25+3.12*2*0.25</f>
        <v>3.12</v>
      </c>
      <c r="V165" s="809"/>
      <c r="W165" s="945">
        <f>(2.365*2+5.2)*2*0.25+7.36*0.25*2+((2.365*2+5.2)*2*0.4+7.36*0.4*2)*2</f>
        <v>36.308999999999997</v>
      </c>
      <c r="X165" s="945">
        <f>9.44*2*0.5</f>
        <v>9.44</v>
      </c>
      <c r="Y165" s="945">
        <f>+(12.33+8.09)*0.2*2+(12.33+8.09)*0.2*2+12*0.4*0.2*3</f>
        <v>19.216000000000001</v>
      </c>
      <c r="Z165" s="989"/>
      <c r="AA165" s="809"/>
      <c r="AB165" s="809"/>
      <c r="AC165" s="809"/>
      <c r="AD165" s="809"/>
      <c r="AE165" s="827"/>
      <c r="AF165" s="809"/>
      <c r="AG165" s="960"/>
      <c r="AH165" s="873"/>
      <c r="AI165" s="839">
        <f t="shared" si="10"/>
        <v>68.09</v>
      </c>
      <c r="AJ165" s="777">
        <v>0</v>
      </c>
      <c r="AK165" s="778">
        <f t="shared" si="8"/>
        <v>68.09</v>
      </c>
      <c r="AL165" s="780" t="s">
        <v>1532</v>
      </c>
      <c r="AM165" s="781">
        <f t="shared" si="9"/>
        <v>33.75</v>
      </c>
    </row>
    <row r="166" spans="1:39" s="782" customFormat="1">
      <c r="A166" s="772" t="s">
        <v>666</v>
      </c>
      <c r="B166" s="772" t="s">
        <v>1174</v>
      </c>
      <c r="C166" s="877" t="s">
        <v>47</v>
      </c>
      <c r="D166" s="795"/>
      <c r="E166" s="981"/>
      <c r="F166" s="778"/>
      <c r="G166" s="778"/>
      <c r="H166" s="778"/>
      <c r="I166" s="777"/>
      <c r="J166" s="777"/>
      <c r="K166" s="777"/>
      <c r="L166" s="989"/>
      <c r="M166" s="809"/>
      <c r="N166" s="809"/>
      <c r="O166" s="809"/>
      <c r="P166" s="809"/>
      <c r="Q166" s="809"/>
      <c r="R166" s="809"/>
      <c r="S166" s="989"/>
      <c r="T166" s="965" t="s">
        <v>1533</v>
      </c>
      <c r="U166" s="809"/>
      <c r="V166" s="809"/>
      <c r="W166" s="809"/>
      <c r="X166" s="809"/>
      <c r="Y166" s="809"/>
      <c r="Z166" s="989"/>
      <c r="AA166" s="809"/>
      <c r="AB166" s="809"/>
      <c r="AC166" s="809"/>
      <c r="AD166" s="809"/>
      <c r="AE166" s="827"/>
      <c r="AF166" s="809"/>
      <c r="AG166" s="960"/>
      <c r="AH166" s="873"/>
      <c r="AI166" s="839">
        <f t="shared" si="10"/>
        <v>0</v>
      </c>
      <c r="AJ166" s="777">
        <v>0</v>
      </c>
      <c r="AK166" s="778">
        <f t="shared" si="8"/>
        <v>0</v>
      </c>
      <c r="AL166" s="780" t="s">
        <v>1533</v>
      </c>
      <c r="AM166" s="781">
        <f t="shared" si="9"/>
        <v>1333.5</v>
      </c>
    </row>
    <row r="167" spans="1:39" s="782" customFormat="1">
      <c r="A167" s="772" t="s">
        <v>667</v>
      </c>
      <c r="B167" s="772" t="s">
        <v>1175</v>
      </c>
      <c r="C167" s="898"/>
      <c r="D167" s="795"/>
      <c r="E167" s="981"/>
      <c r="F167" s="778"/>
      <c r="G167" s="778"/>
      <c r="H167" s="778"/>
      <c r="I167" s="777"/>
      <c r="J167" s="777"/>
      <c r="K167" s="777"/>
      <c r="L167" s="989"/>
      <c r="M167" s="809"/>
      <c r="N167" s="809"/>
      <c r="O167" s="809"/>
      <c r="P167" s="809"/>
      <c r="Q167" s="809"/>
      <c r="R167" s="809"/>
      <c r="S167" s="989"/>
      <c r="T167" s="809"/>
      <c r="U167" s="809"/>
      <c r="V167" s="809"/>
      <c r="W167" s="809"/>
      <c r="X167" s="809"/>
      <c r="Y167" s="809"/>
      <c r="Z167" s="989"/>
      <c r="AA167" s="809"/>
      <c r="AB167" s="809"/>
      <c r="AC167" s="809"/>
      <c r="AD167" s="809"/>
      <c r="AE167" s="827"/>
      <c r="AF167" s="809"/>
      <c r="AG167" s="960"/>
      <c r="AH167" s="873"/>
      <c r="AI167" s="839">
        <f t="shared" si="10"/>
        <v>0</v>
      </c>
      <c r="AJ167" s="777">
        <v>0</v>
      </c>
      <c r="AK167" s="778">
        <f t="shared" si="8"/>
        <v>0</v>
      </c>
      <c r="AL167" s="780"/>
      <c r="AM167" s="781">
        <f t="shared" si="9"/>
        <v>0</v>
      </c>
    </row>
    <row r="168" spans="1:39" s="782" customFormat="1" hidden="1">
      <c r="A168" s="772" t="s">
        <v>668</v>
      </c>
      <c r="B168" s="772" t="s">
        <v>1176</v>
      </c>
      <c r="C168" s="877" t="s">
        <v>39</v>
      </c>
      <c r="D168" s="795"/>
      <c r="E168" s="981"/>
      <c r="F168" s="778"/>
      <c r="G168" s="778"/>
      <c r="H168" s="778"/>
      <c r="I168" s="777"/>
      <c r="J168" s="777"/>
      <c r="K168" s="777"/>
      <c r="L168" s="989"/>
      <c r="M168" s="809"/>
      <c r="N168" s="809"/>
      <c r="O168" s="809"/>
      <c r="P168" s="809"/>
      <c r="Q168" s="809"/>
      <c r="R168" s="809"/>
      <c r="S168" s="989"/>
      <c r="T168" s="809"/>
      <c r="U168" s="809"/>
      <c r="V168" s="809"/>
      <c r="W168" s="809"/>
      <c r="X168" s="809"/>
      <c r="Y168" s="809"/>
      <c r="Z168" s="989"/>
      <c r="AA168" s="809"/>
      <c r="AB168" s="809"/>
      <c r="AC168" s="809"/>
      <c r="AD168" s="809"/>
      <c r="AE168" s="827"/>
      <c r="AF168" s="809"/>
      <c r="AG168" s="960"/>
      <c r="AH168" s="873"/>
      <c r="AI168" s="839">
        <f t="shared" si="10"/>
        <v>0</v>
      </c>
      <c r="AJ168" s="777">
        <v>0</v>
      </c>
      <c r="AK168" s="778">
        <f t="shared" si="8"/>
        <v>0</v>
      </c>
      <c r="AL168" s="780" t="s">
        <v>1534</v>
      </c>
      <c r="AM168" s="781">
        <f t="shared" si="9"/>
        <v>13.47</v>
      </c>
    </row>
    <row r="169" spans="1:39" s="782" customFormat="1">
      <c r="A169" s="772" t="s">
        <v>669</v>
      </c>
      <c r="B169" s="772" t="s">
        <v>1177</v>
      </c>
      <c r="C169" s="877" t="s">
        <v>36</v>
      </c>
      <c r="D169" s="795"/>
      <c r="E169" s="981"/>
      <c r="F169" s="778"/>
      <c r="G169" s="778"/>
      <c r="H169" s="778"/>
      <c r="I169" s="777"/>
      <c r="J169" s="777"/>
      <c r="K169" s="777"/>
      <c r="L169" s="989"/>
      <c r="M169" s="809"/>
      <c r="N169" s="809"/>
      <c r="O169" s="809"/>
      <c r="P169" s="809"/>
      <c r="Q169" s="809"/>
      <c r="R169" s="809"/>
      <c r="S169" s="989"/>
      <c r="T169" s="809"/>
      <c r="U169" s="809"/>
      <c r="V169" s="809"/>
      <c r="W169" s="809"/>
      <c r="X169" s="809"/>
      <c r="Y169" s="809"/>
      <c r="Z169" s="989"/>
      <c r="AA169" s="809"/>
      <c r="AB169" s="945">
        <f>2*3*0.25*3.53+(2.05+2.54+2.54+2.05)*2</f>
        <v>23.655000000000001</v>
      </c>
      <c r="AC169" s="945">
        <f>2*3*0.25*3.53+(1.76+2.02+2.02+1.76)*2</f>
        <v>20.414999999999999</v>
      </c>
      <c r="AD169" s="945">
        <f>2*3*0.25*3.53+(1.44+1.5+1.5+1.44)*2</f>
        <v>17.055</v>
      </c>
      <c r="AE169" s="945"/>
      <c r="AF169" s="945">
        <f>2*3*0.25*3.53+(1.14+0.99+0.99+1.14)*2</f>
        <v>13.815</v>
      </c>
      <c r="AG169" s="962"/>
      <c r="AH169" s="945">
        <f>2*2*0.25*3.53+(0.83+0.46+0.46+0.83)*2+(0.52+0.14+0.14+0.52)*2</f>
        <v>11.33</v>
      </c>
      <c r="AI169" s="839">
        <f t="shared" si="10"/>
        <v>86.27</v>
      </c>
      <c r="AJ169" s="777">
        <v>0</v>
      </c>
      <c r="AK169" s="778">
        <f t="shared" si="8"/>
        <v>86.27</v>
      </c>
      <c r="AL169" s="780" t="s">
        <v>1535</v>
      </c>
      <c r="AM169" s="781">
        <f t="shared" si="9"/>
        <v>67.660000000000011</v>
      </c>
    </row>
    <row r="170" spans="1:39" s="782" customFormat="1" hidden="1">
      <c r="A170" s="772" t="s">
        <v>670</v>
      </c>
      <c r="B170" s="772" t="s">
        <v>1178</v>
      </c>
      <c r="C170" s="877" t="s">
        <v>47</v>
      </c>
      <c r="D170" s="795"/>
      <c r="E170" s="981"/>
      <c r="F170" s="778"/>
      <c r="G170" s="778"/>
      <c r="H170" s="778"/>
      <c r="I170" s="777"/>
      <c r="J170" s="777"/>
      <c r="K170" s="777"/>
      <c r="L170" s="989"/>
      <c r="M170" s="809"/>
      <c r="N170" s="809"/>
      <c r="O170" s="809"/>
      <c r="P170" s="809"/>
      <c r="Q170" s="809"/>
      <c r="R170" s="809"/>
      <c r="S170" s="989"/>
      <c r="T170" s="809"/>
      <c r="U170" s="809"/>
      <c r="V170" s="809"/>
      <c r="W170" s="809"/>
      <c r="X170" s="809"/>
      <c r="Y170" s="809"/>
      <c r="Z170" s="989"/>
      <c r="AA170" s="809"/>
      <c r="AB170" s="809"/>
      <c r="AC170" s="809"/>
      <c r="AD170" s="809"/>
      <c r="AE170" s="827"/>
      <c r="AF170" s="809"/>
      <c r="AG170" s="960"/>
      <c r="AH170" s="873"/>
      <c r="AI170" s="839">
        <f t="shared" si="10"/>
        <v>0</v>
      </c>
      <c r="AJ170" s="777">
        <v>0</v>
      </c>
      <c r="AK170" s="778">
        <f t="shared" si="8"/>
        <v>0</v>
      </c>
      <c r="AL170" s="780" t="s">
        <v>1536</v>
      </c>
      <c r="AM170" s="781">
        <f t="shared" si="9"/>
        <v>1781.46</v>
      </c>
    </row>
    <row r="171" spans="1:39" s="782" customFormat="1" hidden="1">
      <c r="A171" s="772" t="s">
        <v>671</v>
      </c>
      <c r="B171" s="772" t="s">
        <v>1179</v>
      </c>
      <c r="C171" s="877" t="s">
        <v>1436</v>
      </c>
      <c r="D171" s="795"/>
      <c r="E171" s="981"/>
      <c r="F171" s="778"/>
      <c r="G171" s="778"/>
      <c r="H171" s="778"/>
      <c r="I171" s="777"/>
      <c r="J171" s="777"/>
      <c r="K171" s="777"/>
      <c r="L171" s="989"/>
      <c r="M171" s="809"/>
      <c r="N171" s="809"/>
      <c r="O171" s="809"/>
      <c r="P171" s="809"/>
      <c r="Q171" s="809"/>
      <c r="R171" s="809"/>
      <c r="S171" s="989"/>
      <c r="T171" s="809"/>
      <c r="U171" s="809"/>
      <c r="V171" s="809"/>
      <c r="W171" s="809"/>
      <c r="X171" s="809"/>
      <c r="Y171" s="809"/>
      <c r="Z171" s="989"/>
      <c r="AA171" s="809"/>
      <c r="AB171" s="809"/>
      <c r="AC171" s="809"/>
      <c r="AD171" s="809"/>
      <c r="AE171" s="827"/>
      <c r="AF171" s="809"/>
      <c r="AG171" s="960"/>
      <c r="AH171" s="873"/>
      <c r="AI171" s="839">
        <f t="shared" si="10"/>
        <v>0</v>
      </c>
      <c r="AJ171" s="777">
        <v>0</v>
      </c>
      <c r="AK171" s="778">
        <f t="shared" si="8"/>
        <v>0</v>
      </c>
      <c r="AL171" s="780" t="s">
        <v>1537</v>
      </c>
      <c r="AM171" s="781">
        <f t="shared" si="9"/>
        <v>1146.1400000000001</v>
      </c>
    </row>
    <row r="172" spans="1:39" s="782" customFormat="1" hidden="1">
      <c r="A172" s="772" t="s">
        <v>672</v>
      </c>
      <c r="B172" s="772" t="s">
        <v>1180</v>
      </c>
      <c r="C172" s="898"/>
      <c r="D172" s="795"/>
      <c r="E172" s="981"/>
      <c r="F172" s="778"/>
      <c r="G172" s="778"/>
      <c r="H172" s="778"/>
      <c r="I172" s="777"/>
      <c r="J172" s="777"/>
      <c r="K172" s="777"/>
      <c r="L172" s="989"/>
      <c r="M172" s="809"/>
      <c r="N172" s="809"/>
      <c r="O172" s="809"/>
      <c r="P172" s="809"/>
      <c r="Q172" s="809"/>
      <c r="R172" s="809"/>
      <c r="S172" s="989"/>
      <c r="T172" s="809"/>
      <c r="U172" s="809"/>
      <c r="V172" s="809"/>
      <c r="W172" s="809"/>
      <c r="X172" s="809"/>
      <c r="Y172" s="809"/>
      <c r="Z172" s="989"/>
      <c r="AA172" s="809"/>
      <c r="AB172" s="809"/>
      <c r="AC172" s="809"/>
      <c r="AD172" s="809"/>
      <c r="AE172" s="827"/>
      <c r="AF172" s="809"/>
      <c r="AG172" s="960"/>
      <c r="AH172" s="873"/>
      <c r="AI172" s="839">
        <f t="shared" si="10"/>
        <v>0</v>
      </c>
      <c r="AJ172" s="777">
        <v>0</v>
      </c>
      <c r="AK172" s="778">
        <f t="shared" si="8"/>
        <v>0</v>
      </c>
      <c r="AL172" s="780"/>
      <c r="AM172" s="781">
        <f t="shared" si="9"/>
        <v>0</v>
      </c>
    </row>
    <row r="173" spans="1:39" s="782" customFormat="1" hidden="1">
      <c r="A173" s="772" t="s">
        <v>673</v>
      </c>
      <c r="B173" s="772" t="s">
        <v>1181</v>
      </c>
      <c r="C173" s="877" t="s">
        <v>39</v>
      </c>
      <c r="D173" s="795"/>
      <c r="E173" s="981"/>
      <c r="F173" s="778"/>
      <c r="G173" s="778"/>
      <c r="H173" s="778"/>
      <c r="I173" s="777"/>
      <c r="J173" s="777"/>
      <c r="K173" s="777"/>
      <c r="L173" s="989"/>
      <c r="M173" s="809"/>
      <c r="N173" s="809"/>
      <c r="O173" s="809"/>
      <c r="P173" s="809"/>
      <c r="Q173" s="809"/>
      <c r="R173" s="809"/>
      <c r="S173" s="989"/>
      <c r="T173" s="809"/>
      <c r="U173" s="809"/>
      <c r="V173" s="809"/>
      <c r="W173" s="809"/>
      <c r="X173" s="809"/>
      <c r="Y173" s="809"/>
      <c r="Z173" s="989"/>
      <c r="AA173" s="809"/>
      <c r="AB173" s="809"/>
      <c r="AC173" s="809"/>
      <c r="AD173" s="809"/>
      <c r="AE173" s="827"/>
      <c r="AF173" s="809"/>
      <c r="AG173" s="960"/>
      <c r="AH173" s="873"/>
      <c r="AI173" s="839">
        <f t="shared" si="10"/>
        <v>0</v>
      </c>
      <c r="AJ173" s="777">
        <v>0</v>
      </c>
      <c r="AK173" s="778">
        <f t="shared" si="8"/>
        <v>0</v>
      </c>
      <c r="AL173" s="780" t="s">
        <v>1538</v>
      </c>
      <c r="AM173" s="781">
        <f t="shared" si="9"/>
        <v>2.57</v>
      </c>
    </row>
    <row r="174" spans="1:39" s="782" customFormat="1" hidden="1">
      <c r="A174" s="772" t="s">
        <v>674</v>
      </c>
      <c r="B174" s="772" t="s">
        <v>1182</v>
      </c>
      <c r="C174" s="877" t="s">
        <v>36</v>
      </c>
      <c r="D174" s="795"/>
      <c r="E174" s="981"/>
      <c r="F174" s="778"/>
      <c r="G174" s="778"/>
      <c r="H174" s="778"/>
      <c r="I174" s="777"/>
      <c r="J174" s="777"/>
      <c r="K174" s="777"/>
      <c r="L174" s="989"/>
      <c r="M174" s="809"/>
      <c r="N174" s="809"/>
      <c r="O174" s="809"/>
      <c r="P174" s="809"/>
      <c r="Q174" s="809"/>
      <c r="R174" s="809"/>
      <c r="S174" s="989"/>
      <c r="T174" s="809"/>
      <c r="U174" s="809"/>
      <c r="V174" s="809"/>
      <c r="W174" s="809"/>
      <c r="X174" s="809"/>
      <c r="Y174" s="809"/>
      <c r="Z174" s="989"/>
      <c r="AA174" s="809"/>
      <c r="AB174" s="809"/>
      <c r="AC174" s="809"/>
      <c r="AD174" s="809"/>
      <c r="AE174" s="827"/>
      <c r="AF174" s="809"/>
      <c r="AG174" s="960"/>
      <c r="AH174" s="873"/>
      <c r="AI174" s="839">
        <f t="shared" si="10"/>
        <v>0</v>
      </c>
      <c r="AJ174" s="777">
        <v>0</v>
      </c>
      <c r="AK174" s="778">
        <f t="shared" si="8"/>
        <v>0</v>
      </c>
      <c r="AL174" s="780" t="s">
        <v>1480</v>
      </c>
      <c r="AM174" s="781">
        <f t="shared" si="9"/>
        <v>34.270000000000003</v>
      </c>
    </row>
    <row r="175" spans="1:39" s="782" customFormat="1" hidden="1">
      <c r="A175" s="772" t="s">
        <v>675</v>
      </c>
      <c r="B175" s="772" t="s">
        <v>1183</v>
      </c>
      <c r="C175" s="877" t="s">
        <v>47</v>
      </c>
      <c r="D175" s="795"/>
      <c r="E175" s="981"/>
      <c r="F175" s="778"/>
      <c r="G175" s="778"/>
      <c r="H175" s="778"/>
      <c r="I175" s="777"/>
      <c r="J175" s="777"/>
      <c r="K175" s="777"/>
      <c r="L175" s="989"/>
      <c r="M175" s="809"/>
      <c r="N175" s="809"/>
      <c r="O175" s="809"/>
      <c r="P175" s="809"/>
      <c r="Q175" s="809"/>
      <c r="R175" s="809"/>
      <c r="S175" s="989"/>
      <c r="T175" s="809"/>
      <c r="U175" s="809"/>
      <c r="V175" s="809"/>
      <c r="W175" s="809"/>
      <c r="X175" s="809"/>
      <c r="Y175" s="809"/>
      <c r="Z175" s="989"/>
      <c r="AA175" s="809"/>
      <c r="AB175" s="809"/>
      <c r="AC175" s="809"/>
      <c r="AD175" s="809"/>
      <c r="AE175" s="827"/>
      <c r="AF175" s="809"/>
      <c r="AG175" s="960"/>
      <c r="AH175" s="873"/>
      <c r="AI175" s="839">
        <f t="shared" si="10"/>
        <v>0</v>
      </c>
      <c r="AJ175" s="777">
        <v>0</v>
      </c>
      <c r="AK175" s="778">
        <f t="shared" si="8"/>
        <v>0</v>
      </c>
      <c r="AL175" s="780" t="s">
        <v>1539</v>
      </c>
      <c r="AM175" s="781">
        <f t="shared" si="9"/>
        <v>178.66</v>
      </c>
    </row>
    <row r="176" spans="1:39" s="782" customFormat="1" hidden="1">
      <c r="A176" s="885" t="s">
        <v>676</v>
      </c>
      <c r="B176" s="885" t="s">
        <v>1184</v>
      </c>
      <c r="C176" s="898"/>
      <c r="D176" s="795"/>
      <c r="E176" s="981"/>
      <c r="F176" s="778"/>
      <c r="G176" s="778"/>
      <c r="H176" s="778"/>
      <c r="I176" s="777"/>
      <c r="J176" s="777"/>
      <c r="K176" s="777"/>
      <c r="L176" s="989"/>
      <c r="M176" s="809"/>
      <c r="N176" s="809"/>
      <c r="O176" s="809"/>
      <c r="P176" s="809"/>
      <c r="Q176" s="809"/>
      <c r="R176" s="809"/>
      <c r="S176" s="989"/>
      <c r="T176" s="809"/>
      <c r="U176" s="809"/>
      <c r="V176" s="809"/>
      <c r="W176" s="809"/>
      <c r="X176" s="809"/>
      <c r="Y176" s="809"/>
      <c r="Z176" s="989"/>
      <c r="AA176" s="809"/>
      <c r="AB176" s="809"/>
      <c r="AC176" s="809"/>
      <c r="AD176" s="809"/>
      <c r="AE176" s="827"/>
      <c r="AF176" s="809"/>
      <c r="AG176" s="960"/>
      <c r="AH176" s="873"/>
      <c r="AI176" s="839">
        <f t="shared" si="10"/>
        <v>0</v>
      </c>
      <c r="AJ176" s="777">
        <v>0</v>
      </c>
      <c r="AK176" s="778">
        <f t="shared" si="8"/>
        <v>0</v>
      </c>
      <c r="AL176" s="780"/>
      <c r="AM176" s="781">
        <f t="shared" si="9"/>
        <v>0</v>
      </c>
    </row>
    <row r="177" spans="1:39" s="782" customFormat="1" hidden="1">
      <c r="A177" s="772" t="s">
        <v>677</v>
      </c>
      <c r="B177" s="772" t="s">
        <v>1185</v>
      </c>
      <c r="C177" s="877" t="s">
        <v>37</v>
      </c>
      <c r="D177" s="795"/>
      <c r="E177" s="981"/>
      <c r="F177" s="778"/>
      <c r="G177" s="778"/>
      <c r="H177" s="778"/>
      <c r="I177" s="777"/>
      <c r="J177" s="777"/>
      <c r="K177" s="777"/>
      <c r="L177" s="989"/>
      <c r="M177" s="809"/>
      <c r="N177" s="809"/>
      <c r="O177" s="809"/>
      <c r="P177" s="809"/>
      <c r="Q177" s="809"/>
      <c r="R177" s="809"/>
      <c r="S177" s="989"/>
      <c r="T177" s="809"/>
      <c r="U177" s="809"/>
      <c r="V177" s="809"/>
      <c r="W177" s="809"/>
      <c r="X177" s="809"/>
      <c r="Y177" s="809"/>
      <c r="Z177" s="989"/>
      <c r="AA177" s="809"/>
      <c r="AB177" s="809"/>
      <c r="AC177" s="809"/>
      <c r="AD177" s="809"/>
      <c r="AE177" s="827"/>
      <c r="AF177" s="809"/>
      <c r="AG177" s="960"/>
      <c r="AH177" s="873"/>
      <c r="AI177" s="839">
        <f t="shared" si="10"/>
        <v>0</v>
      </c>
      <c r="AJ177" s="777">
        <v>0</v>
      </c>
      <c r="AK177" s="778">
        <f t="shared" si="8"/>
        <v>0</v>
      </c>
      <c r="AL177" s="780" t="s">
        <v>1540</v>
      </c>
      <c r="AM177" s="781">
        <f t="shared" si="9"/>
        <v>377.52</v>
      </c>
    </row>
    <row r="178" spans="1:39" s="782" customFormat="1">
      <c r="A178" s="885" t="s">
        <v>678</v>
      </c>
      <c r="B178" s="885" t="s">
        <v>1186</v>
      </c>
      <c r="C178" s="877"/>
      <c r="D178" s="795"/>
      <c r="E178" s="981"/>
      <c r="F178" s="778"/>
      <c r="G178" s="778"/>
      <c r="H178" s="778"/>
      <c r="I178" s="777"/>
      <c r="J178" s="777"/>
      <c r="K178" s="777"/>
      <c r="L178" s="989"/>
      <c r="M178" s="809"/>
      <c r="N178" s="809"/>
      <c r="O178" s="809"/>
      <c r="P178" s="809"/>
      <c r="Q178" s="809"/>
      <c r="R178" s="809"/>
      <c r="S178" s="989"/>
      <c r="T178" s="809"/>
      <c r="U178" s="809"/>
      <c r="V178" s="809"/>
      <c r="W178" s="809"/>
      <c r="X178" s="809"/>
      <c r="Y178" s="809"/>
      <c r="Z178" s="989"/>
      <c r="AA178" s="809"/>
      <c r="AB178" s="809"/>
      <c r="AC178" s="809"/>
      <c r="AD178" s="809"/>
      <c r="AE178" s="827"/>
      <c r="AF178" s="809"/>
      <c r="AG178" s="960"/>
      <c r="AH178" s="873"/>
      <c r="AI178" s="839">
        <f t="shared" si="10"/>
        <v>0</v>
      </c>
      <c r="AJ178" s="777">
        <v>0</v>
      </c>
      <c r="AK178" s="778">
        <f t="shared" si="8"/>
        <v>0</v>
      </c>
      <c r="AL178" s="780"/>
      <c r="AM178" s="781">
        <f t="shared" si="9"/>
        <v>0</v>
      </c>
    </row>
    <row r="179" spans="1:39" s="782" customFormat="1" hidden="1">
      <c r="A179" s="772" t="s">
        <v>679</v>
      </c>
      <c r="B179" s="772" t="s">
        <v>1187</v>
      </c>
      <c r="C179" s="877" t="s">
        <v>37</v>
      </c>
      <c r="D179" s="795"/>
      <c r="E179" s="981"/>
      <c r="F179" s="778"/>
      <c r="G179" s="778"/>
      <c r="H179" s="778"/>
      <c r="I179" s="777"/>
      <c r="J179" s="777"/>
      <c r="K179" s="777"/>
      <c r="L179" s="989"/>
      <c r="M179" s="809"/>
      <c r="N179" s="809"/>
      <c r="O179" s="809"/>
      <c r="P179" s="809"/>
      <c r="Q179" s="809"/>
      <c r="R179" s="809"/>
      <c r="S179" s="989"/>
      <c r="T179" s="809"/>
      <c r="U179" s="809"/>
      <c r="V179" s="809"/>
      <c r="W179" s="809"/>
      <c r="X179" s="809"/>
      <c r="Y179" s="809"/>
      <c r="Z179" s="989"/>
      <c r="AA179" s="809"/>
      <c r="AB179" s="809"/>
      <c r="AC179" s="809"/>
      <c r="AD179" s="809"/>
      <c r="AE179" s="827"/>
      <c r="AF179" s="809"/>
      <c r="AG179" s="960"/>
      <c r="AH179" s="873"/>
      <c r="AI179" s="839">
        <f t="shared" si="10"/>
        <v>0</v>
      </c>
      <c r="AJ179" s="777">
        <v>0</v>
      </c>
      <c r="AK179" s="778">
        <f t="shared" si="8"/>
        <v>0</v>
      </c>
      <c r="AL179" s="780" t="s">
        <v>1541</v>
      </c>
      <c r="AM179" s="781">
        <f t="shared" si="9"/>
        <v>75.400000000000006</v>
      </c>
    </row>
    <row r="180" spans="1:39" s="782" customFormat="1">
      <c r="A180" s="772" t="s">
        <v>680</v>
      </c>
      <c r="B180" s="772" t="s">
        <v>224</v>
      </c>
      <c r="C180" s="877" t="s">
        <v>1436</v>
      </c>
      <c r="D180" s="795"/>
      <c r="E180" s="981"/>
      <c r="F180" s="778"/>
      <c r="G180" s="778"/>
      <c r="H180" s="778"/>
      <c r="I180" s="777"/>
      <c r="J180" s="777"/>
      <c r="K180" s="777"/>
      <c r="L180" s="989"/>
      <c r="M180" s="809"/>
      <c r="N180" s="809"/>
      <c r="O180" s="809"/>
      <c r="P180" s="809"/>
      <c r="Q180" s="809"/>
      <c r="R180" s="809"/>
      <c r="S180" s="989"/>
      <c r="T180" s="809"/>
      <c r="U180" s="809"/>
      <c r="V180" s="809"/>
      <c r="W180" s="809"/>
      <c r="X180" s="809"/>
      <c r="Y180" s="809"/>
      <c r="Z180" s="989"/>
      <c r="AA180" s="809"/>
      <c r="AB180" s="809"/>
      <c r="AC180" s="809"/>
      <c r="AD180" s="809"/>
      <c r="AE180" s="827"/>
      <c r="AF180" s="809"/>
      <c r="AG180" s="960"/>
      <c r="AH180" s="974">
        <v>3</v>
      </c>
      <c r="AI180" s="839">
        <f t="shared" si="10"/>
        <v>3</v>
      </c>
      <c r="AJ180" s="777">
        <v>0</v>
      </c>
      <c r="AK180" s="778">
        <f t="shared" si="8"/>
        <v>3</v>
      </c>
      <c r="AL180" s="780" t="s">
        <v>1479</v>
      </c>
      <c r="AM180" s="781">
        <f t="shared" si="9"/>
        <v>12</v>
      </c>
    </row>
    <row r="181" spans="1:39" s="560" customFormat="1" hidden="1">
      <c r="A181" s="492" t="s">
        <v>502</v>
      </c>
      <c r="B181" s="608" t="s">
        <v>1196</v>
      </c>
      <c r="C181" s="690"/>
      <c r="D181" s="580"/>
      <c r="E181" s="981"/>
      <c r="F181" s="581"/>
      <c r="G181" s="581"/>
      <c r="H181" s="581"/>
      <c r="I181" s="949"/>
      <c r="J181" s="949"/>
      <c r="K181" s="949"/>
      <c r="L181" s="989"/>
      <c r="M181" s="575"/>
      <c r="N181" s="575"/>
      <c r="O181" s="575"/>
      <c r="P181" s="575"/>
      <c r="Q181" s="575"/>
      <c r="R181" s="575"/>
      <c r="S181" s="989"/>
      <c r="T181" s="575"/>
      <c r="U181" s="575"/>
      <c r="V181" s="575"/>
      <c r="W181" s="575"/>
      <c r="X181" s="575"/>
      <c r="Y181" s="575"/>
      <c r="Z181" s="989"/>
      <c r="AA181" s="575"/>
      <c r="AB181" s="575"/>
      <c r="AC181" s="575"/>
      <c r="AD181" s="575"/>
      <c r="AE181" s="827"/>
      <c r="AF181" s="575"/>
      <c r="AG181" s="960"/>
      <c r="AH181" s="842"/>
      <c r="AI181" s="839">
        <f t="shared" si="10"/>
        <v>0</v>
      </c>
      <c r="AJ181" s="949">
        <v>0</v>
      </c>
      <c r="AK181" s="581">
        <f t="shared" si="8"/>
        <v>0</v>
      </c>
      <c r="AL181" s="746"/>
      <c r="AM181" s="743">
        <f t="shared" si="9"/>
        <v>0</v>
      </c>
    </row>
    <row r="182" spans="1:39" s="560" customFormat="1" hidden="1">
      <c r="A182" s="607" t="s">
        <v>503</v>
      </c>
      <c r="B182" s="607" t="s">
        <v>45</v>
      </c>
      <c r="C182" s="690"/>
      <c r="D182" s="580"/>
      <c r="E182" s="981"/>
      <c r="F182" s="581"/>
      <c r="G182" s="581"/>
      <c r="H182" s="581"/>
      <c r="I182" s="949"/>
      <c r="J182" s="949"/>
      <c r="K182" s="949"/>
      <c r="L182" s="989"/>
      <c r="M182" s="575"/>
      <c r="N182" s="575"/>
      <c r="O182" s="575"/>
      <c r="P182" s="575"/>
      <c r="Q182" s="575"/>
      <c r="R182" s="575"/>
      <c r="S182" s="989"/>
      <c r="T182" s="575"/>
      <c r="U182" s="575"/>
      <c r="V182" s="575"/>
      <c r="W182" s="575"/>
      <c r="X182" s="575"/>
      <c r="Y182" s="575"/>
      <c r="Z182" s="989"/>
      <c r="AA182" s="575"/>
      <c r="AB182" s="575"/>
      <c r="AC182" s="575"/>
      <c r="AD182" s="575"/>
      <c r="AE182" s="827"/>
      <c r="AF182" s="575"/>
      <c r="AG182" s="960"/>
      <c r="AH182" s="842"/>
      <c r="AI182" s="839">
        <f t="shared" si="10"/>
        <v>0</v>
      </c>
      <c r="AJ182" s="949">
        <v>0</v>
      </c>
      <c r="AK182" s="581">
        <f t="shared" si="8"/>
        <v>0</v>
      </c>
      <c r="AL182" s="746"/>
      <c r="AM182" s="743">
        <f t="shared" si="9"/>
        <v>0</v>
      </c>
    </row>
    <row r="183" spans="1:39" s="560" customFormat="1" hidden="1">
      <c r="A183" s="604" t="s">
        <v>681</v>
      </c>
      <c r="B183" s="604" t="s">
        <v>1142</v>
      </c>
      <c r="C183" s="614" t="s">
        <v>39</v>
      </c>
      <c r="D183" s="580"/>
      <c r="E183" s="981"/>
      <c r="F183" s="581"/>
      <c r="G183" s="581"/>
      <c r="H183" s="581"/>
      <c r="I183" s="949"/>
      <c r="J183" s="949"/>
      <c r="K183" s="949"/>
      <c r="L183" s="989"/>
      <c r="M183" s="575"/>
      <c r="N183" s="575"/>
      <c r="O183" s="575"/>
      <c r="P183" s="575"/>
      <c r="Q183" s="575"/>
      <c r="R183" s="575"/>
      <c r="S183" s="989"/>
      <c r="T183" s="575"/>
      <c r="U183" s="575"/>
      <c r="V183" s="575"/>
      <c r="W183" s="575"/>
      <c r="X183" s="575"/>
      <c r="Y183" s="575"/>
      <c r="Z183" s="989"/>
      <c r="AA183" s="575"/>
      <c r="AB183" s="575"/>
      <c r="AC183" s="575"/>
      <c r="AD183" s="575"/>
      <c r="AE183" s="827"/>
      <c r="AF183" s="575"/>
      <c r="AG183" s="960"/>
      <c r="AH183" s="842"/>
      <c r="AI183" s="839">
        <f t="shared" si="10"/>
        <v>0</v>
      </c>
      <c r="AJ183" s="949">
        <v>0</v>
      </c>
      <c r="AK183" s="581">
        <f t="shared" si="8"/>
        <v>0</v>
      </c>
      <c r="AL183" s="746" t="s">
        <v>1542</v>
      </c>
      <c r="AM183" s="743">
        <f t="shared" si="9"/>
        <v>39.86</v>
      </c>
    </row>
    <row r="184" spans="1:39" s="560" customFormat="1" hidden="1">
      <c r="A184" s="604" t="s">
        <v>682</v>
      </c>
      <c r="B184" s="604" t="s">
        <v>1143</v>
      </c>
      <c r="C184" s="614" t="s">
        <v>39</v>
      </c>
      <c r="D184" s="580"/>
      <c r="E184" s="981"/>
      <c r="F184" s="581"/>
      <c r="G184" s="581"/>
      <c r="H184" s="581"/>
      <c r="I184" s="949"/>
      <c r="J184" s="949"/>
      <c r="K184" s="949"/>
      <c r="L184" s="989"/>
      <c r="M184" s="575"/>
      <c r="N184" s="575"/>
      <c r="O184" s="575"/>
      <c r="P184" s="575"/>
      <c r="Q184" s="575"/>
      <c r="R184" s="575"/>
      <c r="S184" s="989"/>
      <c r="T184" s="575"/>
      <c r="U184" s="575"/>
      <c r="V184" s="575"/>
      <c r="W184" s="575"/>
      <c r="X184" s="575"/>
      <c r="Y184" s="575"/>
      <c r="Z184" s="989"/>
      <c r="AA184" s="575"/>
      <c r="AB184" s="575"/>
      <c r="AC184" s="575"/>
      <c r="AD184" s="575"/>
      <c r="AE184" s="827"/>
      <c r="AF184" s="575"/>
      <c r="AG184" s="960"/>
      <c r="AH184" s="842"/>
      <c r="AI184" s="839">
        <f t="shared" si="10"/>
        <v>0</v>
      </c>
      <c r="AJ184" s="949">
        <v>0</v>
      </c>
      <c r="AK184" s="581">
        <f t="shared" si="8"/>
        <v>0</v>
      </c>
      <c r="AL184" s="746" t="s">
        <v>1543</v>
      </c>
      <c r="AM184" s="743">
        <f t="shared" si="9"/>
        <v>9.1</v>
      </c>
    </row>
    <row r="185" spans="1:39" s="560" customFormat="1" hidden="1">
      <c r="A185" s="604" t="s">
        <v>683</v>
      </c>
      <c r="B185" s="604" t="s">
        <v>1144</v>
      </c>
      <c r="C185" s="614" t="s">
        <v>39</v>
      </c>
      <c r="D185" s="580"/>
      <c r="E185" s="981"/>
      <c r="F185" s="581"/>
      <c r="G185" s="581"/>
      <c r="H185" s="581"/>
      <c r="I185" s="949"/>
      <c r="J185" s="949"/>
      <c r="K185" s="949"/>
      <c r="L185" s="989"/>
      <c r="M185" s="575"/>
      <c r="N185" s="575"/>
      <c r="O185" s="575"/>
      <c r="P185" s="575"/>
      <c r="Q185" s="575"/>
      <c r="R185" s="575"/>
      <c r="S185" s="989"/>
      <c r="T185" s="575"/>
      <c r="U185" s="575"/>
      <c r="V185" s="575"/>
      <c r="W185" s="575"/>
      <c r="X185" s="575"/>
      <c r="Y185" s="575"/>
      <c r="Z185" s="989"/>
      <c r="AA185" s="575"/>
      <c r="AB185" s="575"/>
      <c r="AC185" s="575"/>
      <c r="AD185" s="575"/>
      <c r="AE185" s="827"/>
      <c r="AF185" s="575"/>
      <c r="AG185" s="960"/>
      <c r="AH185" s="842"/>
      <c r="AI185" s="839">
        <f t="shared" si="10"/>
        <v>0</v>
      </c>
      <c r="AJ185" s="949">
        <v>0</v>
      </c>
      <c r="AK185" s="581">
        <f t="shared" si="8"/>
        <v>0</v>
      </c>
      <c r="AL185" s="746" t="s">
        <v>1544</v>
      </c>
      <c r="AM185" s="743">
        <f t="shared" si="9"/>
        <v>15.72</v>
      </c>
    </row>
    <row r="186" spans="1:39" s="560" customFormat="1" hidden="1">
      <c r="A186" s="604" t="s">
        <v>684</v>
      </c>
      <c r="B186" s="604" t="s">
        <v>1145</v>
      </c>
      <c r="C186" s="614" t="s">
        <v>36</v>
      </c>
      <c r="D186" s="580"/>
      <c r="E186" s="981"/>
      <c r="F186" s="581"/>
      <c r="G186" s="581"/>
      <c r="H186" s="581"/>
      <c r="I186" s="949"/>
      <c r="J186" s="949"/>
      <c r="K186" s="949"/>
      <c r="L186" s="989"/>
      <c r="M186" s="575"/>
      <c r="N186" s="575"/>
      <c r="O186" s="575"/>
      <c r="P186" s="575"/>
      <c r="Q186" s="575"/>
      <c r="R186" s="575"/>
      <c r="S186" s="989"/>
      <c r="T186" s="575"/>
      <c r="U186" s="575"/>
      <c r="V186" s="575"/>
      <c r="W186" s="575"/>
      <c r="X186" s="575"/>
      <c r="Y186" s="575"/>
      <c r="Z186" s="989"/>
      <c r="AA186" s="575"/>
      <c r="AB186" s="575"/>
      <c r="AC186" s="575"/>
      <c r="AD186" s="575"/>
      <c r="AE186" s="827"/>
      <c r="AF186" s="575"/>
      <c r="AG186" s="960"/>
      <c r="AH186" s="842"/>
      <c r="AI186" s="839">
        <f t="shared" si="10"/>
        <v>0</v>
      </c>
      <c r="AJ186" s="949">
        <v>0</v>
      </c>
      <c r="AK186" s="581">
        <f t="shared" si="8"/>
        <v>0</v>
      </c>
      <c r="AL186" s="746" t="s">
        <v>1545</v>
      </c>
      <c r="AM186" s="743">
        <f t="shared" si="9"/>
        <v>22.03</v>
      </c>
    </row>
    <row r="187" spans="1:39" s="560" customFormat="1" hidden="1">
      <c r="A187" s="604" t="s">
        <v>685</v>
      </c>
      <c r="B187" s="604" t="s">
        <v>1146</v>
      </c>
      <c r="C187" s="614" t="s">
        <v>39</v>
      </c>
      <c r="D187" s="580"/>
      <c r="E187" s="981"/>
      <c r="F187" s="581"/>
      <c r="G187" s="581"/>
      <c r="H187" s="581"/>
      <c r="I187" s="949"/>
      <c r="J187" s="949"/>
      <c r="K187" s="949"/>
      <c r="L187" s="989"/>
      <c r="M187" s="575"/>
      <c r="N187" s="575"/>
      <c r="O187" s="575"/>
      <c r="P187" s="575"/>
      <c r="Q187" s="575"/>
      <c r="R187" s="575"/>
      <c r="S187" s="989"/>
      <c r="T187" s="575"/>
      <c r="U187" s="575"/>
      <c r="V187" s="575"/>
      <c r="W187" s="575"/>
      <c r="X187" s="575"/>
      <c r="Y187" s="575"/>
      <c r="Z187" s="989"/>
      <c r="AA187" s="575"/>
      <c r="AB187" s="575"/>
      <c r="AC187" s="575"/>
      <c r="AD187" s="575"/>
      <c r="AE187" s="827"/>
      <c r="AF187" s="575"/>
      <c r="AG187" s="960"/>
      <c r="AH187" s="842"/>
      <c r="AI187" s="839">
        <f t="shared" si="10"/>
        <v>0</v>
      </c>
      <c r="AJ187" s="949">
        <v>0</v>
      </c>
      <c r="AK187" s="581">
        <f t="shared" si="8"/>
        <v>0</v>
      </c>
      <c r="AL187" s="746" t="s">
        <v>1546</v>
      </c>
      <c r="AM187" s="743">
        <f t="shared" si="9"/>
        <v>41.56</v>
      </c>
    </row>
    <row r="188" spans="1:39" s="560" customFormat="1" hidden="1">
      <c r="A188" s="604" t="s">
        <v>686</v>
      </c>
      <c r="B188" s="604" t="s">
        <v>1147</v>
      </c>
      <c r="C188" s="614" t="s">
        <v>39</v>
      </c>
      <c r="D188" s="580"/>
      <c r="E188" s="981"/>
      <c r="F188" s="581"/>
      <c r="G188" s="581"/>
      <c r="H188" s="581"/>
      <c r="I188" s="949"/>
      <c r="J188" s="949"/>
      <c r="K188" s="949"/>
      <c r="L188" s="989"/>
      <c r="M188" s="575"/>
      <c r="N188" s="575"/>
      <c r="O188" s="575"/>
      <c r="P188" s="575"/>
      <c r="Q188" s="575"/>
      <c r="R188" s="575"/>
      <c r="S188" s="989"/>
      <c r="T188" s="575"/>
      <c r="U188" s="575"/>
      <c r="V188" s="575"/>
      <c r="W188" s="575"/>
      <c r="X188" s="575"/>
      <c r="Y188" s="575"/>
      <c r="Z188" s="989"/>
      <c r="AA188" s="575"/>
      <c r="AB188" s="575"/>
      <c r="AC188" s="575"/>
      <c r="AD188" s="575"/>
      <c r="AE188" s="827"/>
      <c r="AF188" s="575"/>
      <c r="AG188" s="960"/>
      <c r="AH188" s="842"/>
      <c r="AI188" s="839">
        <f t="shared" si="10"/>
        <v>0</v>
      </c>
      <c r="AJ188" s="949">
        <v>0</v>
      </c>
      <c r="AK188" s="581">
        <f t="shared" si="8"/>
        <v>0</v>
      </c>
      <c r="AL188" s="746" t="s">
        <v>1546</v>
      </c>
      <c r="AM188" s="743">
        <f t="shared" si="9"/>
        <v>41.56</v>
      </c>
    </row>
    <row r="189" spans="1:39" s="560" customFormat="1" hidden="1">
      <c r="A189" s="607" t="s">
        <v>687</v>
      </c>
      <c r="B189" s="607" t="s">
        <v>1148</v>
      </c>
      <c r="C189" s="690"/>
      <c r="D189" s="580"/>
      <c r="E189" s="981"/>
      <c r="F189" s="581"/>
      <c r="G189" s="581"/>
      <c r="H189" s="581"/>
      <c r="I189" s="949"/>
      <c r="J189" s="949"/>
      <c r="K189" s="949"/>
      <c r="L189" s="989"/>
      <c r="M189" s="575"/>
      <c r="N189" s="575"/>
      <c r="O189" s="575"/>
      <c r="P189" s="575"/>
      <c r="Q189" s="575"/>
      <c r="R189" s="575"/>
      <c r="S189" s="989"/>
      <c r="T189" s="575"/>
      <c r="U189" s="575"/>
      <c r="V189" s="575"/>
      <c r="W189" s="575"/>
      <c r="X189" s="575"/>
      <c r="Y189" s="575"/>
      <c r="Z189" s="989"/>
      <c r="AA189" s="575"/>
      <c r="AB189" s="575"/>
      <c r="AC189" s="575"/>
      <c r="AD189" s="575"/>
      <c r="AE189" s="827"/>
      <c r="AF189" s="575"/>
      <c r="AG189" s="960"/>
      <c r="AH189" s="842"/>
      <c r="AI189" s="839">
        <f t="shared" si="10"/>
        <v>0</v>
      </c>
      <c r="AJ189" s="949">
        <v>0</v>
      </c>
      <c r="AK189" s="581">
        <f t="shared" si="8"/>
        <v>0</v>
      </c>
      <c r="AL189" s="746"/>
      <c r="AM189" s="743">
        <f t="shared" si="9"/>
        <v>0</v>
      </c>
    </row>
    <row r="190" spans="1:39" s="560" customFormat="1" hidden="1">
      <c r="A190" s="604" t="s">
        <v>688</v>
      </c>
      <c r="B190" s="604" t="s">
        <v>1149</v>
      </c>
      <c r="C190" s="614" t="s">
        <v>39</v>
      </c>
      <c r="D190" s="580"/>
      <c r="E190" s="981"/>
      <c r="F190" s="581"/>
      <c r="G190" s="581"/>
      <c r="H190" s="581"/>
      <c r="I190" s="949"/>
      <c r="J190" s="949"/>
      <c r="K190" s="949"/>
      <c r="L190" s="989"/>
      <c r="M190" s="575"/>
      <c r="N190" s="575"/>
      <c r="O190" s="575"/>
      <c r="P190" s="575"/>
      <c r="Q190" s="575"/>
      <c r="R190" s="575"/>
      <c r="S190" s="989"/>
      <c r="T190" s="575"/>
      <c r="U190" s="575"/>
      <c r="V190" s="575"/>
      <c r="W190" s="575"/>
      <c r="X190" s="575"/>
      <c r="Y190" s="575"/>
      <c r="Z190" s="989"/>
      <c r="AA190" s="575"/>
      <c r="AB190" s="575"/>
      <c r="AC190" s="575"/>
      <c r="AD190" s="575"/>
      <c r="AE190" s="827"/>
      <c r="AF190" s="575"/>
      <c r="AG190" s="960"/>
      <c r="AH190" s="842"/>
      <c r="AI190" s="839">
        <f t="shared" si="10"/>
        <v>0</v>
      </c>
      <c r="AJ190" s="949">
        <v>0</v>
      </c>
      <c r="AK190" s="581">
        <f t="shared" si="8"/>
        <v>0</v>
      </c>
      <c r="AL190" s="746" t="s">
        <v>1547</v>
      </c>
      <c r="AM190" s="743">
        <f t="shared" si="9"/>
        <v>20.28</v>
      </c>
    </row>
    <row r="191" spans="1:39" s="560" customFormat="1" hidden="1">
      <c r="A191" s="604" t="s">
        <v>689</v>
      </c>
      <c r="B191" s="604" t="s">
        <v>1189</v>
      </c>
      <c r="C191" s="614" t="s">
        <v>36</v>
      </c>
      <c r="D191" s="580"/>
      <c r="E191" s="981"/>
      <c r="F191" s="581"/>
      <c r="G191" s="581"/>
      <c r="H191" s="581"/>
      <c r="I191" s="949"/>
      <c r="J191" s="949"/>
      <c r="K191" s="949"/>
      <c r="L191" s="989"/>
      <c r="M191" s="575"/>
      <c r="N191" s="575"/>
      <c r="O191" s="575"/>
      <c r="P191" s="575"/>
      <c r="Q191" s="575"/>
      <c r="R191" s="575"/>
      <c r="S191" s="989"/>
      <c r="T191" s="575"/>
      <c r="U191" s="575"/>
      <c r="V191" s="575"/>
      <c r="W191" s="575"/>
      <c r="X191" s="575"/>
      <c r="Y191" s="575"/>
      <c r="Z191" s="989"/>
      <c r="AA191" s="575"/>
      <c r="AB191" s="575"/>
      <c r="AC191" s="575"/>
      <c r="AD191" s="575"/>
      <c r="AE191" s="827"/>
      <c r="AF191" s="575"/>
      <c r="AG191" s="960"/>
      <c r="AH191" s="842"/>
      <c r="AI191" s="839">
        <f t="shared" si="10"/>
        <v>0</v>
      </c>
      <c r="AJ191" s="949">
        <v>0</v>
      </c>
      <c r="AK191" s="581">
        <f t="shared" si="8"/>
        <v>0</v>
      </c>
      <c r="AL191" s="746" t="s">
        <v>1548</v>
      </c>
      <c r="AM191" s="743">
        <f t="shared" si="9"/>
        <v>14.79</v>
      </c>
    </row>
    <row r="192" spans="1:39" s="560" customFormat="1" hidden="1">
      <c r="A192" s="604" t="s">
        <v>690</v>
      </c>
      <c r="B192" s="604" t="s">
        <v>1190</v>
      </c>
      <c r="C192" s="614" t="s">
        <v>39</v>
      </c>
      <c r="D192" s="580"/>
      <c r="E192" s="981"/>
      <c r="F192" s="581"/>
      <c r="G192" s="581"/>
      <c r="H192" s="581"/>
      <c r="I192" s="949"/>
      <c r="J192" s="949"/>
      <c r="K192" s="949"/>
      <c r="L192" s="989"/>
      <c r="M192" s="575"/>
      <c r="N192" s="575"/>
      <c r="O192" s="575"/>
      <c r="P192" s="575"/>
      <c r="Q192" s="575"/>
      <c r="R192" s="575"/>
      <c r="S192" s="989"/>
      <c r="T192" s="575"/>
      <c r="U192" s="575"/>
      <c r="V192" s="575"/>
      <c r="W192" s="575"/>
      <c r="X192" s="575"/>
      <c r="Y192" s="575"/>
      <c r="Z192" s="989"/>
      <c r="AA192" s="575"/>
      <c r="AB192" s="575"/>
      <c r="AC192" s="575"/>
      <c r="AD192" s="575"/>
      <c r="AE192" s="827"/>
      <c r="AF192" s="575"/>
      <c r="AG192" s="960"/>
      <c r="AH192" s="842"/>
      <c r="AI192" s="839">
        <f t="shared" si="10"/>
        <v>0</v>
      </c>
      <c r="AJ192" s="949">
        <v>0</v>
      </c>
      <c r="AK192" s="581">
        <f t="shared" si="8"/>
        <v>0</v>
      </c>
      <c r="AL192" s="746" t="s">
        <v>1549</v>
      </c>
      <c r="AM192" s="743">
        <f t="shared" si="9"/>
        <v>3.22</v>
      </c>
    </row>
    <row r="193" spans="1:39" s="560" customFormat="1" hidden="1">
      <c r="A193" s="604" t="s">
        <v>691</v>
      </c>
      <c r="B193" s="604" t="s">
        <v>1191</v>
      </c>
      <c r="C193" s="614" t="s">
        <v>39</v>
      </c>
      <c r="D193" s="580"/>
      <c r="E193" s="981"/>
      <c r="F193" s="581"/>
      <c r="G193" s="581"/>
      <c r="H193" s="581"/>
      <c r="I193" s="949"/>
      <c r="J193" s="949"/>
      <c r="K193" s="949"/>
      <c r="L193" s="989"/>
      <c r="M193" s="575"/>
      <c r="N193" s="575"/>
      <c r="O193" s="575"/>
      <c r="P193" s="575"/>
      <c r="Q193" s="575"/>
      <c r="R193" s="575"/>
      <c r="S193" s="989"/>
      <c r="T193" s="575"/>
      <c r="U193" s="575"/>
      <c r="V193" s="575"/>
      <c r="W193" s="575"/>
      <c r="X193" s="575"/>
      <c r="Y193" s="575"/>
      <c r="Z193" s="989"/>
      <c r="AA193" s="575"/>
      <c r="AB193" s="575"/>
      <c r="AC193" s="575"/>
      <c r="AD193" s="575"/>
      <c r="AE193" s="827"/>
      <c r="AF193" s="575"/>
      <c r="AG193" s="960"/>
      <c r="AH193" s="842"/>
      <c r="AI193" s="839">
        <f t="shared" si="10"/>
        <v>0</v>
      </c>
      <c r="AJ193" s="949">
        <v>0</v>
      </c>
      <c r="AK193" s="581">
        <f t="shared" si="8"/>
        <v>0</v>
      </c>
      <c r="AL193" s="746" t="s">
        <v>1550</v>
      </c>
      <c r="AM193" s="743">
        <f t="shared" si="9"/>
        <v>1.61</v>
      </c>
    </row>
    <row r="194" spans="1:39" s="560" customFormat="1" hidden="1">
      <c r="A194" s="604" t="s">
        <v>692</v>
      </c>
      <c r="B194" s="604" t="s">
        <v>1153</v>
      </c>
      <c r="C194" s="614" t="s">
        <v>36</v>
      </c>
      <c r="D194" s="580"/>
      <c r="E194" s="981"/>
      <c r="F194" s="581"/>
      <c r="G194" s="581"/>
      <c r="H194" s="581"/>
      <c r="I194" s="949"/>
      <c r="J194" s="949"/>
      <c r="K194" s="949"/>
      <c r="L194" s="989"/>
      <c r="M194" s="575"/>
      <c r="N194" s="575"/>
      <c r="O194" s="575"/>
      <c r="P194" s="575"/>
      <c r="Q194" s="575"/>
      <c r="R194" s="575"/>
      <c r="S194" s="989"/>
      <c r="T194" s="575"/>
      <c r="U194" s="575"/>
      <c r="V194" s="575"/>
      <c r="W194" s="575"/>
      <c r="X194" s="575"/>
      <c r="Y194" s="575"/>
      <c r="Z194" s="989"/>
      <c r="AA194" s="575"/>
      <c r="AB194" s="575"/>
      <c r="AC194" s="575"/>
      <c r="AD194" s="575"/>
      <c r="AE194" s="827"/>
      <c r="AF194" s="575"/>
      <c r="AG194" s="960"/>
      <c r="AH194" s="842"/>
      <c r="AI194" s="839">
        <f t="shared" si="10"/>
        <v>0</v>
      </c>
      <c r="AJ194" s="949">
        <v>0</v>
      </c>
      <c r="AK194" s="581">
        <f t="shared" si="8"/>
        <v>0</v>
      </c>
      <c r="AL194" s="746" t="s">
        <v>1551</v>
      </c>
      <c r="AM194" s="743">
        <f t="shared" si="9"/>
        <v>42.4</v>
      </c>
    </row>
    <row r="195" spans="1:39" s="560" customFormat="1" hidden="1">
      <c r="A195" s="604" t="s">
        <v>693</v>
      </c>
      <c r="B195" s="604" t="s">
        <v>1154</v>
      </c>
      <c r="C195" s="614" t="s">
        <v>36</v>
      </c>
      <c r="D195" s="580"/>
      <c r="E195" s="981"/>
      <c r="F195" s="581"/>
      <c r="G195" s="581"/>
      <c r="H195" s="581"/>
      <c r="I195" s="949"/>
      <c r="J195" s="949"/>
      <c r="K195" s="949"/>
      <c r="L195" s="989"/>
      <c r="M195" s="575"/>
      <c r="N195" s="575"/>
      <c r="O195" s="575"/>
      <c r="P195" s="575"/>
      <c r="Q195" s="575"/>
      <c r="R195" s="575"/>
      <c r="S195" s="989"/>
      <c r="T195" s="575"/>
      <c r="U195" s="575"/>
      <c r="V195" s="575"/>
      <c r="W195" s="575"/>
      <c r="X195" s="575"/>
      <c r="Y195" s="575"/>
      <c r="Z195" s="989"/>
      <c r="AA195" s="575"/>
      <c r="AB195" s="575"/>
      <c r="AC195" s="575"/>
      <c r="AD195" s="575"/>
      <c r="AE195" s="827"/>
      <c r="AF195" s="575"/>
      <c r="AG195" s="960"/>
      <c r="AH195" s="842"/>
      <c r="AI195" s="839">
        <f t="shared" si="10"/>
        <v>0</v>
      </c>
      <c r="AJ195" s="949">
        <v>0</v>
      </c>
      <c r="AK195" s="581">
        <f t="shared" si="8"/>
        <v>0</v>
      </c>
      <c r="AL195" s="746" t="s">
        <v>1545</v>
      </c>
      <c r="AM195" s="743">
        <f t="shared" si="9"/>
        <v>22.03</v>
      </c>
    </row>
    <row r="196" spans="1:39" s="560" customFormat="1" hidden="1">
      <c r="A196" s="607" t="s">
        <v>694</v>
      </c>
      <c r="B196" s="607" t="s">
        <v>1155</v>
      </c>
      <c r="C196" s="690"/>
      <c r="D196" s="580"/>
      <c r="E196" s="981"/>
      <c r="F196" s="581"/>
      <c r="G196" s="581"/>
      <c r="H196" s="581"/>
      <c r="I196" s="949"/>
      <c r="J196" s="949"/>
      <c r="K196" s="949"/>
      <c r="L196" s="989"/>
      <c r="M196" s="575"/>
      <c r="N196" s="575"/>
      <c r="O196" s="575"/>
      <c r="P196" s="575"/>
      <c r="Q196" s="575"/>
      <c r="R196" s="575"/>
      <c r="S196" s="989"/>
      <c r="T196" s="575"/>
      <c r="U196" s="575"/>
      <c r="V196" s="575"/>
      <c r="W196" s="575"/>
      <c r="X196" s="575"/>
      <c r="Y196" s="575"/>
      <c r="Z196" s="989"/>
      <c r="AA196" s="575"/>
      <c r="AB196" s="575"/>
      <c r="AC196" s="575"/>
      <c r="AD196" s="575"/>
      <c r="AE196" s="827"/>
      <c r="AF196" s="575"/>
      <c r="AG196" s="960"/>
      <c r="AH196" s="842"/>
      <c r="AI196" s="839">
        <f t="shared" si="10"/>
        <v>0</v>
      </c>
      <c r="AJ196" s="949">
        <v>0</v>
      </c>
      <c r="AK196" s="581">
        <f t="shared" si="8"/>
        <v>0</v>
      </c>
      <c r="AL196" s="746"/>
      <c r="AM196" s="743">
        <f t="shared" si="9"/>
        <v>0</v>
      </c>
    </row>
    <row r="197" spans="1:39" s="560" customFormat="1" hidden="1">
      <c r="A197" s="604" t="s">
        <v>695</v>
      </c>
      <c r="B197" s="604" t="s">
        <v>1156</v>
      </c>
      <c r="C197" s="690"/>
      <c r="D197" s="580"/>
      <c r="E197" s="981"/>
      <c r="F197" s="581"/>
      <c r="G197" s="581"/>
      <c r="H197" s="581"/>
      <c r="I197" s="949"/>
      <c r="J197" s="949"/>
      <c r="K197" s="949"/>
      <c r="L197" s="989"/>
      <c r="M197" s="575"/>
      <c r="N197" s="575"/>
      <c r="O197" s="575"/>
      <c r="P197" s="575"/>
      <c r="Q197" s="575"/>
      <c r="R197" s="575"/>
      <c r="S197" s="989"/>
      <c r="T197" s="575"/>
      <c r="U197" s="575"/>
      <c r="V197" s="575"/>
      <c r="W197" s="575"/>
      <c r="X197" s="575"/>
      <c r="Y197" s="575"/>
      <c r="Z197" s="989"/>
      <c r="AA197" s="575"/>
      <c r="AB197" s="575"/>
      <c r="AC197" s="575"/>
      <c r="AD197" s="575"/>
      <c r="AE197" s="827"/>
      <c r="AF197" s="575"/>
      <c r="AG197" s="960"/>
      <c r="AH197" s="842"/>
      <c r="AI197" s="839">
        <f t="shared" si="10"/>
        <v>0</v>
      </c>
      <c r="AJ197" s="949">
        <v>0</v>
      </c>
      <c r="AK197" s="581">
        <f t="shared" si="8"/>
        <v>0</v>
      </c>
      <c r="AL197" s="746"/>
      <c r="AM197" s="743">
        <f t="shared" si="9"/>
        <v>0</v>
      </c>
    </row>
    <row r="198" spans="1:39" s="560" customFormat="1" hidden="1">
      <c r="A198" s="604" t="s">
        <v>696</v>
      </c>
      <c r="B198" s="604" t="s">
        <v>1192</v>
      </c>
      <c r="C198" s="614" t="s">
        <v>39</v>
      </c>
      <c r="D198" s="580"/>
      <c r="E198" s="981"/>
      <c r="F198" s="581"/>
      <c r="G198" s="581"/>
      <c r="H198" s="581"/>
      <c r="I198" s="949"/>
      <c r="J198" s="949"/>
      <c r="K198" s="949"/>
      <c r="L198" s="989"/>
      <c r="M198" s="575"/>
      <c r="N198" s="575"/>
      <c r="O198" s="575"/>
      <c r="P198" s="575"/>
      <c r="Q198" s="575"/>
      <c r="R198" s="575"/>
      <c r="S198" s="989"/>
      <c r="T198" s="575"/>
      <c r="U198" s="575"/>
      <c r="V198" s="575"/>
      <c r="W198" s="575"/>
      <c r="X198" s="575"/>
      <c r="Y198" s="575"/>
      <c r="Z198" s="989"/>
      <c r="AA198" s="575"/>
      <c r="AB198" s="575"/>
      <c r="AC198" s="575"/>
      <c r="AD198" s="575"/>
      <c r="AE198" s="827"/>
      <c r="AF198" s="575"/>
      <c r="AG198" s="960"/>
      <c r="AH198" s="842"/>
      <c r="AI198" s="839">
        <f t="shared" si="10"/>
        <v>0</v>
      </c>
      <c r="AJ198" s="949">
        <v>0</v>
      </c>
      <c r="AK198" s="581">
        <f t="shared" si="8"/>
        <v>0</v>
      </c>
      <c r="AL198" s="746" t="s">
        <v>1456</v>
      </c>
      <c r="AM198" s="743">
        <f t="shared" si="9"/>
        <v>4.6100000000000003</v>
      </c>
    </row>
    <row r="199" spans="1:39" s="560" customFormat="1" hidden="1">
      <c r="A199" s="604" t="s">
        <v>697</v>
      </c>
      <c r="B199" s="604" t="s">
        <v>1158</v>
      </c>
      <c r="C199" s="614" t="s">
        <v>47</v>
      </c>
      <c r="D199" s="580"/>
      <c r="E199" s="981"/>
      <c r="F199" s="581"/>
      <c r="G199" s="581"/>
      <c r="H199" s="581"/>
      <c r="I199" s="949"/>
      <c r="J199" s="949"/>
      <c r="K199" s="949"/>
      <c r="L199" s="989"/>
      <c r="M199" s="575"/>
      <c r="N199" s="575"/>
      <c r="O199" s="575"/>
      <c r="P199" s="575"/>
      <c r="Q199" s="575"/>
      <c r="R199" s="575"/>
      <c r="S199" s="989"/>
      <c r="T199" s="575"/>
      <c r="U199" s="575"/>
      <c r="V199" s="575"/>
      <c r="W199" s="575"/>
      <c r="X199" s="575"/>
      <c r="Y199" s="575"/>
      <c r="Z199" s="989"/>
      <c r="AA199" s="575"/>
      <c r="AB199" s="575"/>
      <c r="AC199" s="575"/>
      <c r="AD199" s="575"/>
      <c r="AE199" s="827"/>
      <c r="AF199" s="575"/>
      <c r="AG199" s="960"/>
      <c r="AH199" s="842"/>
      <c r="AI199" s="839">
        <f t="shared" si="10"/>
        <v>0</v>
      </c>
      <c r="AJ199" s="949">
        <v>0</v>
      </c>
      <c r="AK199" s="581">
        <f t="shared" si="8"/>
        <v>0</v>
      </c>
      <c r="AL199" s="746" t="s">
        <v>1457</v>
      </c>
      <c r="AM199" s="743">
        <f t="shared" si="9"/>
        <v>192.7</v>
      </c>
    </row>
    <row r="200" spans="1:39" s="560" customFormat="1" hidden="1">
      <c r="A200" s="604" t="s">
        <v>698</v>
      </c>
      <c r="B200" s="604" t="s">
        <v>1159</v>
      </c>
      <c r="C200" s="690"/>
      <c r="D200" s="580"/>
      <c r="E200" s="981"/>
      <c r="F200" s="581"/>
      <c r="G200" s="581"/>
      <c r="H200" s="581"/>
      <c r="I200" s="949"/>
      <c r="J200" s="949"/>
      <c r="K200" s="949"/>
      <c r="L200" s="989"/>
      <c r="M200" s="575"/>
      <c r="N200" s="575"/>
      <c r="O200" s="575"/>
      <c r="P200" s="575"/>
      <c r="Q200" s="575"/>
      <c r="R200" s="575"/>
      <c r="S200" s="989"/>
      <c r="T200" s="575"/>
      <c r="U200" s="575"/>
      <c r="V200" s="575"/>
      <c r="W200" s="575"/>
      <c r="X200" s="575"/>
      <c r="Y200" s="575"/>
      <c r="Z200" s="989"/>
      <c r="AA200" s="575"/>
      <c r="AB200" s="575"/>
      <c r="AC200" s="575"/>
      <c r="AD200" s="575"/>
      <c r="AE200" s="827"/>
      <c r="AF200" s="575"/>
      <c r="AG200" s="960"/>
      <c r="AH200" s="842"/>
      <c r="AI200" s="839">
        <f t="shared" si="10"/>
        <v>0</v>
      </c>
      <c r="AJ200" s="949">
        <v>0</v>
      </c>
      <c r="AK200" s="581">
        <f t="shared" si="8"/>
        <v>0</v>
      </c>
      <c r="AL200" s="746"/>
      <c r="AM200" s="743">
        <f t="shared" si="9"/>
        <v>0</v>
      </c>
    </row>
    <row r="201" spans="1:39" s="560" customFormat="1" hidden="1">
      <c r="A201" s="604" t="s">
        <v>699</v>
      </c>
      <c r="B201" s="604" t="s">
        <v>1193</v>
      </c>
      <c r="C201" s="614" t="s">
        <v>39</v>
      </c>
      <c r="D201" s="580"/>
      <c r="E201" s="981"/>
      <c r="F201" s="581"/>
      <c r="G201" s="581"/>
      <c r="H201" s="581"/>
      <c r="I201" s="949"/>
      <c r="J201" s="949"/>
      <c r="K201" s="949"/>
      <c r="L201" s="989"/>
      <c r="M201" s="575"/>
      <c r="N201" s="575"/>
      <c r="O201" s="575"/>
      <c r="P201" s="575"/>
      <c r="Q201" s="575"/>
      <c r="R201" s="575"/>
      <c r="S201" s="989"/>
      <c r="T201" s="575"/>
      <c r="U201" s="575"/>
      <c r="V201" s="575"/>
      <c r="W201" s="575"/>
      <c r="X201" s="575"/>
      <c r="Y201" s="575"/>
      <c r="Z201" s="989"/>
      <c r="AA201" s="575"/>
      <c r="AB201" s="575"/>
      <c r="AC201" s="575"/>
      <c r="AD201" s="575"/>
      <c r="AE201" s="827"/>
      <c r="AF201" s="575"/>
      <c r="AG201" s="960"/>
      <c r="AH201" s="842"/>
      <c r="AI201" s="839">
        <f t="shared" si="10"/>
        <v>0</v>
      </c>
      <c r="AJ201" s="949">
        <v>0</v>
      </c>
      <c r="AK201" s="581">
        <f t="shared" si="8"/>
        <v>0</v>
      </c>
      <c r="AL201" s="746" t="s">
        <v>1552</v>
      </c>
      <c r="AM201" s="743">
        <f t="shared" si="9"/>
        <v>2.19</v>
      </c>
    </row>
    <row r="202" spans="1:39" s="560" customFormat="1" hidden="1">
      <c r="A202" s="604" t="s">
        <v>700</v>
      </c>
      <c r="B202" s="604" t="s">
        <v>1161</v>
      </c>
      <c r="C202" s="614" t="s">
        <v>36</v>
      </c>
      <c r="D202" s="580"/>
      <c r="E202" s="981"/>
      <c r="F202" s="581"/>
      <c r="G202" s="581"/>
      <c r="H202" s="581"/>
      <c r="I202" s="949"/>
      <c r="J202" s="949"/>
      <c r="K202" s="949"/>
      <c r="L202" s="989"/>
      <c r="M202" s="575"/>
      <c r="N202" s="575"/>
      <c r="O202" s="575"/>
      <c r="P202" s="575"/>
      <c r="Q202" s="575"/>
      <c r="R202" s="575"/>
      <c r="S202" s="989"/>
      <c r="T202" s="575"/>
      <c r="U202" s="575"/>
      <c r="V202" s="575"/>
      <c r="W202" s="575"/>
      <c r="X202" s="575"/>
      <c r="Y202" s="575"/>
      <c r="Z202" s="989"/>
      <c r="AA202" s="575"/>
      <c r="AB202" s="575"/>
      <c r="AC202" s="575"/>
      <c r="AD202" s="575"/>
      <c r="AE202" s="827"/>
      <c r="AF202" s="575"/>
      <c r="AG202" s="960"/>
      <c r="AH202" s="842"/>
      <c r="AI202" s="839">
        <f t="shared" si="10"/>
        <v>0</v>
      </c>
      <c r="AJ202" s="949">
        <v>0</v>
      </c>
      <c r="AK202" s="581">
        <f t="shared" si="8"/>
        <v>0</v>
      </c>
      <c r="AL202" s="746" t="s">
        <v>1553</v>
      </c>
      <c r="AM202" s="743">
        <f t="shared" si="9"/>
        <v>17.489999999999998</v>
      </c>
    </row>
    <row r="203" spans="1:39" s="560" customFormat="1" hidden="1">
      <c r="A203" s="604" t="s">
        <v>701</v>
      </c>
      <c r="B203" s="604" t="s">
        <v>1162</v>
      </c>
      <c r="C203" s="614" t="s">
        <v>47</v>
      </c>
      <c r="D203" s="580"/>
      <c r="E203" s="981"/>
      <c r="F203" s="581"/>
      <c r="G203" s="581"/>
      <c r="H203" s="581"/>
      <c r="I203" s="949"/>
      <c r="J203" s="949"/>
      <c r="K203" s="949"/>
      <c r="L203" s="989"/>
      <c r="M203" s="575"/>
      <c r="N203" s="575"/>
      <c r="O203" s="575"/>
      <c r="P203" s="575"/>
      <c r="Q203" s="575"/>
      <c r="R203" s="575"/>
      <c r="S203" s="989"/>
      <c r="T203" s="575"/>
      <c r="U203" s="575"/>
      <c r="V203" s="575"/>
      <c r="W203" s="575"/>
      <c r="X203" s="575"/>
      <c r="Y203" s="575"/>
      <c r="Z203" s="989"/>
      <c r="AA203" s="575"/>
      <c r="AB203" s="575"/>
      <c r="AC203" s="575"/>
      <c r="AD203" s="575"/>
      <c r="AE203" s="827"/>
      <c r="AF203" s="575"/>
      <c r="AG203" s="960"/>
      <c r="AH203" s="842"/>
      <c r="AI203" s="839">
        <f t="shared" si="10"/>
        <v>0</v>
      </c>
      <c r="AJ203" s="949">
        <v>0</v>
      </c>
      <c r="AK203" s="581">
        <f t="shared" si="8"/>
        <v>0</v>
      </c>
      <c r="AL203" s="746" t="s">
        <v>1554</v>
      </c>
      <c r="AM203" s="743">
        <f t="shared" si="9"/>
        <v>179.25</v>
      </c>
    </row>
    <row r="204" spans="1:39" s="560" customFormat="1" hidden="1">
      <c r="A204" s="604" t="s">
        <v>702</v>
      </c>
      <c r="B204" s="604" t="s">
        <v>1163</v>
      </c>
      <c r="C204" s="690"/>
      <c r="D204" s="580"/>
      <c r="E204" s="981"/>
      <c r="F204" s="581"/>
      <c r="G204" s="581"/>
      <c r="H204" s="581"/>
      <c r="I204" s="949"/>
      <c r="J204" s="949"/>
      <c r="K204" s="949"/>
      <c r="L204" s="989"/>
      <c r="M204" s="575"/>
      <c r="N204" s="575"/>
      <c r="O204" s="575"/>
      <c r="P204" s="575"/>
      <c r="Q204" s="575"/>
      <c r="R204" s="575"/>
      <c r="S204" s="989"/>
      <c r="T204" s="575"/>
      <c r="U204" s="575"/>
      <c r="V204" s="575"/>
      <c r="W204" s="575"/>
      <c r="X204" s="575"/>
      <c r="Y204" s="575"/>
      <c r="Z204" s="989"/>
      <c r="AA204" s="575"/>
      <c r="AB204" s="575"/>
      <c r="AC204" s="575"/>
      <c r="AD204" s="575"/>
      <c r="AE204" s="827"/>
      <c r="AF204" s="575"/>
      <c r="AG204" s="960"/>
      <c r="AH204" s="842"/>
      <c r="AI204" s="839">
        <f t="shared" si="10"/>
        <v>0</v>
      </c>
      <c r="AJ204" s="949">
        <v>0</v>
      </c>
      <c r="AK204" s="581">
        <f t="shared" si="8"/>
        <v>0</v>
      </c>
      <c r="AL204" s="746"/>
      <c r="AM204" s="743">
        <f t="shared" si="9"/>
        <v>0</v>
      </c>
    </row>
    <row r="205" spans="1:39" s="560" customFormat="1" hidden="1">
      <c r="A205" s="604" t="s">
        <v>703</v>
      </c>
      <c r="B205" s="604" t="s">
        <v>1194</v>
      </c>
      <c r="C205" s="614" t="s">
        <v>39</v>
      </c>
      <c r="D205" s="580"/>
      <c r="E205" s="981"/>
      <c r="F205" s="581"/>
      <c r="G205" s="581"/>
      <c r="H205" s="581"/>
      <c r="I205" s="949"/>
      <c r="J205" s="949"/>
      <c r="K205" s="949"/>
      <c r="L205" s="989"/>
      <c r="M205" s="575"/>
      <c r="N205" s="575"/>
      <c r="O205" s="575"/>
      <c r="P205" s="575"/>
      <c r="Q205" s="575"/>
      <c r="R205" s="575"/>
      <c r="S205" s="989"/>
      <c r="T205" s="575"/>
      <c r="U205" s="575"/>
      <c r="V205" s="575"/>
      <c r="W205" s="575"/>
      <c r="X205" s="575"/>
      <c r="Y205" s="575"/>
      <c r="Z205" s="989"/>
      <c r="AA205" s="575"/>
      <c r="AB205" s="575"/>
      <c r="AC205" s="575"/>
      <c r="AD205" s="575"/>
      <c r="AE205" s="827"/>
      <c r="AF205" s="575"/>
      <c r="AG205" s="960"/>
      <c r="AH205" s="842"/>
      <c r="AI205" s="839">
        <f t="shared" si="10"/>
        <v>0</v>
      </c>
      <c r="AJ205" s="949">
        <v>0</v>
      </c>
      <c r="AK205" s="581">
        <f t="shared" si="8"/>
        <v>0</v>
      </c>
      <c r="AL205" s="746" t="s">
        <v>1518</v>
      </c>
      <c r="AM205" s="743">
        <f t="shared" si="9"/>
        <v>2.1800000000000002</v>
      </c>
    </row>
    <row r="206" spans="1:39" s="560" customFormat="1" hidden="1">
      <c r="A206" s="604" t="s">
        <v>704</v>
      </c>
      <c r="B206" s="604" t="s">
        <v>1165</v>
      </c>
      <c r="C206" s="614" t="s">
        <v>36</v>
      </c>
      <c r="D206" s="580"/>
      <c r="E206" s="981"/>
      <c r="F206" s="581"/>
      <c r="G206" s="581"/>
      <c r="H206" s="581"/>
      <c r="I206" s="949"/>
      <c r="J206" s="949"/>
      <c r="K206" s="949"/>
      <c r="L206" s="989"/>
      <c r="M206" s="575"/>
      <c r="N206" s="575"/>
      <c r="O206" s="575"/>
      <c r="P206" s="575"/>
      <c r="Q206" s="575"/>
      <c r="R206" s="575"/>
      <c r="S206" s="989"/>
      <c r="T206" s="575"/>
      <c r="U206" s="575"/>
      <c r="V206" s="575"/>
      <c r="W206" s="575"/>
      <c r="X206" s="575"/>
      <c r="Y206" s="575"/>
      <c r="Z206" s="989"/>
      <c r="AA206" s="575"/>
      <c r="AB206" s="575"/>
      <c r="AC206" s="575"/>
      <c r="AD206" s="575"/>
      <c r="AE206" s="827"/>
      <c r="AF206" s="575"/>
      <c r="AG206" s="960"/>
      <c r="AH206" s="842"/>
      <c r="AI206" s="839">
        <f t="shared" si="10"/>
        <v>0</v>
      </c>
      <c r="AJ206" s="949">
        <v>0</v>
      </c>
      <c r="AK206" s="581">
        <f t="shared" ref="AK206:AK269" si="11">AI206+AJ206</f>
        <v>0</v>
      </c>
      <c r="AL206" s="746" t="s">
        <v>1555</v>
      </c>
      <c r="AM206" s="743">
        <f t="shared" ref="AM206:AM269" si="12">AL206-AK206</f>
        <v>34.799999999999997</v>
      </c>
    </row>
    <row r="207" spans="1:39" s="560" customFormat="1" hidden="1">
      <c r="A207" s="604" t="s">
        <v>705</v>
      </c>
      <c r="B207" s="604" t="s">
        <v>1166</v>
      </c>
      <c r="C207" s="614" t="s">
        <v>47</v>
      </c>
      <c r="D207" s="580"/>
      <c r="E207" s="981"/>
      <c r="F207" s="581"/>
      <c r="G207" s="581"/>
      <c r="H207" s="581"/>
      <c r="I207" s="949"/>
      <c r="J207" s="949"/>
      <c r="K207" s="949"/>
      <c r="L207" s="989"/>
      <c r="M207" s="575"/>
      <c r="N207" s="575"/>
      <c r="O207" s="575"/>
      <c r="P207" s="575"/>
      <c r="Q207" s="575"/>
      <c r="R207" s="575"/>
      <c r="S207" s="989"/>
      <c r="T207" s="575"/>
      <c r="U207" s="575"/>
      <c r="V207" s="575"/>
      <c r="W207" s="575"/>
      <c r="X207" s="575"/>
      <c r="Y207" s="575"/>
      <c r="Z207" s="989"/>
      <c r="AA207" s="575"/>
      <c r="AB207" s="575"/>
      <c r="AC207" s="575"/>
      <c r="AD207" s="575"/>
      <c r="AE207" s="827"/>
      <c r="AF207" s="575"/>
      <c r="AG207" s="960"/>
      <c r="AH207" s="842"/>
      <c r="AI207" s="839">
        <f t="shared" ref="AI207:AI270" si="13">ROUND((SUM(D207:AH207)),2)</f>
        <v>0</v>
      </c>
      <c r="AJ207" s="949">
        <v>0</v>
      </c>
      <c r="AK207" s="581">
        <f t="shared" si="11"/>
        <v>0</v>
      </c>
      <c r="AL207" s="746" t="s">
        <v>1556</v>
      </c>
      <c r="AM207" s="743">
        <f t="shared" si="12"/>
        <v>314.66000000000003</v>
      </c>
    </row>
    <row r="208" spans="1:39" s="560" customFormat="1" hidden="1">
      <c r="A208" s="604" t="s">
        <v>706</v>
      </c>
      <c r="B208" s="604" t="s">
        <v>1167</v>
      </c>
      <c r="C208" s="690"/>
      <c r="D208" s="580"/>
      <c r="E208" s="981"/>
      <c r="F208" s="581"/>
      <c r="G208" s="581"/>
      <c r="H208" s="581"/>
      <c r="I208" s="949"/>
      <c r="J208" s="949"/>
      <c r="K208" s="949"/>
      <c r="L208" s="989"/>
      <c r="M208" s="575"/>
      <c r="N208" s="575"/>
      <c r="O208" s="575"/>
      <c r="P208" s="575"/>
      <c r="Q208" s="575"/>
      <c r="R208" s="575"/>
      <c r="S208" s="989"/>
      <c r="T208" s="575"/>
      <c r="U208" s="575"/>
      <c r="V208" s="575"/>
      <c r="W208" s="575"/>
      <c r="X208" s="575"/>
      <c r="Y208" s="575"/>
      <c r="Z208" s="989"/>
      <c r="AA208" s="575"/>
      <c r="AB208" s="575"/>
      <c r="AC208" s="575"/>
      <c r="AD208" s="575"/>
      <c r="AE208" s="827"/>
      <c r="AF208" s="575"/>
      <c r="AG208" s="960"/>
      <c r="AH208" s="842"/>
      <c r="AI208" s="839">
        <f t="shared" si="13"/>
        <v>0</v>
      </c>
      <c r="AJ208" s="949">
        <v>0</v>
      </c>
      <c r="AK208" s="581">
        <f t="shared" si="11"/>
        <v>0</v>
      </c>
      <c r="AL208" s="746"/>
      <c r="AM208" s="743">
        <f t="shared" si="12"/>
        <v>0</v>
      </c>
    </row>
    <row r="209" spans="1:39" s="560" customFormat="1" hidden="1">
      <c r="A209" s="604" t="s">
        <v>707</v>
      </c>
      <c r="B209" s="604" t="s">
        <v>1168</v>
      </c>
      <c r="C209" s="614" t="s">
        <v>39</v>
      </c>
      <c r="D209" s="580"/>
      <c r="E209" s="981"/>
      <c r="F209" s="581"/>
      <c r="G209" s="581"/>
      <c r="H209" s="581"/>
      <c r="I209" s="949"/>
      <c r="J209" s="949"/>
      <c r="K209" s="949"/>
      <c r="L209" s="989"/>
      <c r="M209" s="575"/>
      <c r="N209" s="575"/>
      <c r="O209" s="575"/>
      <c r="P209" s="575"/>
      <c r="Q209" s="575"/>
      <c r="R209" s="575"/>
      <c r="S209" s="989"/>
      <c r="T209" s="575"/>
      <c r="U209" s="575"/>
      <c r="V209" s="575"/>
      <c r="W209" s="575"/>
      <c r="X209" s="575"/>
      <c r="Y209" s="575"/>
      <c r="Z209" s="989"/>
      <c r="AA209" s="575"/>
      <c r="AB209" s="575"/>
      <c r="AC209" s="575"/>
      <c r="AD209" s="575"/>
      <c r="AE209" s="827"/>
      <c r="AF209" s="575"/>
      <c r="AG209" s="960"/>
      <c r="AH209" s="842"/>
      <c r="AI209" s="839">
        <f t="shared" si="13"/>
        <v>0</v>
      </c>
      <c r="AJ209" s="949">
        <v>0</v>
      </c>
      <c r="AK209" s="581">
        <f t="shared" si="11"/>
        <v>0</v>
      </c>
      <c r="AL209" s="746" t="s">
        <v>1464</v>
      </c>
      <c r="AM209" s="743">
        <f t="shared" si="12"/>
        <v>1.49</v>
      </c>
    </row>
    <row r="210" spans="1:39" s="560" customFormat="1" hidden="1">
      <c r="A210" s="604" t="s">
        <v>708</v>
      </c>
      <c r="B210" s="604" t="s">
        <v>1169</v>
      </c>
      <c r="C210" s="614" t="s">
        <v>36</v>
      </c>
      <c r="D210" s="580"/>
      <c r="E210" s="981"/>
      <c r="F210" s="581"/>
      <c r="G210" s="581"/>
      <c r="H210" s="581"/>
      <c r="I210" s="949"/>
      <c r="J210" s="949"/>
      <c r="K210" s="949"/>
      <c r="L210" s="989"/>
      <c r="M210" s="575"/>
      <c r="N210" s="575"/>
      <c r="O210" s="575"/>
      <c r="P210" s="575"/>
      <c r="Q210" s="575"/>
      <c r="R210" s="575"/>
      <c r="S210" s="989"/>
      <c r="T210" s="575"/>
      <c r="U210" s="575"/>
      <c r="V210" s="575"/>
      <c r="W210" s="575"/>
      <c r="X210" s="575"/>
      <c r="Y210" s="575"/>
      <c r="Z210" s="989"/>
      <c r="AA210" s="575"/>
      <c r="AB210" s="575"/>
      <c r="AC210" s="575"/>
      <c r="AD210" s="575"/>
      <c r="AE210" s="827"/>
      <c r="AF210" s="575"/>
      <c r="AG210" s="960"/>
      <c r="AH210" s="842"/>
      <c r="AI210" s="839">
        <f t="shared" si="13"/>
        <v>0</v>
      </c>
      <c r="AJ210" s="949">
        <v>0</v>
      </c>
      <c r="AK210" s="581">
        <f t="shared" si="11"/>
        <v>0</v>
      </c>
      <c r="AL210" s="746" t="s">
        <v>1465</v>
      </c>
      <c r="AM210" s="743">
        <f t="shared" si="12"/>
        <v>19.71</v>
      </c>
    </row>
    <row r="211" spans="1:39" s="560" customFormat="1" hidden="1">
      <c r="A211" s="604" t="s">
        <v>709</v>
      </c>
      <c r="B211" s="604" t="s">
        <v>1170</v>
      </c>
      <c r="C211" s="614" t="s">
        <v>47</v>
      </c>
      <c r="D211" s="580"/>
      <c r="E211" s="981"/>
      <c r="F211" s="581"/>
      <c r="G211" s="581"/>
      <c r="H211" s="581"/>
      <c r="I211" s="949"/>
      <c r="J211" s="949"/>
      <c r="K211" s="949"/>
      <c r="L211" s="989"/>
      <c r="M211" s="575"/>
      <c r="N211" s="575"/>
      <c r="O211" s="575"/>
      <c r="P211" s="575"/>
      <c r="Q211" s="575"/>
      <c r="R211" s="575"/>
      <c r="S211" s="989"/>
      <c r="T211" s="575"/>
      <c r="U211" s="575"/>
      <c r="V211" s="575"/>
      <c r="W211" s="575"/>
      <c r="X211" s="575"/>
      <c r="Y211" s="575"/>
      <c r="Z211" s="989"/>
      <c r="AA211" s="575"/>
      <c r="AB211" s="575"/>
      <c r="AC211" s="575"/>
      <c r="AD211" s="575"/>
      <c r="AE211" s="827"/>
      <c r="AF211" s="575"/>
      <c r="AG211" s="960"/>
      <c r="AH211" s="842"/>
      <c r="AI211" s="839">
        <f t="shared" si="13"/>
        <v>0</v>
      </c>
      <c r="AJ211" s="949">
        <v>0</v>
      </c>
      <c r="AK211" s="581">
        <f t="shared" si="11"/>
        <v>0</v>
      </c>
      <c r="AL211" s="746" t="s">
        <v>1466</v>
      </c>
      <c r="AM211" s="743">
        <f t="shared" si="12"/>
        <v>659.98</v>
      </c>
    </row>
    <row r="212" spans="1:39" s="560" customFormat="1" hidden="1">
      <c r="A212" s="604" t="s">
        <v>710</v>
      </c>
      <c r="B212" s="604" t="s">
        <v>1171</v>
      </c>
      <c r="C212" s="690"/>
      <c r="D212" s="580"/>
      <c r="E212" s="981"/>
      <c r="F212" s="581"/>
      <c r="G212" s="581"/>
      <c r="H212" s="581"/>
      <c r="I212" s="949"/>
      <c r="J212" s="949"/>
      <c r="K212" s="949"/>
      <c r="L212" s="989"/>
      <c r="M212" s="575"/>
      <c r="N212" s="575"/>
      <c r="O212" s="575"/>
      <c r="P212" s="575"/>
      <c r="Q212" s="575"/>
      <c r="R212" s="575"/>
      <c r="S212" s="989"/>
      <c r="T212" s="575"/>
      <c r="U212" s="575"/>
      <c r="V212" s="575"/>
      <c r="W212" s="575"/>
      <c r="X212" s="575"/>
      <c r="Y212" s="575"/>
      <c r="Z212" s="989"/>
      <c r="AA212" s="575"/>
      <c r="AB212" s="575"/>
      <c r="AC212" s="575"/>
      <c r="AD212" s="575"/>
      <c r="AE212" s="827"/>
      <c r="AF212" s="575"/>
      <c r="AG212" s="960"/>
      <c r="AH212" s="842"/>
      <c r="AI212" s="839">
        <f t="shared" si="13"/>
        <v>0</v>
      </c>
      <c r="AJ212" s="949">
        <v>0</v>
      </c>
      <c r="AK212" s="581">
        <f t="shared" si="11"/>
        <v>0</v>
      </c>
      <c r="AL212" s="746"/>
      <c r="AM212" s="743">
        <f t="shared" si="12"/>
        <v>0</v>
      </c>
    </row>
    <row r="213" spans="1:39" s="560" customFormat="1" hidden="1">
      <c r="A213" s="604" t="s">
        <v>711</v>
      </c>
      <c r="B213" s="604" t="s">
        <v>1172</v>
      </c>
      <c r="C213" s="614" t="s">
        <v>39</v>
      </c>
      <c r="D213" s="580"/>
      <c r="E213" s="981"/>
      <c r="F213" s="581"/>
      <c r="G213" s="581"/>
      <c r="H213" s="581"/>
      <c r="I213" s="949"/>
      <c r="J213" s="949"/>
      <c r="K213" s="949"/>
      <c r="L213" s="989"/>
      <c r="M213" s="575"/>
      <c r="N213" s="575"/>
      <c r="O213" s="575"/>
      <c r="P213" s="575"/>
      <c r="Q213" s="575"/>
      <c r="R213" s="575"/>
      <c r="S213" s="989"/>
      <c r="T213" s="575"/>
      <c r="U213" s="575"/>
      <c r="V213" s="575"/>
      <c r="W213" s="575"/>
      <c r="X213" s="575"/>
      <c r="Y213" s="575"/>
      <c r="Z213" s="989"/>
      <c r="AA213" s="575"/>
      <c r="AB213" s="575"/>
      <c r="AC213" s="575"/>
      <c r="AD213" s="575"/>
      <c r="AE213" s="827"/>
      <c r="AF213" s="575"/>
      <c r="AG213" s="960"/>
      <c r="AH213" s="842"/>
      <c r="AI213" s="839">
        <f t="shared" si="13"/>
        <v>0</v>
      </c>
      <c r="AJ213" s="949">
        <v>0</v>
      </c>
      <c r="AK213" s="581">
        <f t="shared" si="11"/>
        <v>0</v>
      </c>
      <c r="AL213" s="746" t="s">
        <v>1557</v>
      </c>
      <c r="AM213" s="743">
        <f t="shared" si="12"/>
        <v>5.6</v>
      </c>
    </row>
    <row r="214" spans="1:39" s="560" customFormat="1" hidden="1">
      <c r="A214" s="604" t="s">
        <v>712</v>
      </c>
      <c r="B214" s="604" t="s">
        <v>1173</v>
      </c>
      <c r="C214" s="614" t="s">
        <v>36</v>
      </c>
      <c r="D214" s="580"/>
      <c r="E214" s="981"/>
      <c r="F214" s="581"/>
      <c r="G214" s="581"/>
      <c r="H214" s="581"/>
      <c r="I214" s="949"/>
      <c r="J214" s="949"/>
      <c r="K214" s="949"/>
      <c r="L214" s="989"/>
      <c r="M214" s="575"/>
      <c r="N214" s="575"/>
      <c r="O214" s="575"/>
      <c r="P214" s="575"/>
      <c r="Q214" s="575"/>
      <c r="R214" s="575"/>
      <c r="S214" s="989"/>
      <c r="T214" s="575"/>
      <c r="U214" s="575"/>
      <c r="V214" s="575"/>
      <c r="W214" s="575"/>
      <c r="X214" s="575"/>
      <c r="Y214" s="575"/>
      <c r="Z214" s="989"/>
      <c r="AA214" s="575"/>
      <c r="AB214" s="575"/>
      <c r="AC214" s="575"/>
      <c r="AD214" s="575"/>
      <c r="AE214" s="827"/>
      <c r="AF214" s="575"/>
      <c r="AG214" s="960"/>
      <c r="AH214" s="842"/>
      <c r="AI214" s="839">
        <f t="shared" si="13"/>
        <v>0</v>
      </c>
      <c r="AJ214" s="949">
        <v>0</v>
      </c>
      <c r="AK214" s="581">
        <f t="shared" si="11"/>
        <v>0</v>
      </c>
      <c r="AL214" s="746" t="s">
        <v>1558</v>
      </c>
      <c r="AM214" s="743">
        <f t="shared" si="12"/>
        <v>48.75</v>
      </c>
    </row>
    <row r="215" spans="1:39" s="560" customFormat="1" hidden="1">
      <c r="A215" s="604" t="s">
        <v>713</v>
      </c>
      <c r="B215" s="604" t="s">
        <v>1174</v>
      </c>
      <c r="C215" s="614" t="s">
        <v>47</v>
      </c>
      <c r="D215" s="580"/>
      <c r="E215" s="981"/>
      <c r="F215" s="581"/>
      <c r="G215" s="581"/>
      <c r="H215" s="581"/>
      <c r="I215" s="949"/>
      <c r="J215" s="949"/>
      <c r="K215" s="949"/>
      <c r="L215" s="989"/>
      <c r="M215" s="575"/>
      <c r="N215" s="575"/>
      <c r="O215" s="575"/>
      <c r="P215" s="575"/>
      <c r="Q215" s="575"/>
      <c r="R215" s="575"/>
      <c r="S215" s="989"/>
      <c r="T215" s="575"/>
      <c r="U215" s="575"/>
      <c r="V215" s="575"/>
      <c r="W215" s="575"/>
      <c r="X215" s="575"/>
      <c r="Y215" s="575"/>
      <c r="Z215" s="989"/>
      <c r="AA215" s="575"/>
      <c r="AB215" s="575"/>
      <c r="AC215" s="575"/>
      <c r="AD215" s="575"/>
      <c r="AE215" s="827"/>
      <c r="AF215" s="575"/>
      <c r="AG215" s="960"/>
      <c r="AH215" s="842"/>
      <c r="AI215" s="839">
        <f t="shared" si="13"/>
        <v>0</v>
      </c>
      <c r="AJ215" s="949">
        <v>0</v>
      </c>
      <c r="AK215" s="581">
        <f t="shared" si="11"/>
        <v>0</v>
      </c>
      <c r="AL215" s="746" t="s">
        <v>1559</v>
      </c>
      <c r="AM215" s="743">
        <f t="shared" si="12"/>
        <v>642.09</v>
      </c>
    </row>
    <row r="216" spans="1:39" s="560" customFormat="1" hidden="1">
      <c r="A216" s="604" t="s">
        <v>714</v>
      </c>
      <c r="B216" s="604" t="s">
        <v>1175</v>
      </c>
      <c r="C216" s="690"/>
      <c r="D216" s="580"/>
      <c r="E216" s="981"/>
      <c r="F216" s="581"/>
      <c r="G216" s="581"/>
      <c r="H216" s="581"/>
      <c r="I216" s="949"/>
      <c r="J216" s="949"/>
      <c r="K216" s="949"/>
      <c r="L216" s="989"/>
      <c r="M216" s="575"/>
      <c r="N216" s="575"/>
      <c r="O216" s="575"/>
      <c r="P216" s="575"/>
      <c r="Q216" s="575"/>
      <c r="R216" s="575"/>
      <c r="S216" s="989"/>
      <c r="T216" s="575"/>
      <c r="U216" s="575"/>
      <c r="V216" s="575"/>
      <c r="W216" s="575"/>
      <c r="X216" s="575"/>
      <c r="Y216" s="575"/>
      <c r="Z216" s="989"/>
      <c r="AA216" s="575"/>
      <c r="AB216" s="575"/>
      <c r="AC216" s="575"/>
      <c r="AD216" s="575"/>
      <c r="AE216" s="827"/>
      <c r="AF216" s="575"/>
      <c r="AG216" s="960"/>
      <c r="AH216" s="842"/>
      <c r="AI216" s="839">
        <f t="shared" si="13"/>
        <v>0</v>
      </c>
      <c r="AJ216" s="949">
        <v>0</v>
      </c>
      <c r="AK216" s="581">
        <f t="shared" si="11"/>
        <v>0</v>
      </c>
      <c r="AL216" s="746"/>
      <c r="AM216" s="743">
        <f t="shared" si="12"/>
        <v>0</v>
      </c>
    </row>
    <row r="217" spans="1:39" s="560" customFormat="1" hidden="1">
      <c r="A217" s="604" t="s">
        <v>715</v>
      </c>
      <c r="B217" s="604" t="s">
        <v>1176</v>
      </c>
      <c r="C217" s="614" t="s">
        <v>39</v>
      </c>
      <c r="D217" s="580"/>
      <c r="E217" s="981"/>
      <c r="F217" s="581"/>
      <c r="G217" s="581"/>
      <c r="H217" s="581"/>
      <c r="I217" s="949"/>
      <c r="J217" s="949"/>
      <c r="K217" s="949"/>
      <c r="L217" s="989"/>
      <c r="M217" s="575"/>
      <c r="N217" s="575"/>
      <c r="O217" s="575"/>
      <c r="P217" s="575"/>
      <c r="Q217" s="575"/>
      <c r="R217" s="575"/>
      <c r="S217" s="989"/>
      <c r="T217" s="575"/>
      <c r="U217" s="575"/>
      <c r="V217" s="575"/>
      <c r="W217" s="575"/>
      <c r="X217" s="575"/>
      <c r="Y217" s="575"/>
      <c r="Z217" s="989"/>
      <c r="AA217" s="575"/>
      <c r="AB217" s="575"/>
      <c r="AC217" s="575"/>
      <c r="AD217" s="575"/>
      <c r="AE217" s="827"/>
      <c r="AF217" s="575"/>
      <c r="AG217" s="960"/>
      <c r="AH217" s="842"/>
      <c r="AI217" s="839">
        <f t="shared" si="13"/>
        <v>0</v>
      </c>
      <c r="AJ217" s="949">
        <v>0</v>
      </c>
      <c r="AK217" s="581">
        <f t="shared" si="11"/>
        <v>0</v>
      </c>
      <c r="AL217" s="746" t="s">
        <v>1560</v>
      </c>
      <c r="AM217" s="743">
        <f t="shared" si="12"/>
        <v>3.36</v>
      </c>
    </row>
    <row r="218" spans="1:39" s="560" customFormat="1" hidden="1">
      <c r="A218" s="604" t="s">
        <v>716</v>
      </c>
      <c r="B218" s="604" t="s">
        <v>1177</v>
      </c>
      <c r="C218" s="614" t="s">
        <v>36</v>
      </c>
      <c r="D218" s="580"/>
      <c r="E218" s="981"/>
      <c r="F218" s="581"/>
      <c r="G218" s="581"/>
      <c r="H218" s="581"/>
      <c r="I218" s="949"/>
      <c r="J218" s="949"/>
      <c r="K218" s="949"/>
      <c r="L218" s="989"/>
      <c r="M218" s="575"/>
      <c r="N218" s="575"/>
      <c r="O218" s="575"/>
      <c r="P218" s="575"/>
      <c r="Q218" s="575"/>
      <c r="R218" s="575"/>
      <c r="S218" s="989"/>
      <c r="T218" s="575"/>
      <c r="U218" s="575"/>
      <c r="V218" s="575"/>
      <c r="W218" s="575"/>
      <c r="X218" s="575"/>
      <c r="Y218" s="575"/>
      <c r="Z218" s="989"/>
      <c r="AA218" s="575"/>
      <c r="AB218" s="575"/>
      <c r="AC218" s="575"/>
      <c r="AD218" s="575"/>
      <c r="AE218" s="827"/>
      <c r="AF218" s="575"/>
      <c r="AG218" s="960"/>
      <c r="AH218" s="842"/>
      <c r="AI218" s="839">
        <f t="shared" si="13"/>
        <v>0</v>
      </c>
      <c r="AJ218" s="949">
        <v>0</v>
      </c>
      <c r="AK218" s="581">
        <f t="shared" si="11"/>
        <v>0</v>
      </c>
      <c r="AL218" s="746" t="s">
        <v>1561</v>
      </c>
      <c r="AM218" s="743">
        <f t="shared" si="12"/>
        <v>38.35</v>
      </c>
    </row>
    <row r="219" spans="1:39" s="560" customFormat="1" hidden="1">
      <c r="A219" s="604" t="s">
        <v>717</v>
      </c>
      <c r="B219" s="604" t="s">
        <v>1178</v>
      </c>
      <c r="C219" s="614" t="s">
        <v>47</v>
      </c>
      <c r="D219" s="580"/>
      <c r="E219" s="981"/>
      <c r="F219" s="581"/>
      <c r="G219" s="581"/>
      <c r="H219" s="581"/>
      <c r="I219" s="949"/>
      <c r="J219" s="949"/>
      <c r="K219" s="949"/>
      <c r="L219" s="989"/>
      <c r="M219" s="575"/>
      <c r="N219" s="575"/>
      <c r="O219" s="575"/>
      <c r="P219" s="575"/>
      <c r="Q219" s="575"/>
      <c r="R219" s="575"/>
      <c r="S219" s="989"/>
      <c r="T219" s="575"/>
      <c r="U219" s="575"/>
      <c r="V219" s="575"/>
      <c r="W219" s="575"/>
      <c r="X219" s="575"/>
      <c r="Y219" s="575"/>
      <c r="Z219" s="989"/>
      <c r="AA219" s="575"/>
      <c r="AB219" s="575"/>
      <c r="AC219" s="575"/>
      <c r="AD219" s="575"/>
      <c r="AE219" s="827"/>
      <c r="AF219" s="575"/>
      <c r="AG219" s="960"/>
      <c r="AH219" s="842"/>
      <c r="AI219" s="839">
        <f t="shared" si="13"/>
        <v>0</v>
      </c>
      <c r="AJ219" s="949">
        <v>0</v>
      </c>
      <c r="AK219" s="581">
        <f t="shared" si="11"/>
        <v>0</v>
      </c>
      <c r="AL219" s="746" t="s">
        <v>1562</v>
      </c>
      <c r="AM219" s="743">
        <f t="shared" si="12"/>
        <v>276.95999999999998</v>
      </c>
    </row>
    <row r="220" spans="1:39" s="560" customFormat="1" hidden="1">
      <c r="A220" s="604" t="s">
        <v>718</v>
      </c>
      <c r="B220" s="604" t="s">
        <v>1179</v>
      </c>
      <c r="C220" s="614" t="s">
        <v>1436</v>
      </c>
      <c r="D220" s="580"/>
      <c r="E220" s="981"/>
      <c r="F220" s="581"/>
      <c r="G220" s="581"/>
      <c r="H220" s="581"/>
      <c r="I220" s="949"/>
      <c r="J220" s="949"/>
      <c r="K220" s="949"/>
      <c r="L220" s="989"/>
      <c r="M220" s="575"/>
      <c r="N220" s="575"/>
      <c r="O220" s="575"/>
      <c r="P220" s="575"/>
      <c r="Q220" s="575"/>
      <c r="R220" s="575"/>
      <c r="S220" s="989"/>
      <c r="T220" s="575"/>
      <c r="U220" s="575"/>
      <c r="V220" s="575"/>
      <c r="W220" s="575"/>
      <c r="X220" s="575"/>
      <c r="Y220" s="575"/>
      <c r="Z220" s="989"/>
      <c r="AA220" s="575"/>
      <c r="AB220" s="575"/>
      <c r="AC220" s="575"/>
      <c r="AD220" s="575"/>
      <c r="AE220" s="827"/>
      <c r="AF220" s="575"/>
      <c r="AG220" s="960"/>
      <c r="AH220" s="842"/>
      <c r="AI220" s="839">
        <f t="shared" si="13"/>
        <v>0</v>
      </c>
      <c r="AJ220" s="949">
        <v>0</v>
      </c>
      <c r="AK220" s="581">
        <f t="shared" si="11"/>
        <v>0</v>
      </c>
      <c r="AL220" s="746" t="s">
        <v>1563</v>
      </c>
      <c r="AM220" s="743">
        <f t="shared" si="12"/>
        <v>319.48</v>
      </c>
    </row>
    <row r="221" spans="1:39" s="560" customFormat="1" hidden="1">
      <c r="A221" s="604" t="s">
        <v>719</v>
      </c>
      <c r="B221" s="604" t="s">
        <v>1180</v>
      </c>
      <c r="C221" s="690"/>
      <c r="D221" s="580"/>
      <c r="E221" s="981"/>
      <c r="F221" s="581"/>
      <c r="G221" s="581"/>
      <c r="H221" s="581"/>
      <c r="I221" s="949"/>
      <c r="J221" s="949"/>
      <c r="K221" s="949"/>
      <c r="L221" s="989"/>
      <c r="M221" s="575"/>
      <c r="N221" s="575"/>
      <c r="O221" s="575"/>
      <c r="P221" s="575"/>
      <c r="Q221" s="575"/>
      <c r="R221" s="575"/>
      <c r="S221" s="989"/>
      <c r="T221" s="575"/>
      <c r="U221" s="575"/>
      <c r="V221" s="575"/>
      <c r="W221" s="575"/>
      <c r="X221" s="575"/>
      <c r="Y221" s="575"/>
      <c r="Z221" s="989"/>
      <c r="AA221" s="575"/>
      <c r="AB221" s="575"/>
      <c r="AC221" s="575"/>
      <c r="AD221" s="575"/>
      <c r="AE221" s="827"/>
      <c r="AF221" s="575"/>
      <c r="AG221" s="960"/>
      <c r="AH221" s="842"/>
      <c r="AI221" s="839">
        <f t="shared" si="13"/>
        <v>0</v>
      </c>
      <c r="AJ221" s="949">
        <v>0</v>
      </c>
      <c r="AK221" s="581">
        <f t="shared" si="11"/>
        <v>0</v>
      </c>
      <c r="AL221" s="746"/>
      <c r="AM221" s="743">
        <f t="shared" si="12"/>
        <v>0</v>
      </c>
    </row>
    <row r="222" spans="1:39" s="560" customFormat="1" hidden="1">
      <c r="A222" s="604" t="s">
        <v>720</v>
      </c>
      <c r="B222" s="604" t="s">
        <v>1181</v>
      </c>
      <c r="C222" s="614" t="s">
        <v>39</v>
      </c>
      <c r="D222" s="580"/>
      <c r="E222" s="981"/>
      <c r="F222" s="581"/>
      <c r="G222" s="581"/>
      <c r="H222" s="581"/>
      <c r="I222" s="949"/>
      <c r="J222" s="949"/>
      <c r="K222" s="949"/>
      <c r="L222" s="989"/>
      <c r="M222" s="575"/>
      <c r="N222" s="575"/>
      <c r="O222" s="575"/>
      <c r="P222" s="575"/>
      <c r="Q222" s="575"/>
      <c r="R222" s="575"/>
      <c r="S222" s="989"/>
      <c r="T222" s="575"/>
      <c r="U222" s="575"/>
      <c r="V222" s="575"/>
      <c r="W222" s="575"/>
      <c r="X222" s="575"/>
      <c r="Y222" s="575"/>
      <c r="Z222" s="989"/>
      <c r="AA222" s="575"/>
      <c r="AB222" s="575"/>
      <c r="AC222" s="575"/>
      <c r="AD222" s="575"/>
      <c r="AE222" s="827"/>
      <c r="AF222" s="575"/>
      <c r="AG222" s="960"/>
      <c r="AH222" s="842"/>
      <c r="AI222" s="839">
        <f t="shared" si="13"/>
        <v>0</v>
      </c>
      <c r="AJ222" s="949">
        <v>0</v>
      </c>
      <c r="AK222" s="581">
        <f t="shared" si="11"/>
        <v>0</v>
      </c>
      <c r="AL222" s="746" t="s">
        <v>1564</v>
      </c>
      <c r="AM222" s="743">
        <f t="shared" si="12"/>
        <v>1.03</v>
      </c>
    </row>
    <row r="223" spans="1:39" s="560" customFormat="1" hidden="1">
      <c r="A223" s="604" t="s">
        <v>721</v>
      </c>
      <c r="B223" s="604" t="s">
        <v>1182</v>
      </c>
      <c r="C223" s="614" t="s">
        <v>36</v>
      </c>
      <c r="D223" s="580"/>
      <c r="E223" s="981"/>
      <c r="F223" s="581"/>
      <c r="G223" s="581"/>
      <c r="H223" s="581"/>
      <c r="I223" s="949"/>
      <c r="J223" s="949"/>
      <c r="K223" s="949"/>
      <c r="L223" s="989"/>
      <c r="M223" s="575"/>
      <c r="N223" s="575"/>
      <c r="O223" s="575"/>
      <c r="P223" s="575"/>
      <c r="Q223" s="575"/>
      <c r="R223" s="575"/>
      <c r="S223" s="989"/>
      <c r="T223" s="575"/>
      <c r="U223" s="575"/>
      <c r="V223" s="575"/>
      <c r="W223" s="575"/>
      <c r="X223" s="575"/>
      <c r="Y223" s="575"/>
      <c r="Z223" s="989"/>
      <c r="AA223" s="575"/>
      <c r="AB223" s="575"/>
      <c r="AC223" s="575"/>
      <c r="AD223" s="575"/>
      <c r="AE223" s="827"/>
      <c r="AF223" s="575"/>
      <c r="AG223" s="960"/>
      <c r="AH223" s="842"/>
      <c r="AI223" s="839">
        <f t="shared" si="13"/>
        <v>0</v>
      </c>
      <c r="AJ223" s="949">
        <v>0</v>
      </c>
      <c r="AK223" s="581">
        <f t="shared" si="11"/>
        <v>0</v>
      </c>
      <c r="AL223" s="746" t="s">
        <v>1565</v>
      </c>
      <c r="AM223" s="743">
        <f t="shared" si="12"/>
        <v>13.74</v>
      </c>
    </row>
    <row r="224" spans="1:39" s="560" customFormat="1" hidden="1">
      <c r="A224" s="604" t="s">
        <v>722</v>
      </c>
      <c r="B224" s="604" t="s">
        <v>1183</v>
      </c>
      <c r="C224" s="614" t="s">
        <v>47</v>
      </c>
      <c r="D224" s="580"/>
      <c r="E224" s="981"/>
      <c r="F224" s="581"/>
      <c r="G224" s="581"/>
      <c r="H224" s="581"/>
      <c r="I224" s="949"/>
      <c r="J224" s="949"/>
      <c r="K224" s="949"/>
      <c r="L224" s="989"/>
      <c r="M224" s="575"/>
      <c r="N224" s="575"/>
      <c r="O224" s="575"/>
      <c r="P224" s="575"/>
      <c r="Q224" s="575"/>
      <c r="R224" s="575"/>
      <c r="S224" s="989"/>
      <c r="T224" s="575"/>
      <c r="U224" s="575"/>
      <c r="V224" s="575"/>
      <c r="W224" s="575"/>
      <c r="X224" s="575"/>
      <c r="Y224" s="575"/>
      <c r="Z224" s="989"/>
      <c r="AA224" s="575"/>
      <c r="AB224" s="575"/>
      <c r="AC224" s="575"/>
      <c r="AD224" s="575"/>
      <c r="AE224" s="827"/>
      <c r="AF224" s="575"/>
      <c r="AG224" s="960"/>
      <c r="AH224" s="842"/>
      <c r="AI224" s="839">
        <f t="shared" si="13"/>
        <v>0</v>
      </c>
      <c r="AJ224" s="949">
        <v>0</v>
      </c>
      <c r="AK224" s="581">
        <f t="shared" si="11"/>
        <v>0</v>
      </c>
      <c r="AL224" s="746" t="s">
        <v>1566</v>
      </c>
      <c r="AM224" s="743">
        <f t="shared" si="12"/>
        <v>65.349999999999994</v>
      </c>
    </row>
    <row r="225" spans="1:39" s="560" customFormat="1" hidden="1">
      <c r="A225" s="607" t="s">
        <v>723</v>
      </c>
      <c r="B225" s="607" t="s">
        <v>1184</v>
      </c>
      <c r="C225" s="690"/>
      <c r="D225" s="580"/>
      <c r="E225" s="981"/>
      <c r="F225" s="581"/>
      <c r="G225" s="581"/>
      <c r="H225" s="581"/>
      <c r="I225" s="949"/>
      <c r="J225" s="949"/>
      <c r="K225" s="949"/>
      <c r="L225" s="989"/>
      <c r="M225" s="575"/>
      <c r="N225" s="575"/>
      <c r="O225" s="575"/>
      <c r="P225" s="575"/>
      <c r="Q225" s="575"/>
      <c r="R225" s="575"/>
      <c r="S225" s="989"/>
      <c r="T225" s="575"/>
      <c r="U225" s="575"/>
      <c r="V225" s="575"/>
      <c r="W225" s="575"/>
      <c r="X225" s="575"/>
      <c r="Y225" s="575"/>
      <c r="Z225" s="989"/>
      <c r="AA225" s="575"/>
      <c r="AB225" s="575"/>
      <c r="AC225" s="575"/>
      <c r="AD225" s="575"/>
      <c r="AE225" s="827"/>
      <c r="AF225" s="575"/>
      <c r="AG225" s="960"/>
      <c r="AH225" s="842"/>
      <c r="AI225" s="839">
        <f t="shared" si="13"/>
        <v>0</v>
      </c>
      <c r="AJ225" s="949">
        <v>0</v>
      </c>
      <c r="AK225" s="581">
        <f t="shared" si="11"/>
        <v>0</v>
      </c>
      <c r="AL225" s="746"/>
      <c r="AM225" s="743">
        <f t="shared" si="12"/>
        <v>0</v>
      </c>
    </row>
    <row r="226" spans="1:39" s="560" customFormat="1" hidden="1">
      <c r="A226" s="604" t="s">
        <v>724</v>
      </c>
      <c r="B226" s="604" t="s">
        <v>1185</v>
      </c>
      <c r="C226" s="614" t="s">
        <v>37</v>
      </c>
      <c r="D226" s="580"/>
      <c r="E226" s="981"/>
      <c r="F226" s="581"/>
      <c r="G226" s="581"/>
      <c r="H226" s="581"/>
      <c r="I226" s="949"/>
      <c r="J226" s="949"/>
      <c r="K226" s="949"/>
      <c r="L226" s="989"/>
      <c r="M226" s="575"/>
      <c r="N226" s="575"/>
      <c r="O226" s="575"/>
      <c r="P226" s="575"/>
      <c r="Q226" s="575"/>
      <c r="R226" s="575"/>
      <c r="S226" s="989"/>
      <c r="T226" s="575"/>
      <c r="U226" s="575"/>
      <c r="V226" s="575"/>
      <c r="W226" s="575"/>
      <c r="X226" s="575"/>
      <c r="Y226" s="575"/>
      <c r="Z226" s="989"/>
      <c r="AA226" s="575"/>
      <c r="AB226" s="575"/>
      <c r="AC226" s="575"/>
      <c r="AD226" s="575"/>
      <c r="AE226" s="827"/>
      <c r="AF226" s="575"/>
      <c r="AG226" s="960"/>
      <c r="AH226" s="842"/>
      <c r="AI226" s="839">
        <f t="shared" si="13"/>
        <v>0</v>
      </c>
      <c r="AJ226" s="949">
        <v>0</v>
      </c>
      <c r="AK226" s="581">
        <f t="shared" si="11"/>
        <v>0</v>
      </c>
      <c r="AL226" s="746" t="s">
        <v>1567</v>
      </c>
      <c r="AM226" s="743">
        <f t="shared" si="12"/>
        <v>110.7</v>
      </c>
    </row>
    <row r="227" spans="1:39" s="560" customFormat="1" hidden="1">
      <c r="A227" s="607" t="s">
        <v>725</v>
      </c>
      <c r="B227" s="607" t="s">
        <v>1186</v>
      </c>
      <c r="C227" s="614"/>
      <c r="D227" s="580"/>
      <c r="E227" s="981"/>
      <c r="F227" s="581"/>
      <c r="G227" s="581"/>
      <c r="H227" s="581"/>
      <c r="I227" s="949"/>
      <c r="J227" s="949"/>
      <c r="K227" s="949"/>
      <c r="L227" s="989"/>
      <c r="M227" s="575"/>
      <c r="N227" s="575"/>
      <c r="O227" s="575"/>
      <c r="P227" s="575"/>
      <c r="Q227" s="575"/>
      <c r="R227" s="575"/>
      <c r="S227" s="989"/>
      <c r="T227" s="575"/>
      <c r="U227" s="575"/>
      <c r="V227" s="575"/>
      <c r="W227" s="575"/>
      <c r="X227" s="575"/>
      <c r="Y227" s="575"/>
      <c r="Z227" s="989"/>
      <c r="AA227" s="575"/>
      <c r="AB227" s="575"/>
      <c r="AC227" s="575"/>
      <c r="AD227" s="575"/>
      <c r="AE227" s="827"/>
      <c r="AF227" s="575"/>
      <c r="AG227" s="960"/>
      <c r="AH227" s="842"/>
      <c r="AI227" s="839">
        <f t="shared" si="13"/>
        <v>0</v>
      </c>
      <c r="AJ227" s="949">
        <v>0</v>
      </c>
      <c r="AK227" s="581">
        <f t="shared" si="11"/>
        <v>0</v>
      </c>
      <c r="AL227" s="746"/>
      <c r="AM227" s="743">
        <f t="shared" si="12"/>
        <v>0</v>
      </c>
    </row>
    <row r="228" spans="1:39" s="560" customFormat="1" hidden="1">
      <c r="A228" s="604" t="s">
        <v>726</v>
      </c>
      <c r="B228" s="604" t="s">
        <v>1187</v>
      </c>
      <c r="C228" s="614" t="s">
        <v>37</v>
      </c>
      <c r="D228" s="580"/>
      <c r="E228" s="981"/>
      <c r="F228" s="581"/>
      <c r="G228" s="581"/>
      <c r="H228" s="581"/>
      <c r="I228" s="949"/>
      <c r="J228" s="949"/>
      <c r="K228" s="949"/>
      <c r="L228" s="989"/>
      <c r="M228" s="575"/>
      <c r="N228" s="575"/>
      <c r="O228" s="575"/>
      <c r="P228" s="575"/>
      <c r="Q228" s="575"/>
      <c r="R228" s="575"/>
      <c r="S228" s="989"/>
      <c r="T228" s="575"/>
      <c r="U228" s="575"/>
      <c r="V228" s="575"/>
      <c r="W228" s="575"/>
      <c r="X228" s="575"/>
      <c r="Y228" s="575"/>
      <c r="Z228" s="989"/>
      <c r="AA228" s="575"/>
      <c r="AB228" s="575"/>
      <c r="AC228" s="575"/>
      <c r="AD228" s="575"/>
      <c r="AE228" s="827"/>
      <c r="AF228" s="575"/>
      <c r="AG228" s="960"/>
      <c r="AH228" s="842"/>
      <c r="AI228" s="839">
        <f t="shared" si="13"/>
        <v>0</v>
      </c>
      <c r="AJ228" s="949">
        <v>0</v>
      </c>
      <c r="AK228" s="581">
        <f t="shared" si="11"/>
        <v>0</v>
      </c>
      <c r="AL228" s="746" t="s">
        <v>1568</v>
      </c>
      <c r="AM228" s="743">
        <f t="shared" si="12"/>
        <v>46</v>
      </c>
    </row>
    <row r="229" spans="1:39" s="560" customFormat="1" hidden="1">
      <c r="A229" s="604" t="s">
        <v>727</v>
      </c>
      <c r="B229" s="604" t="s">
        <v>224</v>
      </c>
      <c r="C229" s="614" t="s">
        <v>1436</v>
      </c>
      <c r="D229" s="580"/>
      <c r="E229" s="981"/>
      <c r="F229" s="581"/>
      <c r="G229" s="581"/>
      <c r="H229" s="581"/>
      <c r="I229" s="949"/>
      <c r="J229" s="949"/>
      <c r="K229" s="949"/>
      <c r="L229" s="989"/>
      <c r="M229" s="575"/>
      <c r="N229" s="575"/>
      <c r="O229" s="575"/>
      <c r="P229" s="575"/>
      <c r="Q229" s="575"/>
      <c r="R229" s="575"/>
      <c r="S229" s="989"/>
      <c r="T229" s="575"/>
      <c r="U229" s="575"/>
      <c r="V229" s="575"/>
      <c r="W229" s="575"/>
      <c r="X229" s="575"/>
      <c r="Y229" s="575"/>
      <c r="Z229" s="989"/>
      <c r="AA229" s="575"/>
      <c r="AB229" s="575"/>
      <c r="AC229" s="575"/>
      <c r="AD229" s="575"/>
      <c r="AE229" s="827"/>
      <c r="AF229" s="575"/>
      <c r="AG229" s="960"/>
      <c r="AH229" s="842"/>
      <c r="AI229" s="839">
        <f t="shared" si="13"/>
        <v>0</v>
      </c>
      <c r="AJ229" s="949">
        <v>0</v>
      </c>
      <c r="AK229" s="581">
        <f t="shared" si="11"/>
        <v>0</v>
      </c>
      <c r="AL229" s="746" t="s">
        <v>1479</v>
      </c>
      <c r="AM229" s="743">
        <f t="shared" si="12"/>
        <v>15</v>
      </c>
    </row>
    <row r="230" spans="1:39" s="782" customFormat="1">
      <c r="A230" s="868" t="s">
        <v>728</v>
      </c>
      <c r="B230" s="869" t="s">
        <v>1197</v>
      </c>
      <c r="C230" s="898"/>
      <c r="D230" s="795"/>
      <c r="E230" s="981"/>
      <c r="F230" s="778"/>
      <c r="G230" s="778"/>
      <c r="H230" s="778"/>
      <c r="I230" s="777"/>
      <c r="J230" s="777"/>
      <c r="K230" s="777"/>
      <c r="L230" s="989"/>
      <c r="M230" s="809"/>
      <c r="N230" s="809"/>
      <c r="O230" s="809"/>
      <c r="P230" s="809"/>
      <c r="Q230" s="809"/>
      <c r="R230" s="809"/>
      <c r="S230" s="989"/>
      <c r="T230" s="809"/>
      <c r="U230" s="809"/>
      <c r="V230" s="809"/>
      <c r="W230" s="809"/>
      <c r="X230" s="809"/>
      <c r="Y230" s="809"/>
      <c r="Z230" s="989"/>
      <c r="AA230" s="809"/>
      <c r="AB230" s="809"/>
      <c r="AC230" s="809"/>
      <c r="AD230" s="809"/>
      <c r="AE230" s="827"/>
      <c r="AF230" s="809"/>
      <c r="AG230" s="960"/>
      <c r="AH230" s="873"/>
      <c r="AI230" s="839">
        <f t="shared" si="13"/>
        <v>0</v>
      </c>
      <c r="AJ230" s="777">
        <v>0</v>
      </c>
      <c r="AK230" s="778">
        <f t="shared" si="11"/>
        <v>0</v>
      </c>
      <c r="AL230" s="780"/>
      <c r="AM230" s="781">
        <f t="shared" si="12"/>
        <v>0</v>
      </c>
    </row>
    <row r="231" spans="1:39" s="782" customFormat="1">
      <c r="A231" s="885" t="s">
        <v>729</v>
      </c>
      <c r="B231" s="885" t="s">
        <v>45</v>
      </c>
      <c r="C231" s="898"/>
      <c r="D231" s="795"/>
      <c r="E231" s="981"/>
      <c r="F231" s="778"/>
      <c r="G231" s="778"/>
      <c r="H231" s="778"/>
      <c r="I231" s="777"/>
      <c r="J231" s="777"/>
      <c r="K231" s="777"/>
      <c r="L231" s="989"/>
      <c r="M231" s="809"/>
      <c r="N231" s="809"/>
      <c r="O231" s="809"/>
      <c r="P231" s="809"/>
      <c r="Q231" s="809"/>
      <c r="R231" s="809"/>
      <c r="S231" s="989"/>
      <c r="T231" s="809"/>
      <c r="U231" s="809"/>
      <c r="V231" s="809"/>
      <c r="W231" s="809"/>
      <c r="X231" s="809"/>
      <c r="Y231" s="809"/>
      <c r="Z231" s="989"/>
      <c r="AA231" s="809"/>
      <c r="AB231" s="809"/>
      <c r="AC231" s="809"/>
      <c r="AD231" s="809"/>
      <c r="AE231" s="827"/>
      <c r="AF231" s="809"/>
      <c r="AG231" s="960"/>
      <c r="AH231" s="873"/>
      <c r="AI231" s="839">
        <f t="shared" si="13"/>
        <v>0</v>
      </c>
      <c r="AJ231" s="777">
        <v>0</v>
      </c>
      <c r="AK231" s="778">
        <f t="shared" si="11"/>
        <v>0</v>
      </c>
      <c r="AL231" s="780"/>
      <c r="AM231" s="781">
        <f t="shared" si="12"/>
        <v>0</v>
      </c>
    </row>
    <row r="232" spans="1:39" s="782" customFormat="1">
      <c r="A232" s="772" t="s">
        <v>730</v>
      </c>
      <c r="B232" s="772" t="s">
        <v>1198</v>
      </c>
      <c r="C232" s="877" t="s">
        <v>39</v>
      </c>
      <c r="D232" s="795"/>
      <c r="E232" s="981"/>
      <c r="F232" s="778"/>
      <c r="G232" s="778"/>
      <c r="H232" s="778"/>
      <c r="I232" s="777"/>
      <c r="J232" s="777"/>
      <c r="K232" s="777"/>
      <c r="L232" s="989"/>
      <c r="M232" s="809"/>
      <c r="N232" s="809"/>
      <c r="O232" s="809"/>
      <c r="P232" s="809"/>
      <c r="Q232" s="945">
        <f>3.52*1.1*9.2</f>
        <v>35.622399999999999</v>
      </c>
      <c r="R232" s="809"/>
      <c r="S232" s="989"/>
      <c r="T232" s="809"/>
      <c r="U232" s="809"/>
      <c r="V232" s="945">
        <f>5.95*1.5*0.6</f>
        <v>5.3550000000000004</v>
      </c>
      <c r="W232" s="809"/>
      <c r="X232" s="809"/>
      <c r="Y232" s="809"/>
      <c r="Z232" s="989"/>
      <c r="AA232" s="809"/>
      <c r="AB232" s="945">
        <f>2.75*0.6*1</f>
        <v>1.65</v>
      </c>
      <c r="AC232" s="809"/>
      <c r="AD232" s="809"/>
      <c r="AE232" s="827"/>
      <c r="AF232" s="809"/>
      <c r="AG232" s="960"/>
      <c r="AH232" s="873"/>
      <c r="AI232" s="839">
        <f t="shared" si="13"/>
        <v>42.63</v>
      </c>
      <c r="AJ232" s="777">
        <v>0</v>
      </c>
      <c r="AK232" s="778">
        <f t="shared" si="11"/>
        <v>42.63</v>
      </c>
      <c r="AL232" s="901" t="s">
        <v>1569</v>
      </c>
      <c r="AM232" s="781">
        <f t="shared" si="12"/>
        <v>424.76</v>
      </c>
    </row>
    <row r="233" spans="1:39" s="897" customFormat="1" hidden="1">
      <c r="A233" s="886" t="s">
        <v>731</v>
      </c>
      <c r="B233" s="886" t="s">
        <v>1147</v>
      </c>
      <c r="C233" s="900" t="s">
        <v>39</v>
      </c>
      <c r="D233" s="888"/>
      <c r="E233" s="981"/>
      <c r="F233" s="889"/>
      <c r="G233" s="889"/>
      <c r="H233" s="889"/>
      <c r="I233" s="890"/>
      <c r="J233" s="890"/>
      <c r="K233" s="890"/>
      <c r="L233" s="989"/>
      <c r="M233" s="891"/>
      <c r="N233" s="891"/>
      <c r="O233" s="891"/>
      <c r="P233" s="891"/>
      <c r="Q233" s="891"/>
      <c r="R233" s="891"/>
      <c r="S233" s="989"/>
      <c r="T233" s="891"/>
      <c r="U233" s="891"/>
      <c r="V233" s="891"/>
      <c r="W233" s="891"/>
      <c r="X233" s="891"/>
      <c r="Y233" s="891"/>
      <c r="Z233" s="989"/>
      <c r="AA233" s="891"/>
      <c r="AB233" s="891"/>
      <c r="AC233" s="891"/>
      <c r="AD233" s="891"/>
      <c r="AE233" s="827"/>
      <c r="AF233" s="891"/>
      <c r="AG233" s="960"/>
      <c r="AH233" s="893"/>
      <c r="AI233" s="839">
        <f t="shared" si="13"/>
        <v>0</v>
      </c>
      <c r="AJ233" s="890">
        <v>0</v>
      </c>
      <c r="AK233" s="889">
        <f t="shared" si="11"/>
        <v>0</v>
      </c>
      <c r="AL233" s="902" t="s">
        <v>1570</v>
      </c>
      <c r="AM233" s="896">
        <f t="shared" si="12"/>
        <v>560.87</v>
      </c>
    </row>
    <row r="234" spans="1:39" s="782" customFormat="1">
      <c r="A234" s="885" t="s">
        <v>732</v>
      </c>
      <c r="B234" s="885" t="s">
        <v>1148</v>
      </c>
      <c r="C234" s="877"/>
      <c r="D234" s="795"/>
      <c r="E234" s="981"/>
      <c r="F234" s="778"/>
      <c r="G234" s="778"/>
      <c r="H234" s="778"/>
      <c r="I234" s="777"/>
      <c r="J234" s="777"/>
      <c r="K234" s="777"/>
      <c r="L234" s="989"/>
      <c r="M234" s="809"/>
      <c r="N234" s="809"/>
      <c r="O234" s="809"/>
      <c r="P234" s="809"/>
      <c r="Q234" s="809"/>
      <c r="R234" s="809"/>
      <c r="S234" s="989"/>
      <c r="T234" s="809"/>
      <c r="U234" s="809"/>
      <c r="V234" s="809"/>
      <c r="W234" s="809"/>
      <c r="X234" s="809"/>
      <c r="Y234" s="809"/>
      <c r="Z234" s="989"/>
      <c r="AA234" s="809"/>
      <c r="AB234" s="809"/>
      <c r="AC234" s="809"/>
      <c r="AD234" s="809"/>
      <c r="AE234" s="827"/>
      <c r="AF234" s="809"/>
      <c r="AG234" s="960"/>
      <c r="AH234" s="873"/>
      <c r="AI234" s="839">
        <f t="shared" si="13"/>
        <v>0</v>
      </c>
      <c r="AJ234" s="777">
        <v>0</v>
      </c>
      <c r="AK234" s="778">
        <f t="shared" si="11"/>
        <v>0</v>
      </c>
      <c r="AL234" s="901"/>
      <c r="AM234" s="781">
        <f t="shared" si="12"/>
        <v>0</v>
      </c>
    </row>
    <row r="235" spans="1:39" s="782" customFormat="1">
      <c r="A235" s="772" t="s">
        <v>733</v>
      </c>
      <c r="B235" s="772" t="s">
        <v>1190</v>
      </c>
      <c r="C235" s="877" t="s">
        <v>39</v>
      </c>
      <c r="D235" s="795"/>
      <c r="E235" s="981"/>
      <c r="F235" s="778"/>
      <c r="G235" s="778"/>
      <c r="H235" s="778"/>
      <c r="I235" s="777"/>
      <c r="J235" s="777"/>
      <c r="K235" s="777"/>
      <c r="L235" s="989"/>
      <c r="M235" s="809"/>
      <c r="N235" s="809"/>
      <c r="O235" s="809"/>
      <c r="P235" s="809"/>
      <c r="Q235" s="809"/>
      <c r="R235" s="809"/>
      <c r="S235" s="989"/>
      <c r="T235" s="809"/>
      <c r="U235" s="809"/>
      <c r="V235" s="809"/>
      <c r="W235" s="945">
        <f>4.38*0.6*0.6</f>
        <v>1.5767999999999998</v>
      </c>
      <c r="X235" s="809"/>
      <c r="Y235" s="797"/>
      <c r="Z235" s="989"/>
      <c r="AA235" s="945">
        <f>0.8*0.6*5.95</f>
        <v>2.8559999999999999</v>
      </c>
      <c r="AB235" s="809"/>
      <c r="AC235" s="809"/>
      <c r="AD235" s="945">
        <f>6.13*0.6*0.6</f>
        <v>2.2067999999999999</v>
      </c>
      <c r="AE235" s="827"/>
      <c r="AF235" s="809"/>
      <c r="AG235" s="960"/>
      <c r="AH235" s="873"/>
      <c r="AI235" s="839">
        <f t="shared" si="13"/>
        <v>6.64</v>
      </c>
      <c r="AJ235" s="777">
        <v>0</v>
      </c>
      <c r="AK235" s="778">
        <f t="shared" si="11"/>
        <v>6.64</v>
      </c>
      <c r="AL235" s="901" t="s">
        <v>1571</v>
      </c>
      <c r="AM235" s="781">
        <f t="shared" si="12"/>
        <v>7.19</v>
      </c>
    </row>
    <row r="236" spans="1:39" s="782" customFormat="1">
      <c r="A236" s="885" t="s">
        <v>734</v>
      </c>
      <c r="B236" s="885" t="s">
        <v>1155</v>
      </c>
      <c r="C236" s="898"/>
      <c r="D236" s="795"/>
      <c r="E236" s="981"/>
      <c r="F236" s="778"/>
      <c r="G236" s="778"/>
      <c r="H236" s="778"/>
      <c r="I236" s="777"/>
      <c r="J236" s="777"/>
      <c r="K236" s="777"/>
      <c r="L236" s="989"/>
      <c r="M236" s="809"/>
      <c r="N236" s="809"/>
      <c r="O236" s="809"/>
      <c r="P236" s="809"/>
      <c r="Q236" s="809"/>
      <c r="R236" s="809"/>
      <c r="S236" s="989"/>
      <c r="T236" s="809"/>
      <c r="U236" s="809"/>
      <c r="V236" s="809"/>
      <c r="W236" s="809"/>
      <c r="X236" s="809"/>
      <c r="Y236" s="809"/>
      <c r="Z236" s="989"/>
      <c r="AA236" s="809"/>
      <c r="AB236" s="809"/>
      <c r="AC236" s="809"/>
      <c r="AD236" s="809"/>
      <c r="AE236" s="827"/>
      <c r="AF236" s="809"/>
      <c r="AG236" s="960"/>
      <c r="AH236" s="873"/>
      <c r="AI236" s="839">
        <f t="shared" si="13"/>
        <v>0</v>
      </c>
      <c r="AJ236" s="777">
        <v>0</v>
      </c>
      <c r="AK236" s="778">
        <f t="shared" si="11"/>
        <v>0</v>
      </c>
      <c r="AL236" s="901"/>
      <c r="AM236" s="781">
        <f t="shared" si="12"/>
        <v>0</v>
      </c>
    </row>
    <row r="237" spans="1:39" s="782" customFormat="1">
      <c r="A237" s="772" t="s">
        <v>735</v>
      </c>
      <c r="B237" s="772" t="s">
        <v>1163</v>
      </c>
      <c r="C237" s="898"/>
      <c r="D237" s="795"/>
      <c r="E237" s="981"/>
      <c r="F237" s="778"/>
      <c r="G237" s="778"/>
      <c r="H237" s="778"/>
      <c r="I237" s="777"/>
      <c r="J237" s="777"/>
      <c r="K237" s="777"/>
      <c r="L237" s="989"/>
      <c r="M237" s="809"/>
      <c r="N237" s="809"/>
      <c r="O237" s="809"/>
      <c r="P237" s="809"/>
      <c r="Q237" s="809"/>
      <c r="R237" s="809"/>
      <c r="S237" s="989"/>
      <c r="T237" s="809"/>
      <c r="U237" s="809"/>
      <c r="V237" s="809"/>
      <c r="W237" s="809"/>
      <c r="X237" s="809"/>
      <c r="Y237" s="809"/>
      <c r="Z237" s="989"/>
      <c r="AA237" s="809"/>
      <c r="AB237" s="809"/>
      <c r="AC237" s="809"/>
      <c r="AD237" s="809"/>
      <c r="AE237" s="827"/>
      <c r="AF237" s="809"/>
      <c r="AG237" s="960"/>
      <c r="AH237" s="873"/>
      <c r="AI237" s="839">
        <f t="shared" si="13"/>
        <v>0</v>
      </c>
      <c r="AJ237" s="777">
        <v>0</v>
      </c>
      <c r="AK237" s="778">
        <f t="shared" si="11"/>
        <v>0</v>
      </c>
      <c r="AL237" s="901"/>
      <c r="AM237" s="781">
        <f t="shared" si="12"/>
        <v>0</v>
      </c>
    </row>
    <row r="238" spans="1:39" s="782" customFormat="1">
      <c r="A238" s="772" t="s">
        <v>736</v>
      </c>
      <c r="B238" s="772" t="s">
        <v>1194</v>
      </c>
      <c r="C238" s="877" t="s">
        <v>39</v>
      </c>
      <c r="D238" s="795"/>
      <c r="E238" s="981"/>
      <c r="F238" s="778"/>
      <c r="G238" s="778"/>
      <c r="H238" s="778"/>
      <c r="I238" s="777"/>
      <c r="J238" s="777"/>
      <c r="K238" s="777"/>
      <c r="L238" s="991"/>
      <c r="M238" s="797"/>
      <c r="N238" s="797"/>
      <c r="O238" s="777"/>
      <c r="P238" s="828"/>
      <c r="Q238" s="828"/>
      <c r="R238" s="828"/>
      <c r="S238" s="994"/>
      <c r="T238" s="828"/>
      <c r="U238" s="828"/>
      <c r="V238" s="828"/>
      <c r="W238" s="828"/>
      <c r="X238" s="828"/>
      <c r="Y238" s="828"/>
      <c r="Z238" s="994"/>
      <c r="AA238" s="828"/>
      <c r="AB238" s="828"/>
      <c r="AC238" s="828"/>
      <c r="AD238" s="828"/>
      <c r="AE238" s="825"/>
      <c r="AF238" s="777"/>
      <c r="AG238" s="962"/>
      <c r="AH238" s="899"/>
      <c r="AI238" s="839">
        <f t="shared" si="13"/>
        <v>0</v>
      </c>
      <c r="AJ238" s="777">
        <v>0</v>
      </c>
      <c r="AK238" s="778">
        <f t="shared" si="11"/>
        <v>0</v>
      </c>
      <c r="AL238" s="901" t="s">
        <v>1572</v>
      </c>
      <c r="AM238" s="781">
        <f t="shared" si="12"/>
        <v>4.8899999999999997</v>
      </c>
    </row>
    <row r="239" spans="1:39" s="782" customFormat="1">
      <c r="A239" s="772" t="s">
        <v>737</v>
      </c>
      <c r="B239" s="772" t="s">
        <v>1165</v>
      </c>
      <c r="C239" s="877" t="s">
        <v>36</v>
      </c>
      <c r="D239" s="795"/>
      <c r="E239" s="981"/>
      <c r="F239" s="778"/>
      <c r="G239" s="778"/>
      <c r="H239" s="778"/>
      <c r="I239" s="777"/>
      <c r="J239" s="777"/>
      <c r="K239" s="777"/>
      <c r="L239" s="989"/>
      <c r="M239" s="809"/>
      <c r="N239" s="809"/>
      <c r="O239" s="779"/>
      <c r="P239" s="779"/>
      <c r="Q239" s="779"/>
      <c r="R239" s="779"/>
      <c r="S239" s="960"/>
      <c r="T239" s="779"/>
      <c r="U239" s="779"/>
      <c r="V239" s="779"/>
      <c r="W239" s="779"/>
      <c r="X239" s="779"/>
      <c r="Y239" s="779"/>
      <c r="Z239" s="960"/>
      <c r="AA239" s="777"/>
      <c r="AB239" s="779"/>
      <c r="AC239" s="777"/>
      <c r="AD239" s="779"/>
      <c r="AE239" s="856"/>
      <c r="AF239" s="779"/>
      <c r="AG239" s="960"/>
      <c r="AH239" s="873"/>
      <c r="AI239" s="839">
        <f t="shared" si="13"/>
        <v>0</v>
      </c>
      <c r="AJ239" s="777">
        <v>0</v>
      </c>
      <c r="AK239" s="778">
        <f t="shared" si="11"/>
        <v>0</v>
      </c>
      <c r="AL239" s="901" t="s">
        <v>1573</v>
      </c>
      <c r="AM239" s="781">
        <f t="shared" si="12"/>
        <v>76.69</v>
      </c>
    </row>
    <row r="240" spans="1:39" s="782" customFormat="1">
      <c r="A240" s="772" t="s">
        <v>738</v>
      </c>
      <c r="B240" s="772" t="s">
        <v>1166</v>
      </c>
      <c r="C240" s="877" t="s">
        <v>47</v>
      </c>
      <c r="D240" s="795"/>
      <c r="E240" s="981"/>
      <c r="F240" s="778"/>
      <c r="G240" s="778"/>
      <c r="H240" s="778"/>
      <c r="I240" s="777"/>
      <c r="J240" s="777"/>
      <c r="K240" s="777"/>
      <c r="L240" s="989"/>
      <c r="M240" s="809"/>
      <c r="N240" s="809"/>
      <c r="O240" s="809"/>
      <c r="P240" s="945">
        <f>4*26</f>
        <v>104</v>
      </c>
      <c r="Q240" s="797"/>
      <c r="R240" s="945">
        <f>4*26</f>
        <v>104</v>
      </c>
      <c r="S240" s="991"/>
      <c r="T240" s="797"/>
      <c r="U240" s="945">
        <f>3*26</f>
        <v>78</v>
      </c>
      <c r="V240" s="797"/>
      <c r="W240" s="945">
        <f>3*26</f>
        <v>78</v>
      </c>
      <c r="X240" s="945">
        <f>3*26</f>
        <v>78</v>
      </c>
      <c r="Y240" s="797"/>
      <c r="Z240" s="991"/>
      <c r="AA240" s="945">
        <f>3*26</f>
        <v>78</v>
      </c>
      <c r="AB240" s="797"/>
      <c r="AC240" s="797"/>
      <c r="AD240" s="945">
        <f>4*26</f>
        <v>104</v>
      </c>
      <c r="AE240" s="827"/>
      <c r="AF240" s="809"/>
      <c r="AG240" s="960"/>
      <c r="AH240" s="873"/>
      <c r="AI240" s="839">
        <f t="shared" si="13"/>
        <v>624</v>
      </c>
      <c r="AJ240" s="777">
        <v>0</v>
      </c>
      <c r="AK240" s="778">
        <f t="shared" si="11"/>
        <v>624</v>
      </c>
      <c r="AL240" s="901" t="s">
        <v>1574</v>
      </c>
      <c r="AM240" s="781">
        <f t="shared" si="12"/>
        <v>323.79999999999995</v>
      </c>
    </row>
    <row r="241" spans="1:39" s="782" customFormat="1" hidden="1">
      <c r="A241" s="772" t="s">
        <v>739</v>
      </c>
      <c r="B241" s="772" t="s">
        <v>1171</v>
      </c>
      <c r="C241" s="898"/>
      <c r="D241" s="795"/>
      <c r="E241" s="981"/>
      <c r="F241" s="778"/>
      <c r="G241" s="778"/>
      <c r="H241" s="778"/>
      <c r="I241" s="777"/>
      <c r="J241" s="777"/>
      <c r="K241" s="777"/>
      <c r="L241" s="989"/>
      <c r="M241" s="809"/>
      <c r="N241" s="809"/>
      <c r="O241" s="809"/>
      <c r="P241" s="809"/>
      <c r="Q241" s="809"/>
      <c r="R241" s="809"/>
      <c r="S241" s="989"/>
      <c r="T241" s="809"/>
      <c r="U241" s="809"/>
      <c r="V241" s="809"/>
      <c r="W241" s="809"/>
      <c r="X241" s="809"/>
      <c r="Y241" s="809"/>
      <c r="Z241" s="989"/>
      <c r="AA241" s="809"/>
      <c r="AB241" s="809"/>
      <c r="AC241" s="809"/>
      <c r="AD241" s="809"/>
      <c r="AE241" s="827"/>
      <c r="AF241" s="809"/>
      <c r="AG241" s="960"/>
      <c r="AH241" s="873"/>
      <c r="AI241" s="839">
        <f t="shared" si="13"/>
        <v>0</v>
      </c>
      <c r="AJ241" s="777">
        <v>0</v>
      </c>
      <c r="AK241" s="778">
        <f t="shared" si="11"/>
        <v>0</v>
      </c>
      <c r="AL241" s="901"/>
      <c r="AM241" s="781">
        <f t="shared" si="12"/>
        <v>0</v>
      </c>
    </row>
    <row r="242" spans="1:39" s="782" customFormat="1" hidden="1">
      <c r="A242" s="772" t="s">
        <v>740</v>
      </c>
      <c r="B242" s="772" t="s">
        <v>1172</v>
      </c>
      <c r="C242" s="877" t="s">
        <v>39</v>
      </c>
      <c r="D242" s="795"/>
      <c r="E242" s="981"/>
      <c r="F242" s="778"/>
      <c r="G242" s="778"/>
      <c r="H242" s="778"/>
      <c r="I242" s="777"/>
      <c r="J242" s="777"/>
      <c r="K242" s="777"/>
      <c r="L242" s="989"/>
      <c r="M242" s="809"/>
      <c r="N242" s="809"/>
      <c r="O242" s="809"/>
      <c r="P242" s="809"/>
      <c r="Q242" s="809"/>
      <c r="R242" s="809"/>
      <c r="S242" s="989"/>
      <c r="T242" s="809"/>
      <c r="U242" s="809"/>
      <c r="V242" s="809"/>
      <c r="W242" s="809"/>
      <c r="X242" s="809"/>
      <c r="Y242" s="809"/>
      <c r="Z242" s="989"/>
      <c r="AA242" s="809"/>
      <c r="AB242" s="809"/>
      <c r="AC242" s="809"/>
      <c r="AD242" s="809"/>
      <c r="AE242" s="827"/>
      <c r="AF242" s="809"/>
      <c r="AG242" s="960"/>
      <c r="AH242" s="873"/>
      <c r="AI242" s="839">
        <f t="shared" si="13"/>
        <v>0</v>
      </c>
      <c r="AJ242" s="777">
        <v>0</v>
      </c>
      <c r="AK242" s="778">
        <f t="shared" si="11"/>
        <v>0</v>
      </c>
      <c r="AL242" s="901" t="s">
        <v>1575</v>
      </c>
      <c r="AM242" s="781">
        <f t="shared" si="12"/>
        <v>4.2300000000000004</v>
      </c>
    </row>
    <row r="243" spans="1:39" s="782" customFormat="1" hidden="1">
      <c r="A243" s="772" t="s">
        <v>741</v>
      </c>
      <c r="B243" s="772" t="s">
        <v>1173</v>
      </c>
      <c r="C243" s="877" t="s">
        <v>36</v>
      </c>
      <c r="D243" s="795"/>
      <c r="E243" s="981"/>
      <c r="F243" s="778"/>
      <c r="G243" s="778"/>
      <c r="H243" s="778"/>
      <c r="I243" s="777"/>
      <c r="J243" s="777"/>
      <c r="K243" s="777"/>
      <c r="L243" s="989"/>
      <c r="M243" s="809"/>
      <c r="N243" s="809"/>
      <c r="O243" s="809"/>
      <c r="P243" s="809"/>
      <c r="Q243" s="809"/>
      <c r="R243" s="809"/>
      <c r="S243" s="989"/>
      <c r="T243" s="809"/>
      <c r="U243" s="809"/>
      <c r="V243" s="809"/>
      <c r="W243" s="809"/>
      <c r="X243" s="809"/>
      <c r="Y243" s="809"/>
      <c r="Z243" s="989"/>
      <c r="AA243" s="809"/>
      <c r="AB243" s="809"/>
      <c r="AC243" s="809"/>
      <c r="AD243" s="809"/>
      <c r="AE243" s="827"/>
      <c r="AF243" s="809"/>
      <c r="AG243" s="960"/>
      <c r="AH243" s="873"/>
      <c r="AI243" s="839">
        <f t="shared" si="13"/>
        <v>0</v>
      </c>
      <c r="AJ243" s="777">
        <v>0</v>
      </c>
      <c r="AK243" s="778">
        <f t="shared" si="11"/>
        <v>0</v>
      </c>
      <c r="AL243" s="901" t="s">
        <v>1576</v>
      </c>
      <c r="AM243" s="781">
        <f t="shared" si="12"/>
        <v>49.66</v>
      </c>
    </row>
    <row r="244" spans="1:39" s="782" customFormat="1" hidden="1">
      <c r="A244" s="772" t="s">
        <v>742</v>
      </c>
      <c r="B244" s="772" t="s">
        <v>1174</v>
      </c>
      <c r="C244" s="877" t="s">
        <v>47</v>
      </c>
      <c r="D244" s="795"/>
      <c r="E244" s="981"/>
      <c r="F244" s="778"/>
      <c r="G244" s="778"/>
      <c r="H244" s="778"/>
      <c r="I244" s="777"/>
      <c r="J244" s="777"/>
      <c r="K244" s="777"/>
      <c r="L244" s="989"/>
      <c r="M244" s="809"/>
      <c r="N244" s="809"/>
      <c r="O244" s="809"/>
      <c r="P244" s="809"/>
      <c r="Q244" s="809"/>
      <c r="R244" s="809"/>
      <c r="S244" s="989"/>
      <c r="T244" s="809"/>
      <c r="U244" s="809"/>
      <c r="V244" s="809"/>
      <c r="W244" s="809"/>
      <c r="X244" s="809"/>
      <c r="Y244" s="809"/>
      <c r="Z244" s="989"/>
      <c r="AA244" s="809"/>
      <c r="AB244" s="809"/>
      <c r="AC244" s="809"/>
      <c r="AD244" s="809"/>
      <c r="AE244" s="827"/>
      <c r="AF244" s="809"/>
      <c r="AG244" s="960"/>
      <c r="AH244" s="873"/>
      <c r="AI244" s="839">
        <f t="shared" si="13"/>
        <v>0</v>
      </c>
      <c r="AJ244" s="777">
        <v>0</v>
      </c>
      <c r="AK244" s="778">
        <f t="shared" si="11"/>
        <v>0</v>
      </c>
      <c r="AL244" s="901" t="s">
        <v>1577</v>
      </c>
      <c r="AM244" s="781">
        <f t="shared" si="12"/>
        <v>483.02</v>
      </c>
    </row>
    <row r="245" spans="1:39" s="782" customFormat="1">
      <c r="A245" s="772" t="s">
        <v>743</v>
      </c>
      <c r="B245" s="772" t="s">
        <v>1199</v>
      </c>
      <c r="C245" s="898"/>
      <c r="D245" s="795"/>
      <c r="E245" s="981"/>
      <c r="F245" s="778"/>
      <c r="G245" s="778"/>
      <c r="H245" s="778"/>
      <c r="I245" s="777"/>
      <c r="J245" s="777"/>
      <c r="K245" s="777"/>
      <c r="L245" s="989"/>
      <c r="M245" s="809"/>
      <c r="N245" s="809"/>
      <c r="O245" s="809"/>
      <c r="P245" s="809"/>
      <c r="Q245" s="809"/>
      <c r="R245" s="809"/>
      <c r="S245" s="989"/>
      <c r="T245" s="809"/>
      <c r="U245" s="809"/>
      <c r="V245" s="809"/>
      <c r="W245" s="809"/>
      <c r="X245" s="809"/>
      <c r="Y245" s="809"/>
      <c r="Z245" s="989"/>
      <c r="AA245" s="809"/>
      <c r="AB245" s="809"/>
      <c r="AC245" s="809"/>
      <c r="AD245" s="809"/>
      <c r="AE245" s="827"/>
      <c r="AF245" s="809"/>
      <c r="AG245" s="960"/>
      <c r="AH245" s="873"/>
      <c r="AI245" s="839">
        <f t="shared" si="13"/>
        <v>0</v>
      </c>
      <c r="AJ245" s="777">
        <v>0</v>
      </c>
      <c r="AK245" s="778">
        <f t="shared" si="11"/>
        <v>0</v>
      </c>
      <c r="AL245" s="901"/>
      <c r="AM245" s="781">
        <f t="shared" si="12"/>
        <v>0</v>
      </c>
    </row>
    <row r="246" spans="1:39" s="782" customFormat="1">
      <c r="A246" s="772" t="s">
        <v>744</v>
      </c>
      <c r="B246" s="772" t="s">
        <v>1191</v>
      </c>
      <c r="C246" s="877" t="s">
        <v>39</v>
      </c>
      <c r="D246" s="795"/>
      <c r="E246" s="981"/>
      <c r="F246" s="778"/>
      <c r="G246" s="778"/>
      <c r="H246" s="778"/>
      <c r="I246" s="777"/>
      <c r="J246" s="777"/>
      <c r="K246" s="777"/>
      <c r="L246" s="989"/>
      <c r="M246" s="809"/>
      <c r="N246" s="809"/>
      <c r="O246" s="809"/>
      <c r="P246" s="809"/>
      <c r="Q246" s="809"/>
      <c r="R246" s="809"/>
      <c r="S246" s="989"/>
      <c r="T246" s="809"/>
      <c r="U246" s="809"/>
      <c r="V246" s="809"/>
      <c r="W246" s="809"/>
      <c r="X246" s="809"/>
      <c r="Y246" s="809"/>
      <c r="Z246" s="989"/>
      <c r="AA246" s="809"/>
      <c r="AB246" s="945">
        <f>9.25*0.15*0.3+9.25*0.15*0.3+6.17*0.15*0.3+7.51*0.15*0.3</f>
        <v>1.4480999999999999</v>
      </c>
      <c r="AC246" s="809"/>
      <c r="AD246" s="809"/>
      <c r="AE246" s="827"/>
      <c r="AF246" s="809"/>
      <c r="AG246" s="960"/>
      <c r="AH246" s="873"/>
      <c r="AI246" s="839">
        <f t="shared" si="13"/>
        <v>1.45</v>
      </c>
      <c r="AJ246" s="777">
        <v>0</v>
      </c>
      <c r="AK246" s="778">
        <f t="shared" si="11"/>
        <v>1.45</v>
      </c>
      <c r="AL246" s="901" t="s">
        <v>1578</v>
      </c>
      <c r="AM246" s="781">
        <f t="shared" si="12"/>
        <v>2.79</v>
      </c>
    </row>
    <row r="247" spans="1:39" s="782" customFormat="1">
      <c r="A247" s="772" t="s">
        <v>745</v>
      </c>
      <c r="B247" s="772" t="s">
        <v>1200</v>
      </c>
      <c r="C247" s="877" t="s">
        <v>36</v>
      </c>
      <c r="D247" s="795"/>
      <c r="E247" s="981"/>
      <c r="F247" s="778"/>
      <c r="G247" s="778"/>
      <c r="H247" s="778"/>
      <c r="I247" s="777"/>
      <c r="J247" s="777"/>
      <c r="K247" s="777"/>
      <c r="L247" s="989"/>
      <c r="M247" s="809"/>
      <c r="N247" s="809"/>
      <c r="O247" s="809"/>
      <c r="P247" s="809"/>
      <c r="Q247" s="809"/>
      <c r="R247" s="809"/>
      <c r="S247" s="989"/>
      <c r="T247" s="809"/>
      <c r="U247" s="809"/>
      <c r="V247" s="809"/>
      <c r="W247" s="809"/>
      <c r="X247" s="809"/>
      <c r="Y247" s="809"/>
      <c r="Z247" s="989"/>
      <c r="AA247" s="809"/>
      <c r="AB247" s="945">
        <f>32.28*0.3*2</f>
        <v>19.367999999999999</v>
      </c>
      <c r="AC247" s="809"/>
      <c r="AD247" s="809"/>
      <c r="AE247" s="827"/>
      <c r="AF247" s="809"/>
      <c r="AG247" s="960"/>
      <c r="AH247" s="873"/>
      <c r="AI247" s="839">
        <f t="shared" si="13"/>
        <v>19.37</v>
      </c>
      <c r="AJ247" s="777">
        <v>0</v>
      </c>
      <c r="AK247" s="778">
        <f t="shared" si="11"/>
        <v>19.37</v>
      </c>
      <c r="AL247" s="901" t="s">
        <v>1579</v>
      </c>
      <c r="AM247" s="781">
        <f t="shared" si="12"/>
        <v>37.200000000000003</v>
      </c>
    </row>
    <row r="248" spans="1:39" s="782" customFormat="1">
      <c r="A248" s="772" t="s">
        <v>746</v>
      </c>
      <c r="B248" s="772" t="s">
        <v>1201</v>
      </c>
      <c r="C248" s="877" t="s">
        <v>47</v>
      </c>
      <c r="D248" s="795"/>
      <c r="E248" s="981"/>
      <c r="F248" s="778"/>
      <c r="G248" s="778"/>
      <c r="H248" s="778"/>
      <c r="I248" s="777"/>
      <c r="J248" s="777"/>
      <c r="K248" s="777"/>
      <c r="L248" s="989"/>
      <c r="M248" s="809"/>
      <c r="N248" s="809"/>
      <c r="O248" s="809"/>
      <c r="P248" s="809"/>
      <c r="Q248" s="809"/>
      <c r="R248" s="809"/>
      <c r="S248" s="989"/>
      <c r="T248" s="809"/>
      <c r="U248" s="809"/>
      <c r="V248" s="809"/>
      <c r="W248" s="809"/>
      <c r="X248" s="809"/>
      <c r="Y248" s="809"/>
      <c r="Z248" s="989"/>
      <c r="AA248" s="945">
        <v>255.19</v>
      </c>
      <c r="AB248" s="809"/>
      <c r="AC248" s="809"/>
      <c r="AD248" s="809"/>
      <c r="AE248" s="827"/>
      <c r="AF248" s="809"/>
      <c r="AG248" s="960"/>
      <c r="AH248" s="873"/>
      <c r="AI248" s="839">
        <f t="shared" si="13"/>
        <v>255.19</v>
      </c>
      <c r="AJ248" s="777">
        <v>0</v>
      </c>
      <c r="AK248" s="778">
        <f t="shared" si="11"/>
        <v>255.19</v>
      </c>
      <c r="AL248" s="901" t="s">
        <v>1580</v>
      </c>
      <c r="AM248" s="781">
        <f t="shared" si="12"/>
        <v>183.54000000000002</v>
      </c>
    </row>
    <row r="249" spans="1:39" s="782" customFormat="1" hidden="1">
      <c r="A249" s="885" t="s">
        <v>747</v>
      </c>
      <c r="B249" s="885" t="s">
        <v>1186</v>
      </c>
      <c r="C249" s="898"/>
      <c r="D249" s="795"/>
      <c r="E249" s="981"/>
      <c r="F249" s="778"/>
      <c r="G249" s="778"/>
      <c r="H249" s="778"/>
      <c r="I249" s="777"/>
      <c r="J249" s="777"/>
      <c r="K249" s="777"/>
      <c r="L249" s="989"/>
      <c r="M249" s="809"/>
      <c r="N249" s="809"/>
      <c r="O249" s="809"/>
      <c r="P249" s="809"/>
      <c r="Q249" s="809"/>
      <c r="R249" s="809"/>
      <c r="S249" s="989"/>
      <c r="T249" s="809"/>
      <c r="U249" s="809"/>
      <c r="V249" s="809"/>
      <c r="W249" s="809"/>
      <c r="X249" s="809"/>
      <c r="Y249" s="809"/>
      <c r="Z249" s="989"/>
      <c r="AA249" s="809"/>
      <c r="AB249" s="809"/>
      <c r="AC249" s="809"/>
      <c r="AD249" s="809"/>
      <c r="AE249" s="827"/>
      <c r="AF249" s="809"/>
      <c r="AG249" s="960"/>
      <c r="AH249" s="873"/>
      <c r="AI249" s="839">
        <f t="shared" si="13"/>
        <v>0</v>
      </c>
      <c r="AJ249" s="777">
        <v>0</v>
      </c>
      <c r="AK249" s="778">
        <f t="shared" si="11"/>
        <v>0</v>
      </c>
      <c r="AL249" s="901"/>
      <c r="AM249" s="781">
        <f t="shared" si="12"/>
        <v>0</v>
      </c>
    </row>
    <row r="250" spans="1:39" s="782" customFormat="1" hidden="1">
      <c r="A250" s="772" t="s">
        <v>748</v>
      </c>
      <c r="B250" s="772" t="s">
        <v>1202</v>
      </c>
      <c r="C250" s="877" t="s">
        <v>37</v>
      </c>
      <c r="D250" s="795"/>
      <c r="E250" s="981"/>
      <c r="F250" s="778"/>
      <c r="G250" s="778"/>
      <c r="H250" s="778"/>
      <c r="I250" s="777"/>
      <c r="J250" s="777"/>
      <c r="K250" s="777"/>
      <c r="L250" s="989"/>
      <c r="M250" s="809"/>
      <c r="N250" s="809"/>
      <c r="O250" s="809"/>
      <c r="P250" s="809"/>
      <c r="Q250" s="809"/>
      <c r="R250" s="809"/>
      <c r="S250" s="989"/>
      <c r="T250" s="809"/>
      <c r="U250" s="809"/>
      <c r="V250" s="809"/>
      <c r="W250" s="809"/>
      <c r="X250" s="809"/>
      <c r="Y250" s="809"/>
      <c r="Z250" s="989"/>
      <c r="AA250" s="809"/>
      <c r="AB250" s="809"/>
      <c r="AC250" s="809"/>
      <c r="AD250" s="809"/>
      <c r="AE250" s="827"/>
      <c r="AF250" s="809"/>
      <c r="AG250" s="960"/>
      <c r="AH250" s="873"/>
      <c r="AI250" s="839">
        <f t="shared" si="13"/>
        <v>0</v>
      </c>
      <c r="AJ250" s="777">
        <v>0</v>
      </c>
      <c r="AK250" s="778">
        <f t="shared" si="11"/>
        <v>0</v>
      </c>
      <c r="AL250" s="901" t="s">
        <v>1581</v>
      </c>
      <c r="AM250" s="781">
        <f t="shared" si="12"/>
        <v>36</v>
      </c>
    </row>
    <row r="251" spans="1:39" s="782" customFormat="1">
      <c r="A251" s="868" t="s">
        <v>749</v>
      </c>
      <c r="B251" s="869" t="s">
        <v>1203</v>
      </c>
      <c r="C251" s="898"/>
      <c r="D251" s="795"/>
      <c r="E251" s="981"/>
      <c r="F251" s="778"/>
      <c r="G251" s="778"/>
      <c r="H251" s="778"/>
      <c r="I251" s="777"/>
      <c r="J251" s="777"/>
      <c r="K251" s="777"/>
      <c r="L251" s="989"/>
      <c r="M251" s="809"/>
      <c r="N251" s="809"/>
      <c r="O251" s="809"/>
      <c r="P251" s="809"/>
      <c r="Q251" s="809"/>
      <c r="R251" s="809"/>
      <c r="S251" s="989"/>
      <c r="T251" s="809"/>
      <c r="U251" s="809"/>
      <c r="V251" s="809"/>
      <c r="W251" s="809"/>
      <c r="X251" s="809"/>
      <c r="Y251" s="809"/>
      <c r="Z251" s="989"/>
      <c r="AA251" s="809"/>
      <c r="AB251" s="809"/>
      <c r="AC251" s="809"/>
      <c r="AD251" s="809"/>
      <c r="AE251" s="827"/>
      <c r="AF251" s="809"/>
      <c r="AG251" s="960"/>
      <c r="AH251" s="873"/>
      <c r="AI251" s="839">
        <f t="shared" si="13"/>
        <v>0</v>
      </c>
      <c r="AJ251" s="777">
        <v>0</v>
      </c>
      <c r="AK251" s="778">
        <f t="shared" si="11"/>
        <v>0</v>
      </c>
      <c r="AL251" s="901"/>
      <c r="AM251" s="781">
        <f t="shared" si="12"/>
        <v>0</v>
      </c>
    </row>
    <row r="252" spans="1:39" s="782" customFormat="1" hidden="1">
      <c r="A252" s="885" t="s">
        <v>750</v>
      </c>
      <c r="B252" s="885" t="s">
        <v>45</v>
      </c>
      <c r="C252" s="898"/>
      <c r="D252" s="795"/>
      <c r="E252" s="981"/>
      <c r="F252" s="778"/>
      <c r="G252" s="778"/>
      <c r="H252" s="778"/>
      <c r="I252" s="777"/>
      <c r="J252" s="777"/>
      <c r="K252" s="777"/>
      <c r="L252" s="989"/>
      <c r="M252" s="809"/>
      <c r="N252" s="809"/>
      <c r="O252" s="809"/>
      <c r="P252" s="809"/>
      <c r="Q252" s="809"/>
      <c r="R252" s="809"/>
      <c r="S252" s="989"/>
      <c r="T252" s="809"/>
      <c r="U252" s="809"/>
      <c r="V252" s="809"/>
      <c r="W252" s="809"/>
      <c r="X252" s="809"/>
      <c r="Y252" s="809"/>
      <c r="Z252" s="989"/>
      <c r="AA252" s="809"/>
      <c r="AB252" s="809"/>
      <c r="AC252" s="809"/>
      <c r="AD252" s="809"/>
      <c r="AE252" s="827"/>
      <c r="AF252" s="809"/>
      <c r="AG252" s="960"/>
      <c r="AH252" s="873"/>
      <c r="AI252" s="839">
        <f t="shared" si="13"/>
        <v>0</v>
      </c>
      <c r="AJ252" s="777">
        <v>0</v>
      </c>
      <c r="AK252" s="778">
        <f t="shared" si="11"/>
        <v>0</v>
      </c>
      <c r="AL252" s="901"/>
      <c r="AM252" s="781">
        <f t="shared" si="12"/>
        <v>0</v>
      </c>
    </row>
    <row r="253" spans="1:39" s="782" customFormat="1" hidden="1">
      <c r="A253" s="772" t="s">
        <v>751</v>
      </c>
      <c r="B253" s="772" t="s">
        <v>1198</v>
      </c>
      <c r="C253" s="877" t="s">
        <v>39</v>
      </c>
      <c r="D253" s="795"/>
      <c r="E253" s="981"/>
      <c r="F253" s="778"/>
      <c r="G253" s="778"/>
      <c r="H253" s="778"/>
      <c r="I253" s="777"/>
      <c r="J253" s="777"/>
      <c r="K253" s="777"/>
      <c r="L253" s="989"/>
      <c r="M253" s="809"/>
      <c r="N253" s="809"/>
      <c r="O253" s="809"/>
      <c r="P253" s="809"/>
      <c r="Q253" s="809"/>
      <c r="R253" s="809"/>
      <c r="S253" s="989"/>
      <c r="T253" s="809"/>
      <c r="U253" s="809"/>
      <c r="V253" s="809"/>
      <c r="W253" s="809"/>
      <c r="X253" s="809"/>
      <c r="Y253" s="809"/>
      <c r="Z253" s="989"/>
      <c r="AA253" s="809"/>
      <c r="AB253" s="809"/>
      <c r="AC253" s="809"/>
      <c r="AD253" s="809"/>
      <c r="AE253" s="827"/>
      <c r="AF253" s="809"/>
      <c r="AG253" s="960"/>
      <c r="AH253" s="873"/>
      <c r="AI253" s="839">
        <f t="shared" si="13"/>
        <v>0</v>
      </c>
      <c r="AJ253" s="777">
        <v>0</v>
      </c>
      <c r="AK253" s="778">
        <f t="shared" si="11"/>
        <v>0</v>
      </c>
      <c r="AL253" s="901" t="s">
        <v>1582</v>
      </c>
      <c r="AM253" s="781">
        <f t="shared" si="12"/>
        <v>441.64</v>
      </c>
    </row>
    <row r="254" spans="1:39" s="782" customFormat="1" hidden="1">
      <c r="A254" s="772" t="s">
        <v>752</v>
      </c>
      <c r="B254" s="772" t="s">
        <v>1147</v>
      </c>
      <c r="C254" s="877" t="s">
        <v>39</v>
      </c>
      <c r="D254" s="795"/>
      <c r="E254" s="981"/>
      <c r="F254" s="778"/>
      <c r="G254" s="778"/>
      <c r="H254" s="778"/>
      <c r="I254" s="777"/>
      <c r="J254" s="777"/>
      <c r="K254" s="777"/>
      <c r="L254" s="989"/>
      <c r="M254" s="809"/>
      <c r="N254" s="809"/>
      <c r="O254" s="809"/>
      <c r="P254" s="809"/>
      <c r="Q254" s="809"/>
      <c r="R254" s="809"/>
      <c r="S254" s="989"/>
      <c r="T254" s="809"/>
      <c r="U254" s="809"/>
      <c r="V254" s="809"/>
      <c r="W254" s="809"/>
      <c r="X254" s="809"/>
      <c r="Y254" s="809"/>
      <c r="Z254" s="989"/>
      <c r="AA254" s="809"/>
      <c r="AB254" s="809"/>
      <c r="AC254" s="809"/>
      <c r="AD254" s="809"/>
      <c r="AE254" s="827"/>
      <c r="AF254" s="809"/>
      <c r="AG254" s="960"/>
      <c r="AH254" s="873"/>
      <c r="AI254" s="839">
        <f t="shared" si="13"/>
        <v>0</v>
      </c>
      <c r="AJ254" s="777">
        <v>0</v>
      </c>
      <c r="AK254" s="778">
        <f t="shared" si="11"/>
        <v>0</v>
      </c>
      <c r="AL254" s="901" t="s">
        <v>1583</v>
      </c>
      <c r="AM254" s="781">
        <f t="shared" si="12"/>
        <v>574.13</v>
      </c>
    </row>
    <row r="255" spans="1:39" s="782" customFormat="1">
      <c r="A255" s="885" t="s">
        <v>753</v>
      </c>
      <c r="B255" s="885" t="s">
        <v>1204</v>
      </c>
      <c r="C255" s="898"/>
      <c r="D255" s="795"/>
      <c r="E255" s="981"/>
      <c r="F255" s="778"/>
      <c r="G255" s="778"/>
      <c r="H255" s="778"/>
      <c r="I255" s="777"/>
      <c r="J255" s="777"/>
      <c r="K255" s="777"/>
      <c r="L255" s="989"/>
      <c r="M255" s="809"/>
      <c r="N255" s="809"/>
      <c r="O255" s="809"/>
      <c r="P255" s="809"/>
      <c r="Q255" s="809"/>
      <c r="R255" s="809"/>
      <c r="S255" s="989"/>
      <c r="T255" s="809"/>
      <c r="U255" s="809"/>
      <c r="V255" s="809"/>
      <c r="W255" s="809"/>
      <c r="X255" s="809"/>
      <c r="Y255" s="809"/>
      <c r="Z255" s="989"/>
      <c r="AA255" s="809"/>
      <c r="AB255" s="809"/>
      <c r="AC255" s="809"/>
      <c r="AD255" s="809"/>
      <c r="AE255" s="827"/>
      <c r="AF255" s="809"/>
      <c r="AG255" s="960"/>
      <c r="AH255" s="873"/>
      <c r="AI255" s="839">
        <f t="shared" si="13"/>
        <v>0</v>
      </c>
      <c r="AJ255" s="777">
        <v>0</v>
      </c>
      <c r="AK255" s="778">
        <f t="shared" si="11"/>
        <v>0</v>
      </c>
      <c r="AL255" s="901"/>
      <c r="AM255" s="781">
        <f t="shared" si="12"/>
        <v>0</v>
      </c>
    </row>
    <row r="256" spans="1:39" s="782" customFormat="1">
      <c r="A256" s="772" t="s">
        <v>754</v>
      </c>
      <c r="B256" s="772" t="s">
        <v>1205</v>
      </c>
      <c r="C256" s="877" t="s">
        <v>39</v>
      </c>
      <c r="D256" s="795"/>
      <c r="E256" s="981"/>
      <c r="F256" s="778"/>
      <c r="G256" s="778"/>
      <c r="H256" s="778"/>
      <c r="I256" s="777"/>
      <c r="J256" s="777"/>
      <c r="K256" s="777"/>
      <c r="L256" s="989"/>
      <c r="M256" s="809"/>
      <c r="N256" s="809"/>
      <c r="O256" s="809"/>
      <c r="P256" s="809"/>
      <c r="Q256" s="809"/>
      <c r="R256" s="809"/>
      <c r="S256" s="989"/>
      <c r="T256" s="809"/>
      <c r="U256" s="809"/>
      <c r="V256" s="809"/>
      <c r="W256" s="809"/>
      <c r="X256" s="809"/>
      <c r="Y256" s="809"/>
      <c r="Z256" s="989"/>
      <c r="AA256" s="809"/>
      <c r="AB256" s="945">
        <f>5.95*1.1*0.5+1.1*0.5*3.25</f>
        <v>5.0600000000000005</v>
      </c>
      <c r="AC256" s="809"/>
      <c r="AD256" s="945">
        <f>5.95*3.3*0.2+3.25*2.5*0.2</f>
        <v>5.5519999999999996</v>
      </c>
      <c r="AE256" s="827"/>
      <c r="AF256" s="809"/>
      <c r="AG256" s="960"/>
      <c r="AH256" s="873"/>
      <c r="AI256" s="839">
        <f t="shared" si="13"/>
        <v>10.61</v>
      </c>
      <c r="AJ256" s="777">
        <v>0</v>
      </c>
      <c r="AK256" s="778">
        <f t="shared" si="11"/>
        <v>10.61</v>
      </c>
      <c r="AL256" s="901" t="s">
        <v>1584</v>
      </c>
      <c r="AM256" s="781">
        <f t="shared" si="12"/>
        <v>193.39999999999998</v>
      </c>
    </row>
    <row r="257" spans="1:39" s="782" customFormat="1">
      <c r="A257" s="772" t="s">
        <v>755</v>
      </c>
      <c r="B257" s="772" t="s">
        <v>1206</v>
      </c>
      <c r="C257" s="877" t="s">
        <v>36</v>
      </c>
      <c r="D257" s="795"/>
      <c r="E257" s="981"/>
      <c r="F257" s="778"/>
      <c r="G257" s="778"/>
      <c r="H257" s="778"/>
      <c r="I257" s="777"/>
      <c r="J257" s="777"/>
      <c r="K257" s="777"/>
      <c r="L257" s="989"/>
      <c r="M257" s="809"/>
      <c r="N257" s="809"/>
      <c r="O257" s="809"/>
      <c r="P257" s="809"/>
      <c r="Q257" s="809"/>
      <c r="R257" s="809"/>
      <c r="S257" s="989"/>
      <c r="T257" s="809"/>
      <c r="U257" s="809"/>
      <c r="V257" s="809"/>
      <c r="W257" s="809"/>
      <c r="X257" s="809"/>
      <c r="Y257" s="809"/>
      <c r="Z257" s="989"/>
      <c r="AA257" s="945">
        <f>9.2*2*0.5</f>
        <v>9.1999999999999993</v>
      </c>
      <c r="AB257" s="809"/>
      <c r="AC257" s="945">
        <f>3.25*2*1.9+2.68*2*2.5+3.27*2*3.3</f>
        <v>47.331999999999994</v>
      </c>
      <c r="AD257" s="809"/>
      <c r="AE257" s="827"/>
      <c r="AF257" s="809"/>
      <c r="AG257" s="960"/>
      <c r="AH257" s="873"/>
      <c r="AI257" s="839">
        <f t="shared" si="13"/>
        <v>56.53</v>
      </c>
      <c r="AJ257" s="777">
        <v>0</v>
      </c>
      <c r="AK257" s="778">
        <f t="shared" si="11"/>
        <v>56.53</v>
      </c>
      <c r="AL257" s="901" t="s">
        <v>1585</v>
      </c>
      <c r="AM257" s="781">
        <f t="shared" si="12"/>
        <v>493.91000000000008</v>
      </c>
    </row>
    <row r="258" spans="1:39" s="782" customFormat="1">
      <c r="A258" s="772" t="s">
        <v>756</v>
      </c>
      <c r="B258" s="772" t="s">
        <v>1207</v>
      </c>
      <c r="C258" s="877" t="s">
        <v>47</v>
      </c>
      <c r="D258" s="795"/>
      <c r="E258" s="981"/>
      <c r="F258" s="778"/>
      <c r="G258" s="778"/>
      <c r="H258" s="778"/>
      <c r="I258" s="777"/>
      <c r="J258" s="777"/>
      <c r="K258" s="777"/>
      <c r="L258" s="991"/>
      <c r="M258" s="797"/>
      <c r="N258" s="797"/>
      <c r="O258" s="797"/>
      <c r="P258" s="797"/>
      <c r="Q258" s="797"/>
      <c r="R258" s="797"/>
      <c r="S258" s="991"/>
      <c r="T258" s="797"/>
      <c r="U258" s="797"/>
      <c r="V258" s="797"/>
      <c r="W258" s="797"/>
      <c r="X258" s="797"/>
      <c r="Y258" s="797"/>
      <c r="Z258" s="991">
        <f>101+101</f>
        <v>202</v>
      </c>
      <c r="AA258" s="797"/>
      <c r="AB258" s="945">
        <v>388</v>
      </c>
      <c r="AC258" s="797"/>
      <c r="AD258" s="797"/>
      <c r="AE258" s="945"/>
      <c r="AF258" s="797"/>
      <c r="AG258" s="962"/>
      <c r="AH258" s="899"/>
      <c r="AI258" s="839">
        <f t="shared" si="13"/>
        <v>590</v>
      </c>
      <c r="AJ258" s="777">
        <v>0</v>
      </c>
      <c r="AK258" s="778">
        <f t="shared" si="11"/>
        <v>590</v>
      </c>
      <c r="AL258" s="901" t="s">
        <v>1586</v>
      </c>
      <c r="AM258" s="781">
        <f t="shared" si="12"/>
        <v>14858.74</v>
      </c>
    </row>
    <row r="259" spans="1:39" s="782" customFormat="1" hidden="1">
      <c r="A259" s="885" t="s">
        <v>757</v>
      </c>
      <c r="B259" s="885" t="s">
        <v>1186</v>
      </c>
      <c r="C259" s="898"/>
      <c r="D259" s="795"/>
      <c r="E259" s="981"/>
      <c r="F259" s="778"/>
      <c r="G259" s="778"/>
      <c r="H259" s="778"/>
      <c r="I259" s="777"/>
      <c r="J259" s="777"/>
      <c r="K259" s="777"/>
      <c r="L259" s="989"/>
      <c r="M259" s="809"/>
      <c r="N259" s="809"/>
      <c r="O259" s="809"/>
      <c r="P259" s="809"/>
      <c r="Q259" s="809"/>
      <c r="R259" s="809"/>
      <c r="S259" s="989"/>
      <c r="T259" s="809"/>
      <c r="U259" s="809"/>
      <c r="V259" s="809"/>
      <c r="W259" s="809"/>
      <c r="X259" s="809"/>
      <c r="Y259" s="809"/>
      <c r="Z259" s="989"/>
      <c r="AA259" s="809"/>
      <c r="AB259" s="809"/>
      <c r="AC259" s="809"/>
      <c r="AD259" s="809"/>
      <c r="AE259" s="827"/>
      <c r="AF259" s="809"/>
      <c r="AG259" s="960"/>
      <c r="AH259" s="873"/>
      <c r="AI259" s="839">
        <f t="shared" si="13"/>
        <v>0</v>
      </c>
      <c r="AJ259" s="777">
        <v>0</v>
      </c>
      <c r="AK259" s="778">
        <f t="shared" si="11"/>
        <v>0</v>
      </c>
      <c r="AL259" s="901"/>
      <c r="AM259" s="781">
        <f t="shared" si="12"/>
        <v>0</v>
      </c>
    </row>
    <row r="260" spans="1:39" s="782" customFormat="1" hidden="1">
      <c r="A260" s="772" t="s">
        <v>758</v>
      </c>
      <c r="B260" s="772" t="s">
        <v>1208</v>
      </c>
      <c r="C260" s="877" t="s">
        <v>37</v>
      </c>
      <c r="D260" s="795"/>
      <c r="E260" s="981"/>
      <c r="F260" s="778"/>
      <c r="G260" s="778"/>
      <c r="H260" s="778"/>
      <c r="I260" s="777"/>
      <c r="J260" s="777"/>
      <c r="K260" s="777"/>
      <c r="L260" s="989"/>
      <c r="M260" s="809"/>
      <c r="N260" s="809"/>
      <c r="O260" s="809"/>
      <c r="P260" s="809"/>
      <c r="Q260" s="809"/>
      <c r="R260" s="809"/>
      <c r="S260" s="989"/>
      <c r="T260" s="809"/>
      <c r="U260" s="809"/>
      <c r="V260" s="809"/>
      <c r="W260" s="809"/>
      <c r="X260" s="809"/>
      <c r="Y260" s="809"/>
      <c r="Z260" s="989"/>
      <c r="AA260" s="809"/>
      <c r="AB260" s="809"/>
      <c r="AC260" s="809"/>
      <c r="AD260" s="809"/>
      <c r="AE260" s="827"/>
      <c r="AF260" s="809"/>
      <c r="AG260" s="960"/>
      <c r="AH260" s="873"/>
      <c r="AI260" s="839">
        <f t="shared" si="13"/>
        <v>0</v>
      </c>
      <c r="AJ260" s="777">
        <v>0</v>
      </c>
      <c r="AK260" s="778">
        <f t="shared" si="11"/>
        <v>0</v>
      </c>
      <c r="AL260" s="901" t="s">
        <v>1587</v>
      </c>
      <c r="AM260" s="781">
        <f t="shared" si="12"/>
        <v>111.93</v>
      </c>
    </row>
    <row r="261" spans="1:39" s="782" customFormat="1" hidden="1">
      <c r="A261" s="772" t="s">
        <v>759</v>
      </c>
      <c r="B261" s="772" t="s">
        <v>224</v>
      </c>
      <c r="C261" s="877" t="s">
        <v>1436</v>
      </c>
      <c r="D261" s="795"/>
      <c r="E261" s="981"/>
      <c r="F261" s="778"/>
      <c r="G261" s="778"/>
      <c r="H261" s="778"/>
      <c r="I261" s="777"/>
      <c r="J261" s="777"/>
      <c r="K261" s="777"/>
      <c r="L261" s="989"/>
      <c r="M261" s="809"/>
      <c r="N261" s="809"/>
      <c r="O261" s="809"/>
      <c r="P261" s="809"/>
      <c r="Q261" s="809"/>
      <c r="R261" s="809"/>
      <c r="S261" s="989"/>
      <c r="T261" s="809"/>
      <c r="U261" s="809"/>
      <c r="V261" s="809"/>
      <c r="W261" s="809"/>
      <c r="X261" s="809"/>
      <c r="Y261" s="809"/>
      <c r="Z261" s="989"/>
      <c r="AA261" s="809"/>
      <c r="AB261" s="809"/>
      <c r="AC261" s="809"/>
      <c r="AD261" s="809"/>
      <c r="AE261" s="827"/>
      <c r="AF261" s="809"/>
      <c r="AG261" s="960"/>
      <c r="AH261" s="873"/>
      <c r="AI261" s="839">
        <f t="shared" si="13"/>
        <v>0</v>
      </c>
      <c r="AJ261" s="777">
        <v>0</v>
      </c>
      <c r="AK261" s="778">
        <f t="shared" si="11"/>
        <v>0</v>
      </c>
      <c r="AL261" s="901" t="s">
        <v>1588</v>
      </c>
      <c r="AM261" s="781">
        <f t="shared" si="12"/>
        <v>24</v>
      </c>
    </row>
    <row r="262" spans="1:39" s="782" customFormat="1">
      <c r="A262" s="868" t="s">
        <v>760</v>
      </c>
      <c r="B262" s="869" t="s">
        <v>1209</v>
      </c>
      <c r="C262" s="898"/>
      <c r="D262" s="795"/>
      <c r="E262" s="981"/>
      <c r="F262" s="778"/>
      <c r="G262" s="778"/>
      <c r="H262" s="778"/>
      <c r="I262" s="777"/>
      <c r="J262" s="777"/>
      <c r="K262" s="777"/>
      <c r="L262" s="989"/>
      <c r="M262" s="809"/>
      <c r="N262" s="809"/>
      <c r="O262" s="809"/>
      <c r="P262" s="809"/>
      <c r="Q262" s="809"/>
      <c r="R262" s="809"/>
      <c r="S262" s="989"/>
      <c r="T262" s="809"/>
      <c r="U262" s="809"/>
      <c r="V262" s="809"/>
      <c r="W262" s="809"/>
      <c r="X262" s="809"/>
      <c r="Y262" s="809"/>
      <c r="Z262" s="989"/>
      <c r="AA262" s="809"/>
      <c r="AB262" s="809"/>
      <c r="AC262" s="809"/>
      <c r="AD262" s="809"/>
      <c r="AE262" s="827"/>
      <c r="AF262" s="809"/>
      <c r="AG262" s="960"/>
      <c r="AH262" s="873"/>
      <c r="AI262" s="839">
        <f t="shared" si="13"/>
        <v>0</v>
      </c>
      <c r="AJ262" s="777">
        <v>0</v>
      </c>
      <c r="AK262" s="778">
        <f t="shared" si="11"/>
        <v>0</v>
      </c>
      <c r="AL262" s="901"/>
      <c r="AM262" s="781">
        <f t="shared" si="12"/>
        <v>0</v>
      </c>
    </row>
    <row r="263" spans="1:39" s="782" customFormat="1" hidden="1">
      <c r="A263" s="885" t="s">
        <v>761</v>
      </c>
      <c r="B263" s="885" t="s">
        <v>45</v>
      </c>
      <c r="C263" s="898"/>
      <c r="D263" s="795"/>
      <c r="E263" s="981"/>
      <c r="F263" s="778"/>
      <c r="G263" s="778"/>
      <c r="H263" s="778"/>
      <c r="I263" s="777"/>
      <c r="J263" s="777"/>
      <c r="K263" s="777"/>
      <c r="L263" s="989"/>
      <c r="M263" s="809"/>
      <c r="N263" s="809"/>
      <c r="O263" s="809"/>
      <c r="P263" s="809"/>
      <c r="Q263" s="809"/>
      <c r="R263" s="809"/>
      <c r="S263" s="989"/>
      <c r="T263" s="809"/>
      <c r="U263" s="809"/>
      <c r="V263" s="809"/>
      <c r="W263" s="809"/>
      <c r="X263" s="809"/>
      <c r="Y263" s="809"/>
      <c r="Z263" s="989"/>
      <c r="AA263" s="809"/>
      <c r="AB263" s="809"/>
      <c r="AC263" s="809"/>
      <c r="AD263" s="809"/>
      <c r="AE263" s="827"/>
      <c r="AF263" s="809"/>
      <c r="AG263" s="960"/>
      <c r="AH263" s="873"/>
      <c r="AI263" s="839">
        <f t="shared" si="13"/>
        <v>0</v>
      </c>
      <c r="AJ263" s="777">
        <v>0</v>
      </c>
      <c r="AK263" s="778">
        <f t="shared" si="11"/>
        <v>0</v>
      </c>
      <c r="AL263" s="901"/>
      <c r="AM263" s="781">
        <f t="shared" si="12"/>
        <v>0</v>
      </c>
    </row>
    <row r="264" spans="1:39" s="782" customFormat="1" hidden="1">
      <c r="A264" s="772" t="s">
        <v>762</v>
      </c>
      <c r="B264" s="772" t="s">
        <v>1198</v>
      </c>
      <c r="C264" s="877" t="s">
        <v>39</v>
      </c>
      <c r="D264" s="795"/>
      <c r="E264" s="981"/>
      <c r="F264" s="778"/>
      <c r="G264" s="778"/>
      <c r="H264" s="778"/>
      <c r="I264" s="777"/>
      <c r="J264" s="777"/>
      <c r="K264" s="777"/>
      <c r="L264" s="989"/>
      <c r="M264" s="809"/>
      <c r="N264" s="809"/>
      <c r="O264" s="809"/>
      <c r="P264" s="809"/>
      <c r="Q264" s="809"/>
      <c r="R264" s="809"/>
      <c r="S264" s="989"/>
      <c r="T264" s="809"/>
      <c r="U264" s="809"/>
      <c r="V264" s="809"/>
      <c r="W264" s="809"/>
      <c r="X264" s="809"/>
      <c r="Y264" s="809"/>
      <c r="Z264" s="989"/>
      <c r="AA264" s="809"/>
      <c r="AB264" s="809"/>
      <c r="AC264" s="809"/>
      <c r="AD264" s="809"/>
      <c r="AE264" s="827"/>
      <c r="AF264" s="809"/>
      <c r="AG264" s="960"/>
      <c r="AH264" s="873"/>
      <c r="AI264" s="839">
        <f t="shared" si="13"/>
        <v>0</v>
      </c>
      <c r="AJ264" s="777">
        <v>0</v>
      </c>
      <c r="AK264" s="778">
        <f t="shared" si="11"/>
        <v>0</v>
      </c>
      <c r="AL264" s="901" t="s">
        <v>1589</v>
      </c>
      <c r="AM264" s="781">
        <f t="shared" si="12"/>
        <v>95.88</v>
      </c>
    </row>
    <row r="265" spans="1:39" s="782" customFormat="1" hidden="1">
      <c r="A265" s="772" t="s">
        <v>763</v>
      </c>
      <c r="B265" s="772" t="s">
        <v>1147</v>
      </c>
      <c r="C265" s="877" t="s">
        <v>39</v>
      </c>
      <c r="D265" s="795"/>
      <c r="E265" s="981"/>
      <c r="F265" s="778"/>
      <c r="G265" s="778"/>
      <c r="H265" s="778"/>
      <c r="I265" s="777"/>
      <c r="J265" s="777"/>
      <c r="K265" s="777"/>
      <c r="L265" s="989"/>
      <c r="M265" s="809"/>
      <c r="N265" s="809"/>
      <c r="O265" s="809"/>
      <c r="P265" s="809"/>
      <c r="Q265" s="809"/>
      <c r="R265" s="809"/>
      <c r="S265" s="989"/>
      <c r="T265" s="809"/>
      <c r="U265" s="809"/>
      <c r="V265" s="809"/>
      <c r="W265" s="809"/>
      <c r="X265" s="809"/>
      <c r="Y265" s="809"/>
      <c r="Z265" s="989"/>
      <c r="AA265" s="809"/>
      <c r="AB265" s="809"/>
      <c r="AC265" s="809"/>
      <c r="AD265" s="809"/>
      <c r="AE265" s="827"/>
      <c r="AF265" s="809"/>
      <c r="AG265" s="960"/>
      <c r="AH265" s="873"/>
      <c r="AI265" s="839">
        <f t="shared" si="13"/>
        <v>0</v>
      </c>
      <c r="AJ265" s="777">
        <v>0</v>
      </c>
      <c r="AK265" s="778">
        <f t="shared" si="11"/>
        <v>0</v>
      </c>
      <c r="AL265" s="901" t="s">
        <v>1590</v>
      </c>
      <c r="AM265" s="781">
        <f t="shared" si="12"/>
        <v>124.65</v>
      </c>
    </row>
    <row r="266" spans="1:39" s="782" customFormat="1">
      <c r="A266" s="885" t="s">
        <v>764</v>
      </c>
      <c r="B266" s="885" t="s">
        <v>1148</v>
      </c>
      <c r="C266" s="898"/>
      <c r="D266" s="795"/>
      <c r="E266" s="981"/>
      <c r="F266" s="778"/>
      <c r="G266" s="778"/>
      <c r="H266" s="778"/>
      <c r="I266" s="777"/>
      <c r="J266" s="777"/>
      <c r="K266" s="777"/>
      <c r="L266" s="989"/>
      <c r="M266" s="828"/>
      <c r="N266" s="828"/>
      <c r="O266" s="828"/>
      <c r="P266" s="828"/>
      <c r="Q266" s="828"/>
      <c r="R266" s="828"/>
      <c r="S266" s="994"/>
      <c r="T266" s="809"/>
      <c r="U266" s="809"/>
      <c r="V266" s="809"/>
      <c r="W266" s="809"/>
      <c r="X266" s="809"/>
      <c r="Y266" s="809"/>
      <c r="Z266" s="989"/>
      <c r="AA266" s="809"/>
      <c r="AB266" s="809"/>
      <c r="AC266" s="809"/>
      <c r="AD266" s="809"/>
      <c r="AE266" s="827"/>
      <c r="AF266" s="809"/>
      <c r="AG266" s="960"/>
      <c r="AH266" s="873"/>
      <c r="AI266" s="839">
        <f t="shared" si="13"/>
        <v>0</v>
      </c>
      <c r="AJ266" s="777">
        <v>0</v>
      </c>
      <c r="AK266" s="778">
        <f t="shared" si="11"/>
        <v>0</v>
      </c>
      <c r="AL266" s="901"/>
      <c r="AM266" s="781">
        <f t="shared" si="12"/>
        <v>0</v>
      </c>
    </row>
    <row r="267" spans="1:39" s="782" customFormat="1">
      <c r="A267" s="772" t="s">
        <v>765</v>
      </c>
      <c r="B267" s="772" t="s">
        <v>1190</v>
      </c>
      <c r="C267" s="877" t="s">
        <v>39</v>
      </c>
      <c r="D267" s="795"/>
      <c r="E267" s="981"/>
      <c r="F267" s="778"/>
      <c r="G267" s="778"/>
      <c r="H267" s="778"/>
      <c r="I267" s="777"/>
      <c r="J267" s="777"/>
      <c r="K267" s="777"/>
      <c r="L267" s="989"/>
      <c r="M267" s="945">
        <f>9.2*0.4*1.35</f>
        <v>4.968</v>
      </c>
      <c r="N267" s="809"/>
      <c r="O267" s="945">
        <f>9.3*0.4*1.35</f>
        <v>5.0220000000000011</v>
      </c>
      <c r="P267" s="945">
        <f>(((0.25+0.6)/2)*1.4)*9.25</f>
        <v>5.5037500000000001</v>
      </c>
      <c r="Q267" s="809"/>
      <c r="R267" s="945">
        <f>(((0.25+0.6)/2)*1.4)*9.25+6.22*0.2*1.35</f>
        <v>7.1831500000000004</v>
      </c>
      <c r="S267" s="989"/>
      <c r="T267" s="945">
        <f>6.22*0.2*1.35</f>
        <v>1.6794</v>
      </c>
      <c r="U267" s="945">
        <f>(((0.25+0.6)/2)*1.4)*6.22+7.51*0.4*1.35</f>
        <v>7.7563000000000004</v>
      </c>
      <c r="V267" s="809"/>
      <c r="X267" s="945">
        <f>7.51*(((0.25+0.6)/2)*1.4)</f>
        <v>4.4684499999999998</v>
      </c>
      <c r="Y267" s="809"/>
      <c r="Z267" s="989"/>
      <c r="AA267" s="809"/>
      <c r="AB267" s="809"/>
      <c r="AC267" s="809"/>
      <c r="AD267" s="809"/>
      <c r="AE267" s="827"/>
      <c r="AF267" s="809"/>
      <c r="AG267" s="960"/>
      <c r="AH267" s="873"/>
      <c r="AI267" s="839">
        <f t="shared" si="13"/>
        <v>36.58</v>
      </c>
      <c r="AJ267" s="777">
        <v>0</v>
      </c>
      <c r="AK267" s="778">
        <f t="shared" si="11"/>
        <v>36.58</v>
      </c>
      <c r="AL267" s="901" t="s">
        <v>1591</v>
      </c>
      <c r="AM267" s="781">
        <f t="shared" si="12"/>
        <v>45.09</v>
      </c>
    </row>
    <row r="268" spans="1:39" s="782" customFormat="1" ht="13.8" thickBot="1">
      <c r="A268" s="772" t="s">
        <v>766</v>
      </c>
      <c r="B268" s="772" t="s">
        <v>1210</v>
      </c>
      <c r="C268" s="877" t="s">
        <v>36</v>
      </c>
      <c r="D268" s="795"/>
      <c r="E268" s="981"/>
      <c r="F268" s="778"/>
      <c r="G268" s="778"/>
      <c r="H268" s="778"/>
      <c r="I268" s="777"/>
      <c r="J268" s="777"/>
      <c r="K268" s="777"/>
      <c r="L268" s="989"/>
      <c r="M268" s="826">
        <f>9.2*2*0.4</f>
        <v>7.3599999999999994</v>
      </c>
      <c r="O268" s="826">
        <f>1.4*9.3+1.43*9.3+9.3*2*0.4</f>
        <v>33.759</v>
      </c>
      <c r="P268" s="803"/>
      <c r="Q268" s="948">
        <f>9.3*(1.4325+1.4)+6.22*2*0.4</f>
        <v>31.318250000000003</v>
      </c>
      <c r="R268" s="777"/>
      <c r="S268" s="992"/>
      <c r="T268" s="803"/>
      <c r="U268" s="803"/>
      <c r="V268" s="803"/>
      <c r="W268" s="826">
        <f>7.51*1.43+1.4*7.51</f>
        <v>21.253299999999999</v>
      </c>
      <c r="X268" s="809"/>
      <c r="Y268" s="809"/>
      <c r="Z268" s="989"/>
      <c r="AA268" s="809"/>
      <c r="AB268" s="809"/>
      <c r="AC268" s="809"/>
      <c r="AD268" s="809"/>
      <c r="AE268" s="827"/>
      <c r="AF268" s="809"/>
      <c r="AG268" s="960"/>
      <c r="AH268" s="873"/>
      <c r="AI268" s="839">
        <f t="shared" si="13"/>
        <v>93.69</v>
      </c>
      <c r="AJ268" s="777">
        <v>0</v>
      </c>
      <c r="AK268" s="778">
        <f t="shared" si="11"/>
        <v>93.69</v>
      </c>
      <c r="AL268" s="901" t="s">
        <v>1592</v>
      </c>
      <c r="AM268" s="781">
        <f t="shared" si="12"/>
        <v>127.68</v>
      </c>
    </row>
    <row r="269" spans="1:39" s="560" customFormat="1" hidden="1">
      <c r="A269" s="492" t="s">
        <v>767</v>
      </c>
      <c r="B269" s="608" t="s">
        <v>1211</v>
      </c>
      <c r="C269" s="690"/>
      <c r="D269" s="580"/>
      <c r="E269" s="981"/>
      <c r="F269" s="581"/>
      <c r="G269" s="581"/>
      <c r="H269" s="581"/>
      <c r="I269" s="949"/>
      <c r="J269" s="949"/>
      <c r="K269" s="949"/>
      <c r="L269" s="989"/>
      <c r="M269" s="575"/>
      <c r="N269" s="575"/>
      <c r="O269" s="575"/>
      <c r="P269" s="575"/>
      <c r="Q269" s="575"/>
      <c r="R269" s="575"/>
      <c r="S269" s="989"/>
      <c r="T269" s="575"/>
      <c r="U269" s="575"/>
      <c r="V269" s="575"/>
      <c r="W269" s="575"/>
      <c r="X269" s="575"/>
      <c r="Y269" s="575"/>
      <c r="Z269" s="989"/>
      <c r="AA269" s="575"/>
      <c r="AB269" s="575"/>
      <c r="AC269" s="575"/>
      <c r="AD269" s="575"/>
      <c r="AE269" s="827"/>
      <c r="AF269" s="575"/>
      <c r="AG269" s="960"/>
      <c r="AH269" s="842"/>
      <c r="AI269" s="839">
        <f t="shared" si="13"/>
        <v>0</v>
      </c>
      <c r="AJ269" s="949">
        <v>0</v>
      </c>
      <c r="AK269" s="581">
        <f t="shared" si="11"/>
        <v>0</v>
      </c>
      <c r="AL269" s="750"/>
      <c r="AM269" s="743">
        <f t="shared" si="12"/>
        <v>0</v>
      </c>
    </row>
    <row r="270" spans="1:39" s="560" customFormat="1" hidden="1">
      <c r="A270" s="607" t="s">
        <v>768</v>
      </c>
      <c r="B270" s="607" t="s">
        <v>45</v>
      </c>
      <c r="C270" s="690"/>
      <c r="D270" s="580"/>
      <c r="E270" s="981"/>
      <c r="F270" s="581"/>
      <c r="G270" s="581"/>
      <c r="H270" s="581"/>
      <c r="I270" s="949"/>
      <c r="J270" s="949"/>
      <c r="K270" s="949"/>
      <c r="L270" s="989"/>
      <c r="M270" s="575"/>
      <c r="N270" s="575"/>
      <c r="O270" s="575"/>
      <c r="P270" s="575"/>
      <c r="Q270" s="575"/>
      <c r="R270" s="575"/>
      <c r="S270" s="989"/>
      <c r="T270" s="575"/>
      <c r="U270" s="575"/>
      <c r="V270" s="575"/>
      <c r="W270" s="575"/>
      <c r="X270" s="575"/>
      <c r="Y270" s="575"/>
      <c r="Z270" s="989"/>
      <c r="AA270" s="575"/>
      <c r="AB270" s="575"/>
      <c r="AC270" s="575"/>
      <c r="AD270" s="575"/>
      <c r="AE270" s="827"/>
      <c r="AF270" s="575"/>
      <c r="AG270" s="960"/>
      <c r="AH270" s="842"/>
      <c r="AI270" s="839">
        <f t="shared" si="13"/>
        <v>0</v>
      </c>
      <c r="AJ270" s="949">
        <v>0</v>
      </c>
      <c r="AK270" s="581">
        <f t="shared" ref="AK270:AK333" si="14">AI270+AJ270</f>
        <v>0</v>
      </c>
      <c r="AL270" s="750"/>
      <c r="AM270" s="743">
        <f t="shared" ref="AM270:AM333" si="15">AL270-AK270</f>
        <v>0</v>
      </c>
    </row>
    <row r="271" spans="1:39" s="560" customFormat="1" hidden="1">
      <c r="A271" s="604" t="s">
        <v>769</v>
      </c>
      <c r="B271" s="604" t="s">
        <v>1212</v>
      </c>
      <c r="C271" s="614" t="s">
        <v>39</v>
      </c>
      <c r="D271" s="580"/>
      <c r="E271" s="981"/>
      <c r="F271" s="581"/>
      <c r="G271" s="581"/>
      <c r="H271" s="581"/>
      <c r="I271" s="949"/>
      <c r="J271" s="949"/>
      <c r="K271" s="949"/>
      <c r="L271" s="989"/>
      <c r="M271" s="575"/>
      <c r="N271" s="575"/>
      <c r="O271" s="575"/>
      <c r="P271" s="575"/>
      <c r="Q271" s="575"/>
      <c r="R271" s="575"/>
      <c r="S271" s="989"/>
      <c r="T271" s="575"/>
      <c r="U271" s="575"/>
      <c r="V271" s="575"/>
      <c r="W271" s="575"/>
      <c r="X271" s="575"/>
      <c r="Y271" s="575"/>
      <c r="Z271" s="989"/>
      <c r="AA271" s="575"/>
      <c r="AB271" s="575"/>
      <c r="AC271" s="575"/>
      <c r="AD271" s="575"/>
      <c r="AE271" s="827"/>
      <c r="AF271" s="575"/>
      <c r="AG271" s="960"/>
      <c r="AH271" s="842"/>
      <c r="AI271" s="839">
        <f t="shared" ref="AI271:AI334" si="16">ROUND((SUM(D271:AH271)),2)</f>
        <v>0</v>
      </c>
      <c r="AJ271" s="949">
        <v>0</v>
      </c>
      <c r="AK271" s="581">
        <f t="shared" si="14"/>
        <v>0</v>
      </c>
      <c r="AL271" s="750" t="s">
        <v>1593</v>
      </c>
      <c r="AM271" s="743">
        <f t="shared" si="15"/>
        <v>2.81</v>
      </c>
    </row>
    <row r="272" spans="1:39" s="560" customFormat="1" hidden="1">
      <c r="A272" s="604" t="s">
        <v>770</v>
      </c>
      <c r="B272" s="604" t="s">
        <v>268</v>
      </c>
      <c r="C272" s="614" t="s">
        <v>36</v>
      </c>
      <c r="D272" s="580"/>
      <c r="E272" s="981"/>
      <c r="F272" s="581"/>
      <c r="G272" s="581"/>
      <c r="H272" s="581"/>
      <c r="I272" s="949"/>
      <c r="J272" s="949"/>
      <c r="K272" s="949"/>
      <c r="L272" s="989"/>
      <c r="M272" s="575"/>
      <c r="N272" s="575"/>
      <c r="O272" s="575"/>
      <c r="P272" s="575"/>
      <c r="Q272" s="575"/>
      <c r="R272" s="575"/>
      <c r="S272" s="989"/>
      <c r="T272" s="575"/>
      <c r="U272" s="575"/>
      <c r="V272" s="575"/>
      <c r="W272" s="575"/>
      <c r="X272" s="575"/>
      <c r="Y272" s="575"/>
      <c r="Z272" s="989"/>
      <c r="AA272" s="575"/>
      <c r="AB272" s="575"/>
      <c r="AC272" s="575"/>
      <c r="AD272" s="575"/>
      <c r="AE272" s="827"/>
      <c r="AF272" s="575"/>
      <c r="AG272" s="960"/>
      <c r="AH272" s="842"/>
      <c r="AI272" s="839">
        <f t="shared" si="16"/>
        <v>0</v>
      </c>
      <c r="AJ272" s="949">
        <v>0</v>
      </c>
      <c r="AK272" s="581">
        <f t="shared" si="14"/>
        <v>0</v>
      </c>
      <c r="AL272" s="750" t="s">
        <v>1594</v>
      </c>
      <c r="AM272" s="743">
        <f t="shared" si="15"/>
        <v>60</v>
      </c>
    </row>
    <row r="273" spans="1:39" s="560" customFormat="1" hidden="1">
      <c r="A273" s="604" t="s">
        <v>771</v>
      </c>
      <c r="B273" s="604" t="s">
        <v>1147</v>
      </c>
      <c r="C273" s="614" t="s">
        <v>39</v>
      </c>
      <c r="D273" s="580"/>
      <c r="E273" s="981"/>
      <c r="F273" s="581"/>
      <c r="G273" s="581"/>
      <c r="H273" s="581"/>
      <c r="I273" s="949"/>
      <c r="J273" s="949"/>
      <c r="K273" s="949"/>
      <c r="L273" s="989"/>
      <c r="M273" s="575"/>
      <c r="N273" s="575"/>
      <c r="O273" s="575"/>
      <c r="P273" s="575"/>
      <c r="Q273" s="575"/>
      <c r="R273" s="575"/>
      <c r="S273" s="989"/>
      <c r="T273" s="575"/>
      <c r="U273" s="575"/>
      <c r="V273" s="575"/>
      <c r="W273" s="575"/>
      <c r="X273" s="575"/>
      <c r="Y273" s="575"/>
      <c r="Z273" s="989"/>
      <c r="AA273" s="575"/>
      <c r="AB273" s="575"/>
      <c r="AC273" s="575"/>
      <c r="AD273" s="575"/>
      <c r="AE273" s="827"/>
      <c r="AF273" s="575"/>
      <c r="AG273" s="960"/>
      <c r="AH273" s="842"/>
      <c r="AI273" s="839">
        <f t="shared" si="16"/>
        <v>0</v>
      </c>
      <c r="AJ273" s="949">
        <v>0</v>
      </c>
      <c r="AK273" s="581">
        <f t="shared" si="14"/>
        <v>0</v>
      </c>
      <c r="AL273" s="750" t="s">
        <v>1595</v>
      </c>
      <c r="AM273" s="743">
        <f t="shared" si="15"/>
        <v>3.51</v>
      </c>
    </row>
    <row r="274" spans="1:39" s="560" customFormat="1" hidden="1">
      <c r="A274" s="607" t="s">
        <v>772</v>
      </c>
      <c r="B274" s="607" t="s">
        <v>1148</v>
      </c>
      <c r="C274" s="690"/>
      <c r="D274" s="580"/>
      <c r="E274" s="981"/>
      <c r="F274" s="581"/>
      <c r="G274" s="581"/>
      <c r="H274" s="581"/>
      <c r="I274" s="949"/>
      <c r="J274" s="949"/>
      <c r="K274" s="949"/>
      <c r="L274" s="989"/>
      <c r="M274" s="575"/>
      <c r="N274" s="575"/>
      <c r="O274" s="575"/>
      <c r="P274" s="575"/>
      <c r="Q274" s="575"/>
      <c r="R274" s="575"/>
      <c r="S274" s="989"/>
      <c r="T274" s="575"/>
      <c r="U274" s="575"/>
      <c r="V274" s="575"/>
      <c r="W274" s="575"/>
      <c r="X274" s="575"/>
      <c r="Y274" s="575"/>
      <c r="Z274" s="989"/>
      <c r="AA274" s="575"/>
      <c r="AB274" s="575"/>
      <c r="AC274" s="575"/>
      <c r="AD274" s="575"/>
      <c r="AE274" s="827"/>
      <c r="AF274" s="575"/>
      <c r="AG274" s="960"/>
      <c r="AH274" s="842"/>
      <c r="AI274" s="839">
        <f t="shared" si="16"/>
        <v>0</v>
      </c>
      <c r="AJ274" s="949">
        <v>0</v>
      </c>
      <c r="AK274" s="581">
        <f t="shared" si="14"/>
        <v>0</v>
      </c>
      <c r="AL274" s="750"/>
      <c r="AM274" s="743">
        <f t="shared" si="15"/>
        <v>0</v>
      </c>
    </row>
    <row r="275" spans="1:39" s="560" customFormat="1" hidden="1">
      <c r="A275" s="604" t="s">
        <v>773</v>
      </c>
      <c r="B275" s="604" t="s">
        <v>1189</v>
      </c>
      <c r="C275" s="614" t="s">
        <v>36</v>
      </c>
      <c r="D275" s="580"/>
      <c r="E275" s="981"/>
      <c r="F275" s="581"/>
      <c r="G275" s="581"/>
      <c r="H275" s="581"/>
      <c r="I275" s="949"/>
      <c r="J275" s="949"/>
      <c r="K275" s="949"/>
      <c r="L275" s="989"/>
      <c r="M275" s="575"/>
      <c r="N275" s="575"/>
      <c r="O275" s="575"/>
      <c r="P275" s="575"/>
      <c r="Q275" s="575"/>
      <c r="R275" s="575"/>
      <c r="S275" s="989"/>
      <c r="T275" s="575"/>
      <c r="U275" s="575"/>
      <c r="V275" s="575"/>
      <c r="W275" s="575"/>
      <c r="X275" s="575"/>
      <c r="Y275" s="575"/>
      <c r="Z275" s="989"/>
      <c r="AA275" s="575"/>
      <c r="AB275" s="575"/>
      <c r="AC275" s="575"/>
      <c r="AD275" s="575"/>
      <c r="AE275" s="827"/>
      <c r="AF275" s="575"/>
      <c r="AG275" s="960"/>
      <c r="AH275" s="842"/>
      <c r="AI275" s="839">
        <f t="shared" si="16"/>
        <v>0</v>
      </c>
      <c r="AJ275" s="949">
        <v>0</v>
      </c>
      <c r="AK275" s="581">
        <f t="shared" si="14"/>
        <v>0</v>
      </c>
      <c r="AL275" s="750" t="s">
        <v>1596</v>
      </c>
      <c r="AM275" s="743">
        <f t="shared" si="15"/>
        <v>2.16</v>
      </c>
    </row>
    <row r="276" spans="1:39" s="560" customFormat="1" hidden="1">
      <c r="A276" s="604" t="s">
        <v>774</v>
      </c>
      <c r="B276" s="604" t="s">
        <v>1213</v>
      </c>
      <c r="C276" s="614" t="s">
        <v>36</v>
      </c>
      <c r="D276" s="580"/>
      <c r="E276" s="981"/>
      <c r="F276" s="581"/>
      <c r="G276" s="581"/>
      <c r="H276" s="581"/>
      <c r="I276" s="949"/>
      <c r="J276" s="949"/>
      <c r="K276" s="949"/>
      <c r="L276" s="989"/>
      <c r="M276" s="575"/>
      <c r="N276" s="575"/>
      <c r="O276" s="575"/>
      <c r="P276" s="575"/>
      <c r="Q276" s="575"/>
      <c r="R276" s="575"/>
      <c r="S276" s="989"/>
      <c r="T276" s="575"/>
      <c r="U276" s="575"/>
      <c r="V276" s="575"/>
      <c r="W276" s="575"/>
      <c r="X276" s="575"/>
      <c r="Y276" s="575"/>
      <c r="Z276" s="989"/>
      <c r="AA276" s="575"/>
      <c r="AB276" s="575"/>
      <c r="AC276" s="575"/>
      <c r="AD276" s="575"/>
      <c r="AE276" s="827"/>
      <c r="AF276" s="575"/>
      <c r="AG276" s="960"/>
      <c r="AH276" s="842"/>
      <c r="AI276" s="839">
        <f t="shared" si="16"/>
        <v>0</v>
      </c>
      <c r="AJ276" s="949">
        <v>0</v>
      </c>
      <c r="AK276" s="581">
        <f t="shared" si="14"/>
        <v>0</v>
      </c>
      <c r="AL276" s="750" t="s">
        <v>1594</v>
      </c>
      <c r="AM276" s="743">
        <f t="shared" si="15"/>
        <v>60</v>
      </c>
    </row>
    <row r="277" spans="1:39" s="560" customFormat="1" hidden="1">
      <c r="A277" s="607" t="s">
        <v>775</v>
      </c>
      <c r="B277" s="607" t="s">
        <v>1155</v>
      </c>
      <c r="C277" s="690"/>
      <c r="D277" s="580"/>
      <c r="E277" s="981"/>
      <c r="F277" s="581"/>
      <c r="G277" s="581"/>
      <c r="H277" s="581"/>
      <c r="I277" s="949"/>
      <c r="J277" s="949"/>
      <c r="K277" s="949"/>
      <c r="L277" s="989"/>
      <c r="M277" s="575"/>
      <c r="N277" s="575"/>
      <c r="O277" s="575"/>
      <c r="P277" s="575"/>
      <c r="Q277" s="575"/>
      <c r="R277" s="575"/>
      <c r="S277" s="989"/>
      <c r="T277" s="575"/>
      <c r="U277" s="575"/>
      <c r="V277" s="575"/>
      <c r="W277" s="575"/>
      <c r="X277" s="575"/>
      <c r="Y277" s="575"/>
      <c r="Z277" s="989"/>
      <c r="AA277" s="575"/>
      <c r="AB277" s="575"/>
      <c r="AC277" s="575"/>
      <c r="AD277" s="575"/>
      <c r="AE277" s="827"/>
      <c r="AF277" s="575"/>
      <c r="AG277" s="960"/>
      <c r="AH277" s="842"/>
      <c r="AI277" s="839">
        <f t="shared" si="16"/>
        <v>0</v>
      </c>
      <c r="AJ277" s="949">
        <v>0</v>
      </c>
      <c r="AK277" s="581">
        <f t="shared" si="14"/>
        <v>0</v>
      </c>
      <c r="AL277" s="750"/>
      <c r="AM277" s="743">
        <f t="shared" si="15"/>
        <v>0</v>
      </c>
    </row>
    <row r="278" spans="1:39" s="560" customFormat="1" hidden="1">
      <c r="A278" s="604" t="s">
        <v>776</v>
      </c>
      <c r="B278" s="604" t="s">
        <v>1156</v>
      </c>
      <c r="C278" s="690"/>
      <c r="D278" s="580"/>
      <c r="E278" s="981"/>
      <c r="F278" s="581"/>
      <c r="G278" s="581"/>
      <c r="H278" s="581"/>
      <c r="I278" s="949"/>
      <c r="J278" s="949"/>
      <c r="K278" s="949"/>
      <c r="L278" s="989"/>
      <c r="M278" s="575"/>
      <c r="N278" s="575"/>
      <c r="O278" s="575"/>
      <c r="P278" s="575"/>
      <c r="Q278" s="575"/>
      <c r="R278" s="575"/>
      <c r="S278" s="989"/>
      <c r="T278" s="575"/>
      <c r="U278" s="575"/>
      <c r="V278" s="575"/>
      <c r="W278" s="575"/>
      <c r="X278" s="575"/>
      <c r="Y278" s="575"/>
      <c r="Z278" s="989"/>
      <c r="AA278" s="575"/>
      <c r="AB278" s="575"/>
      <c r="AC278" s="575"/>
      <c r="AD278" s="575"/>
      <c r="AE278" s="827"/>
      <c r="AF278" s="575"/>
      <c r="AG278" s="960"/>
      <c r="AH278" s="842"/>
      <c r="AI278" s="839">
        <f t="shared" si="16"/>
        <v>0</v>
      </c>
      <c r="AJ278" s="949">
        <v>0</v>
      </c>
      <c r="AK278" s="581">
        <f t="shared" si="14"/>
        <v>0</v>
      </c>
      <c r="AL278" s="750"/>
      <c r="AM278" s="743">
        <f t="shared" si="15"/>
        <v>0</v>
      </c>
    </row>
    <row r="279" spans="1:39" s="560" customFormat="1" hidden="1">
      <c r="A279" s="604" t="s">
        <v>777</v>
      </c>
      <c r="B279" s="604" t="s">
        <v>1192</v>
      </c>
      <c r="C279" s="614" t="s">
        <v>39</v>
      </c>
      <c r="D279" s="580"/>
      <c r="E279" s="981"/>
      <c r="F279" s="581"/>
      <c r="G279" s="581"/>
      <c r="H279" s="581"/>
      <c r="I279" s="949"/>
      <c r="J279" s="949"/>
      <c r="K279" s="949"/>
      <c r="L279" s="989"/>
      <c r="M279" s="575"/>
      <c r="N279" s="575"/>
      <c r="O279" s="575"/>
      <c r="P279" s="575"/>
      <c r="Q279" s="575"/>
      <c r="R279" s="575"/>
      <c r="S279" s="989"/>
      <c r="T279" s="575"/>
      <c r="U279" s="575"/>
      <c r="V279" s="575"/>
      <c r="W279" s="575"/>
      <c r="X279" s="575"/>
      <c r="Y279" s="575"/>
      <c r="Z279" s="989"/>
      <c r="AA279" s="575"/>
      <c r="AB279" s="575"/>
      <c r="AC279" s="575"/>
      <c r="AD279" s="575"/>
      <c r="AE279" s="827"/>
      <c r="AF279" s="575"/>
      <c r="AG279" s="960"/>
      <c r="AH279" s="842"/>
      <c r="AI279" s="839">
        <f t="shared" si="16"/>
        <v>0</v>
      </c>
      <c r="AJ279" s="949">
        <v>0</v>
      </c>
      <c r="AK279" s="581">
        <f t="shared" si="14"/>
        <v>0</v>
      </c>
      <c r="AL279" s="750" t="s">
        <v>1597</v>
      </c>
      <c r="AM279" s="743">
        <f t="shared" si="15"/>
        <v>2.52</v>
      </c>
    </row>
    <row r="280" spans="1:39" s="560" customFormat="1" hidden="1">
      <c r="A280" s="604" t="s">
        <v>778</v>
      </c>
      <c r="B280" s="604" t="s">
        <v>1158</v>
      </c>
      <c r="C280" s="614" t="s">
        <v>47</v>
      </c>
      <c r="D280" s="580"/>
      <c r="E280" s="981"/>
      <c r="F280" s="581"/>
      <c r="G280" s="581"/>
      <c r="H280" s="581"/>
      <c r="I280" s="949"/>
      <c r="J280" s="949"/>
      <c r="K280" s="949"/>
      <c r="L280" s="989"/>
      <c r="M280" s="575"/>
      <c r="N280" s="575"/>
      <c r="O280" s="575"/>
      <c r="P280" s="575"/>
      <c r="Q280" s="575"/>
      <c r="R280" s="575"/>
      <c r="S280" s="989"/>
      <c r="T280" s="575"/>
      <c r="U280" s="575"/>
      <c r="V280" s="575"/>
      <c r="W280" s="575"/>
      <c r="X280" s="575"/>
      <c r="Y280" s="575"/>
      <c r="Z280" s="989"/>
      <c r="AA280" s="575"/>
      <c r="AB280" s="575"/>
      <c r="AC280" s="575"/>
      <c r="AD280" s="575"/>
      <c r="AE280" s="827"/>
      <c r="AF280" s="575"/>
      <c r="AG280" s="960"/>
      <c r="AH280" s="842"/>
      <c r="AI280" s="839">
        <f t="shared" si="16"/>
        <v>0</v>
      </c>
      <c r="AJ280" s="949">
        <v>0</v>
      </c>
      <c r="AK280" s="581">
        <f t="shared" si="14"/>
        <v>0</v>
      </c>
      <c r="AL280" s="750" t="s">
        <v>1598</v>
      </c>
      <c r="AM280" s="743">
        <f t="shared" si="15"/>
        <v>186.08</v>
      </c>
    </row>
    <row r="281" spans="1:39" s="560" customFormat="1" hidden="1">
      <c r="A281" s="607" t="s">
        <v>779</v>
      </c>
      <c r="B281" s="607" t="s">
        <v>1214</v>
      </c>
      <c r="C281" s="690"/>
      <c r="D281" s="580"/>
      <c r="E281" s="981"/>
      <c r="F281" s="581"/>
      <c r="G281" s="581"/>
      <c r="H281" s="581"/>
      <c r="I281" s="949"/>
      <c r="J281" s="949"/>
      <c r="K281" s="949"/>
      <c r="L281" s="989"/>
      <c r="M281" s="575"/>
      <c r="N281" s="575"/>
      <c r="O281" s="575"/>
      <c r="P281" s="575"/>
      <c r="Q281" s="575"/>
      <c r="R281" s="575"/>
      <c r="S281" s="989"/>
      <c r="T281" s="575"/>
      <c r="U281" s="575"/>
      <c r="V281" s="575"/>
      <c r="W281" s="575"/>
      <c r="X281" s="575"/>
      <c r="Y281" s="575"/>
      <c r="Z281" s="989"/>
      <c r="AA281" s="575"/>
      <c r="AB281" s="575"/>
      <c r="AC281" s="575"/>
      <c r="AD281" s="575"/>
      <c r="AE281" s="827"/>
      <c r="AF281" s="575"/>
      <c r="AG281" s="960"/>
      <c r="AH281" s="842"/>
      <c r="AI281" s="839">
        <f t="shared" si="16"/>
        <v>0</v>
      </c>
      <c r="AJ281" s="949">
        <v>0</v>
      </c>
      <c r="AK281" s="581">
        <f t="shared" si="14"/>
        <v>0</v>
      </c>
      <c r="AL281" s="750"/>
      <c r="AM281" s="743">
        <f t="shared" si="15"/>
        <v>0</v>
      </c>
    </row>
    <row r="282" spans="1:39" s="560" customFormat="1" hidden="1">
      <c r="A282" s="604" t="s">
        <v>780</v>
      </c>
      <c r="B282" s="604" t="s">
        <v>1215</v>
      </c>
      <c r="C282" s="614" t="s">
        <v>47</v>
      </c>
      <c r="D282" s="580"/>
      <c r="E282" s="981"/>
      <c r="F282" s="581"/>
      <c r="G282" s="581"/>
      <c r="H282" s="581"/>
      <c r="I282" s="949"/>
      <c r="J282" s="949"/>
      <c r="K282" s="949"/>
      <c r="L282" s="989"/>
      <c r="M282" s="575"/>
      <c r="N282" s="575"/>
      <c r="O282" s="575"/>
      <c r="P282" s="575"/>
      <c r="Q282" s="575"/>
      <c r="R282" s="575"/>
      <c r="S282" s="989"/>
      <c r="T282" s="575"/>
      <c r="U282" s="575"/>
      <c r="V282" s="575"/>
      <c r="W282" s="575"/>
      <c r="X282" s="575"/>
      <c r="Y282" s="575"/>
      <c r="Z282" s="989"/>
      <c r="AA282" s="575"/>
      <c r="AB282" s="575"/>
      <c r="AC282" s="575"/>
      <c r="AD282" s="575"/>
      <c r="AE282" s="827"/>
      <c r="AF282" s="575"/>
      <c r="AG282" s="960"/>
      <c r="AH282" s="842"/>
      <c r="AI282" s="839">
        <f t="shared" si="16"/>
        <v>0</v>
      </c>
      <c r="AJ282" s="949">
        <v>0</v>
      </c>
      <c r="AK282" s="581">
        <f t="shared" si="14"/>
        <v>0</v>
      </c>
      <c r="AL282" s="750" t="s">
        <v>1599</v>
      </c>
      <c r="AM282" s="743">
        <f t="shared" si="15"/>
        <v>899.99</v>
      </c>
    </row>
    <row r="283" spans="1:39" s="560" customFormat="1" hidden="1">
      <c r="A283" s="604" t="s">
        <v>781</v>
      </c>
      <c r="B283" s="604" t="s">
        <v>1216</v>
      </c>
      <c r="C283" s="614" t="s">
        <v>47</v>
      </c>
      <c r="D283" s="580"/>
      <c r="E283" s="981"/>
      <c r="F283" s="581"/>
      <c r="G283" s="581"/>
      <c r="H283" s="581"/>
      <c r="I283" s="949"/>
      <c r="J283" s="949"/>
      <c r="K283" s="949"/>
      <c r="L283" s="989"/>
      <c r="M283" s="575"/>
      <c r="N283" s="575"/>
      <c r="O283" s="575"/>
      <c r="P283" s="575"/>
      <c r="Q283" s="575"/>
      <c r="R283" s="575"/>
      <c r="S283" s="989"/>
      <c r="T283" s="575"/>
      <c r="U283" s="575"/>
      <c r="V283" s="575"/>
      <c r="W283" s="575"/>
      <c r="X283" s="575"/>
      <c r="Y283" s="575"/>
      <c r="Z283" s="989"/>
      <c r="AA283" s="575"/>
      <c r="AB283" s="575"/>
      <c r="AC283" s="575"/>
      <c r="AD283" s="575"/>
      <c r="AE283" s="827"/>
      <c r="AF283" s="575"/>
      <c r="AG283" s="960"/>
      <c r="AH283" s="842"/>
      <c r="AI283" s="839">
        <f t="shared" si="16"/>
        <v>0</v>
      </c>
      <c r="AJ283" s="949">
        <v>0</v>
      </c>
      <c r="AK283" s="581">
        <f t="shared" si="14"/>
        <v>0</v>
      </c>
      <c r="AL283" s="750" t="s">
        <v>1600</v>
      </c>
      <c r="AM283" s="743">
        <f t="shared" si="15"/>
        <v>394.52</v>
      </c>
    </row>
    <row r="284" spans="1:39" s="560" customFormat="1" hidden="1">
      <c r="A284" s="604" t="s">
        <v>782</v>
      </c>
      <c r="B284" s="604" t="s">
        <v>1217</v>
      </c>
      <c r="C284" s="614" t="s">
        <v>47</v>
      </c>
      <c r="D284" s="580"/>
      <c r="E284" s="981"/>
      <c r="F284" s="581"/>
      <c r="G284" s="581"/>
      <c r="H284" s="581"/>
      <c r="I284" s="949"/>
      <c r="J284" s="949"/>
      <c r="K284" s="949"/>
      <c r="L284" s="989"/>
      <c r="M284" s="575"/>
      <c r="N284" s="575"/>
      <c r="O284" s="575"/>
      <c r="P284" s="575"/>
      <c r="Q284" s="575"/>
      <c r="R284" s="575"/>
      <c r="S284" s="989"/>
      <c r="T284" s="575"/>
      <c r="U284" s="575"/>
      <c r="V284" s="575"/>
      <c r="W284" s="575"/>
      <c r="X284" s="575"/>
      <c r="Y284" s="575"/>
      <c r="Z284" s="989"/>
      <c r="AA284" s="575"/>
      <c r="AB284" s="575"/>
      <c r="AC284" s="575"/>
      <c r="AD284" s="575"/>
      <c r="AE284" s="827"/>
      <c r="AF284" s="575"/>
      <c r="AG284" s="960"/>
      <c r="AH284" s="842"/>
      <c r="AI284" s="839">
        <f t="shared" si="16"/>
        <v>0</v>
      </c>
      <c r="AJ284" s="949">
        <v>0</v>
      </c>
      <c r="AK284" s="581">
        <f t="shared" si="14"/>
        <v>0</v>
      </c>
      <c r="AL284" s="750" t="s">
        <v>1601</v>
      </c>
      <c r="AM284" s="743">
        <f t="shared" si="15"/>
        <v>271.91000000000003</v>
      </c>
    </row>
    <row r="285" spans="1:39" s="560" customFormat="1" hidden="1">
      <c r="A285" s="604" t="s">
        <v>783</v>
      </c>
      <c r="B285" s="604" t="s">
        <v>1218</v>
      </c>
      <c r="C285" s="614" t="s">
        <v>37</v>
      </c>
      <c r="D285" s="580"/>
      <c r="E285" s="981"/>
      <c r="F285" s="581"/>
      <c r="G285" s="581"/>
      <c r="H285" s="581"/>
      <c r="I285" s="949"/>
      <c r="J285" s="949"/>
      <c r="K285" s="949"/>
      <c r="L285" s="989"/>
      <c r="M285" s="575"/>
      <c r="N285" s="575"/>
      <c r="O285" s="575"/>
      <c r="P285" s="575"/>
      <c r="Q285" s="575"/>
      <c r="R285" s="575"/>
      <c r="S285" s="989"/>
      <c r="T285" s="575"/>
      <c r="U285" s="575"/>
      <c r="V285" s="575"/>
      <c r="W285" s="575"/>
      <c r="X285" s="575"/>
      <c r="Y285" s="575"/>
      <c r="Z285" s="989"/>
      <c r="AA285" s="575"/>
      <c r="AB285" s="575"/>
      <c r="AC285" s="575"/>
      <c r="AD285" s="575"/>
      <c r="AE285" s="827"/>
      <c r="AF285" s="575"/>
      <c r="AG285" s="960"/>
      <c r="AH285" s="842"/>
      <c r="AI285" s="839">
        <f t="shared" si="16"/>
        <v>0</v>
      </c>
      <c r="AJ285" s="949">
        <v>0</v>
      </c>
      <c r="AK285" s="581">
        <f t="shared" si="14"/>
        <v>0</v>
      </c>
      <c r="AL285" s="750" t="s">
        <v>1602</v>
      </c>
      <c r="AM285" s="743">
        <f t="shared" si="15"/>
        <v>80.92</v>
      </c>
    </row>
    <row r="286" spans="1:39" s="560" customFormat="1" hidden="1">
      <c r="A286" s="604" t="s">
        <v>784</v>
      </c>
      <c r="B286" s="604" t="s">
        <v>1219</v>
      </c>
      <c r="C286" s="614" t="s">
        <v>1436</v>
      </c>
      <c r="D286" s="580"/>
      <c r="E286" s="981"/>
      <c r="F286" s="581"/>
      <c r="G286" s="581"/>
      <c r="H286" s="581"/>
      <c r="I286" s="949"/>
      <c r="J286" s="949"/>
      <c r="K286" s="949"/>
      <c r="L286" s="989"/>
      <c r="M286" s="575"/>
      <c r="N286" s="575"/>
      <c r="O286" s="575"/>
      <c r="P286" s="575"/>
      <c r="Q286" s="575"/>
      <c r="R286" s="575"/>
      <c r="S286" s="989"/>
      <c r="T286" s="575"/>
      <c r="U286" s="575"/>
      <c r="V286" s="575"/>
      <c r="W286" s="575"/>
      <c r="X286" s="575"/>
      <c r="Y286" s="575"/>
      <c r="Z286" s="989"/>
      <c r="AA286" s="575"/>
      <c r="AB286" s="575"/>
      <c r="AC286" s="575"/>
      <c r="AD286" s="575"/>
      <c r="AE286" s="827"/>
      <c r="AF286" s="575"/>
      <c r="AG286" s="960"/>
      <c r="AH286" s="842"/>
      <c r="AI286" s="839">
        <f t="shared" si="16"/>
        <v>0</v>
      </c>
      <c r="AJ286" s="949">
        <v>0</v>
      </c>
      <c r="AK286" s="581">
        <f t="shared" si="14"/>
        <v>0</v>
      </c>
      <c r="AL286" s="750" t="s">
        <v>1603</v>
      </c>
      <c r="AM286" s="743">
        <f t="shared" si="15"/>
        <v>6</v>
      </c>
    </row>
    <row r="287" spans="1:39" s="560" customFormat="1" hidden="1">
      <c r="A287" s="607" t="s">
        <v>785</v>
      </c>
      <c r="B287" s="607" t="s">
        <v>1186</v>
      </c>
      <c r="C287" s="690"/>
      <c r="D287" s="580"/>
      <c r="E287" s="981"/>
      <c r="F287" s="581"/>
      <c r="G287" s="581"/>
      <c r="H287" s="581"/>
      <c r="I287" s="949"/>
      <c r="J287" s="949"/>
      <c r="K287" s="949"/>
      <c r="L287" s="989"/>
      <c r="M287" s="575"/>
      <c r="N287" s="575"/>
      <c r="O287" s="575"/>
      <c r="P287" s="575"/>
      <c r="Q287" s="575"/>
      <c r="R287" s="575"/>
      <c r="S287" s="989"/>
      <c r="T287" s="575"/>
      <c r="U287" s="575"/>
      <c r="V287" s="575"/>
      <c r="W287" s="575"/>
      <c r="X287" s="575"/>
      <c r="Y287" s="575"/>
      <c r="Z287" s="989"/>
      <c r="AA287" s="575"/>
      <c r="AB287" s="575"/>
      <c r="AC287" s="575"/>
      <c r="AD287" s="575"/>
      <c r="AE287" s="827"/>
      <c r="AF287" s="575"/>
      <c r="AG287" s="960"/>
      <c r="AH287" s="842"/>
      <c r="AI287" s="839">
        <f t="shared" si="16"/>
        <v>0</v>
      </c>
      <c r="AJ287" s="949">
        <v>0</v>
      </c>
      <c r="AK287" s="581">
        <f t="shared" si="14"/>
        <v>0</v>
      </c>
      <c r="AL287" s="750"/>
      <c r="AM287" s="743">
        <f t="shared" si="15"/>
        <v>0</v>
      </c>
    </row>
    <row r="288" spans="1:39" s="560" customFormat="1" ht="13.8" hidden="1" thickBot="1">
      <c r="A288" s="604" t="s">
        <v>786</v>
      </c>
      <c r="B288" s="604" t="s">
        <v>224</v>
      </c>
      <c r="C288" s="614" t="s">
        <v>1436</v>
      </c>
      <c r="D288" s="580"/>
      <c r="E288" s="981"/>
      <c r="F288" s="581"/>
      <c r="G288" s="581"/>
      <c r="H288" s="581"/>
      <c r="I288" s="949"/>
      <c r="J288" s="949"/>
      <c r="K288" s="949"/>
      <c r="L288" s="989"/>
      <c r="M288" s="575"/>
      <c r="N288" s="575"/>
      <c r="O288" s="575"/>
      <c r="P288" s="575"/>
      <c r="Q288" s="575"/>
      <c r="R288" s="575"/>
      <c r="S288" s="989"/>
      <c r="T288" s="575"/>
      <c r="U288" s="575"/>
      <c r="V288" s="575"/>
      <c r="W288" s="575"/>
      <c r="X288" s="575"/>
      <c r="Y288" s="575"/>
      <c r="Z288" s="989"/>
      <c r="AA288" s="575"/>
      <c r="AB288" s="575"/>
      <c r="AC288" s="575"/>
      <c r="AD288" s="575"/>
      <c r="AE288" s="827"/>
      <c r="AF288" s="575"/>
      <c r="AG288" s="960"/>
      <c r="AH288" s="842"/>
      <c r="AI288" s="839">
        <f t="shared" si="16"/>
        <v>0</v>
      </c>
      <c r="AJ288" s="949">
        <v>0</v>
      </c>
      <c r="AK288" s="581">
        <f t="shared" si="14"/>
        <v>0</v>
      </c>
      <c r="AL288" s="750" t="s">
        <v>1604</v>
      </c>
      <c r="AM288" s="743">
        <f t="shared" si="15"/>
        <v>3</v>
      </c>
    </row>
    <row r="289" spans="1:39" s="782" customFormat="1">
      <c r="A289" s="870" t="s">
        <v>44</v>
      </c>
      <c r="B289" s="870" t="s">
        <v>1220</v>
      </c>
      <c r="C289" s="898"/>
      <c r="D289" s="795"/>
      <c r="E289" s="981"/>
      <c r="F289" s="778"/>
      <c r="G289" s="778"/>
      <c r="H289" s="778"/>
      <c r="I289" s="777"/>
      <c r="J289" s="777"/>
      <c r="K289" s="777"/>
      <c r="L289" s="989"/>
      <c r="M289" s="809"/>
      <c r="N289" s="809"/>
      <c r="O289" s="809"/>
      <c r="P289" s="809"/>
      <c r="Q289" s="809"/>
      <c r="R289" s="809"/>
      <c r="S289" s="989"/>
      <c r="T289" s="809"/>
      <c r="U289" s="809"/>
      <c r="V289" s="809"/>
      <c r="W289" s="809"/>
      <c r="X289" s="809"/>
      <c r="Y289" s="809"/>
      <c r="Z289" s="989"/>
      <c r="AA289" s="809"/>
      <c r="AB289" s="809"/>
      <c r="AC289" s="809"/>
      <c r="AD289" s="809"/>
      <c r="AE289" s="827"/>
      <c r="AF289" s="809"/>
      <c r="AG289" s="960"/>
      <c r="AH289" s="873"/>
      <c r="AI289" s="839">
        <f t="shared" si="16"/>
        <v>0</v>
      </c>
      <c r="AJ289" s="777">
        <v>0</v>
      </c>
      <c r="AK289" s="778">
        <f t="shared" si="14"/>
        <v>0</v>
      </c>
      <c r="AL289" s="901"/>
      <c r="AM289" s="781">
        <f t="shared" si="15"/>
        <v>0</v>
      </c>
    </row>
    <row r="290" spans="1:39" s="782" customFormat="1">
      <c r="A290" s="868" t="s">
        <v>46</v>
      </c>
      <c r="B290" s="869" t="s">
        <v>1221</v>
      </c>
      <c r="C290" s="898"/>
      <c r="D290" s="795"/>
      <c r="E290" s="981"/>
      <c r="F290" s="778"/>
      <c r="G290" s="778"/>
      <c r="H290" s="778"/>
      <c r="I290" s="777"/>
      <c r="J290" s="777"/>
      <c r="K290" s="777"/>
      <c r="L290" s="989"/>
      <c r="M290" s="809"/>
      <c r="N290" s="809"/>
      <c r="O290" s="809"/>
      <c r="P290" s="809"/>
      <c r="Q290" s="809"/>
      <c r="R290" s="809"/>
      <c r="S290" s="989"/>
      <c r="T290" s="809"/>
      <c r="U290" s="809"/>
      <c r="V290" s="809"/>
      <c r="W290" s="809"/>
      <c r="X290" s="809"/>
      <c r="Y290" s="809"/>
      <c r="Z290" s="989"/>
      <c r="AA290" s="809"/>
      <c r="AB290" s="809"/>
      <c r="AC290" s="809"/>
      <c r="AD290" s="809"/>
      <c r="AE290" s="827"/>
      <c r="AF290" s="809"/>
      <c r="AG290" s="960"/>
      <c r="AH290" s="873"/>
      <c r="AI290" s="839">
        <f t="shared" si="16"/>
        <v>0</v>
      </c>
      <c r="AJ290" s="777">
        <v>0</v>
      </c>
      <c r="AK290" s="778">
        <f t="shared" si="14"/>
        <v>0</v>
      </c>
      <c r="AL290" s="901"/>
      <c r="AM290" s="781">
        <f t="shared" si="15"/>
        <v>0</v>
      </c>
    </row>
    <row r="291" spans="1:39" s="782" customFormat="1">
      <c r="A291" s="885" t="s">
        <v>48</v>
      </c>
      <c r="B291" s="885" t="s">
        <v>1222</v>
      </c>
      <c r="C291" s="898"/>
      <c r="D291" s="795"/>
      <c r="E291" s="981"/>
      <c r="F291" s="778"/>
      <c r="G291" s="778"/>
      <c r="H291" s="778"/>
      <c r="I291" s="777"/>
      <c r="J291" s="777"/>
      <c r="K291" s="777"/>
      <c r="L291" s="989"/>
      <c r="M291" s="809"/>
      <c r="N291" s="809"/>
      <c r="O291" s="809"/>
      <c r="P291" s="809"/>
      <c r="Q291" s="809"/>
      <c r="R291" s="809"/>
      <c r="S291" s="989"/>
      <c r="T291" s="809"/>
      <c r="U291" s="809"/>
      <c r="V291" s="809"/>
      <c r="W291" s="809"/>
      <c r="X291" s="809"/>
      <c r="Y291" s="809"/>
      <c r="Z291" s="989"/>
      <c r="AA291" s="809"/>
      <c r="AB291" s="809"/>
      <c r="AC291" s="809"/>
      <c r="AD291" s="809"/>
      <c r="AE291" s="827"/>
      <c r="AF291" s="809"/>
      <c r="AG291" s="960"/>
      <c r="AH291" s="873"/>
      <c r="AI291" s="839">
        <f t="shared" si="16"/>
        <v>0</v>
      </c>
      <c r="AJ291" s="777">
        <v>0</v>
      </c>
      <c r="AK291" s="778">
        <f t="shared" si="14"/>
        <v>0</v>
      </c>
      <c r="AL291" s="901"/>
      <c r="AM291" s="781">
        <f t="shared" si="15"/>
        <v>0</v>
      </c>
    </row>
    <row r="292" spans="1:39" s="782" customFormat="1">
      <c r="A292" s="772" t="s">
        <v>787</v>
      </c>
      <c r="B292" s="772" t="s">
        <v>1223</v>
      </c>
      <c r="C292" s="877" t="s">
        <v>36</v>
      </c>
      <c r="D292" s="795"/>
      <c r="E292" s="981"/>
      <c r="F292" s="778"/>
      <c r="G292" s="778"/>
      <c r="H292" s="778"/>
      <c r="I292" s="777"/>
      <c r="J292" s="777"/>
      <c r="K292" s="777"/>
      <c r="L292" s="989"/>
      <c r="M292" s="809"/>
      <c r="N292" s="809"/>
      <c r="O292" s="809"/>
      <c r="P292" s="809"/>
      <c r="Q292" s="809"/>
      <c r="R292" s="809"/>
      <c r="S292" s="989"/>
      <c r="T292" s="809"/>
      <c r="U292" s="809"/>
      <c r="V292" s="809"/>
      <c r="W292" s="809"/>
      <c r="X292" s="945">
        <f>((2.39*0.98)/2)*2</f>
        <v>2.3422000000000001</v>
      </c>
      <c r="Y292" s="809"/>
      <c r="Z292" s="989"/>
      <c r="AA292" s="809"/>
      <c r="AB292" s="809"/>
      <c r="AC292" s="809"/>
      <c r="AD292" s="809"/>
      <c r="AE292" s="827"/>
      <c r="AF292" s="809"/>
      <c r="AG292" s="960"/>
      <c r="AH292" s="873"/>
      <c r="AI292" s="839">
        <f t="shared" si="16"/>
        <v>2.34</v>
      </c>
      <c r="AJ292" s="777">
        <v>0</v>
      </c>
      <c r="AK292" s="778">
        <f t="shared" si="14"/>
        <v>2.34</v>
      </c>
      <c r="AL292" s="901" t="s">
        <v>1605</v>
      </c>
      <c r="AM292" s="781">
        <f t="shared" si="15"/>
        <v>69.929999999999993</v>
      </c>
    </row>
    <row r="293" spans="1:39" s="782" customFormat="1" hidden="1">
      <c r="A293" s="772" t="s">
        <v>788</v>
      </c>
      <c r="B293" s="772" t="s">
        <v>1224</v>
      </c>
      <c r="C293" s="877" t="s">
        <v>36</v>
      </c>
      <c r="D293" s="795"/>
      <c r="E293" s="981"/>
      <c r="F293" s="778"/>
      <c r="G293" s="778"/>
      <c r="H293" s="778"/>
      <c r="I293" s="777"/>
      <c r="J293" s="777"/>
      <c r="K293" s="777"/>
      <c r="L293" s="989"/>
      <c r="M293" s="809"/>
      <c r="N293" s="809"/>
      <c r="O293" s="809"/>
      <c r="P293" s="809"/>
      <c r="Q293" s="809"/>
      <c r="R293" s="809"/>
      <c r="S293" s="989"/>
      <c r="T293" s="809"/>
      <c r="U293" s="809"/>
      <c r="V293" s="809"/>
      <c r="W293" s="809"/>
      <c r="X293" s="809"/>
      <c r="Y293" s="809"/>
      <c r="Z293" s="989"/>
      <c r="AA293" s="809"/>
      <c r="AB293" s="809"/>
      <c r="AC293" s="809"/>
      <c r="AD293" s="809"/>
      <c r="AE293" s="827"/>
      <c r="AF293" s="809"/>
      <c r="AG293" s="960"/>
      <c r="AH293" s="873"/>
      <c r="AI293" s="839">
        <f t="shared" si="16"/>
        <v>0</v>
      </c>
      <c r="AJ293" s="777">
        <v>0</v>
      </c>
      <c r="AK293" s="778">
        <f t="shared" si="14"/>
        <v>0</v>
      </c>
      <c r="AL293" s="901" t="s">
        <v>1606</v>
      </c>
      <c r="AM293" s="781">
        <f t="shared" si="15"/>
        <v>15.22</v>
      </c>
    </row>
    <row r="294" spans="1:39" s="560" customFormat="1" hidden="1">
      <c r="A294" s="607" t="s">
        <v>49</v>
      </c>
      <c r="B294" s="607" t="s">
        <v>1225</v>
      </c>
      <c r="C294" s="690"/>
      <c r="D294" s="580"/>
      <c r="E294" s="981"/>
      <c r="F294" s="581"/>
      <c r="G294" s="581"/>
      <c r="H294" s="581"/>
      <c r="I294" s="949"/>
      <c r="J294" s="949"/>
      <c r="K294" s="949"/>
      <c r="L294" s="989"/>
      <c r="M294" s="575"/>
      <c r="N294" s="575"/>
      <c r="O294" s="575"/>
      <c r="P294" s="575"/>
      <c r="Q294" s="575"/>
      <c r="R294" s="575"/>
      <c r="S294" s="989"/>
      <c r="T294" s="575"/>
      <c r="U294" s="575"/>
      <c r="V294" s="575"/>
      <c r="W294" s="575"/>
      <c r="X294" s="575"/>
      <c r="Y294" s="575"/>
      <c r="Z294" s="989"/>
      <c r="AA294" s="575"/>
      <c r="AB294" s="575"/>
      <c r="AC294" s="575"/>
      <c r="AD294" s="575"/>
      <c r="AE294" s="827"/>
      <c r="AF294" s="575"/>
      <c r="AG294" s="960"/>
      <c r="AH294" s="842"/>
      <c r="AI294" s="839">
        <f t="shared" si="16"/>
        <v>0</v>
      </c>
      <c r="AJ294" s="949">
        <v>0</v>
      </c>
      <c r="AK294" s="581">
        <f t="shared" si="14"/>
        <v>0</v>
      </c>
      <c r="AL294" s="750"/>
      <c r="AM294" s="743">
        <f t="shared" si="15"/>
        <v>0</v>
      </c>
    </row>
    <row r="295" spans="1:39" s="560" customFormat="1" hidden="1">
      <c r="A295" s="604" t="s">
        <v>789</v>
      </c>
      <c r="B295" s="604" t="s">
        <v>1226</v>
      </c>
      <c r="C295" s="614" t="s">
        <v>36</v>
      </c>
      <c r="D295" s="580"/>
      <c r="E295" s="981"/>
      <c r="F295" s="581"/>
      <c r="G295" s="581"/>
      <c r="H295" s="581"/>
      <c r="I295" s="949"/>
      <c r="J295" s="949"/>
      <c r="K295" s="949"/>
      <c r="L295" s="989"/>
      <c r="M295" s="575"/>
      <c r="N295" s="575"/>
      <c r="O295" s="575"/>
      <c r="P295" s="575"/>
      <c r="Q295" s="575"/>
      <c r="R295" s="575"/>
      <c r="S295" s="989"/>
      <c r="T295" s="575"/>
      <c r="U295" s="575"/>
      <c r="V295" s="575"/>
      <c r="W295" s="575"/>
      <c r="X295" s="575"/>
      <c r="Y295" s="575"/>
      <c r="Z295" s="989"/>
      <c r="AA295" s="575"/>
      <c r="AB295" s="575"/>
      <c r="AC295" s="575"/>
      <c r="AD295" s="575"/>
      <c r="AE295" s="827"/>
      <c r="AF295" s="575"/>
      <c r="AG295" s="960"/>
      <c r="AH295" s="842"/>
      <c r="AI295" s="839">
        <f t="shared" si="16"/>
        <v>0</v>
      </c>
      <c r="AJ295" s="949">
        <v>0</v>
      </c>
      <c r="AK295" s="581">
        <f t="shared" si="14"/>
        <v>0</v>
      </c>
      <c r="AL295" s="750" t="s">
        <v>1607</v>
      </c>
      <c r="AM295" s="743">
        <f t="shared" si="15"/>
        <v>123.1</v>
      </c>
    </row>
    <row r="296" spans="1:39" s="560" customFormat="1" hidden="1">
      <c r="A296" s="604" t="s">
        <v>790</v>
      </c>
      <c r="B296" s="604" t="s">
        <v>1227</v>
      </c>
      <c r="C296" s="614" t="s">
        <v>36</v>
      </c>
      <c r="D296" s="580"/>
      <c r="E296" s="981"/>
      <c r="F296" s="581"/>
      <c r="G296" s="581"/>
      <c r="H296" s="581"/>
      <c r="I296" s="949"/>
      <c r="J296" s="949"/>
      <c r="K296" s="949"/>
      <c r="L296" s="989"/>
      <c r="M296" s="575"/>
      <c r="N296" s="575"/>
      <c r="O296" s="575"/>
      <c r="P296" s="575"/>
      <c r="Q296" s="575"/>
      <c r="R296" s="575"/>
      <c r="S296" s="989"/>
      <c r="T296" s="575"/>
      <c r="U296" s="575"/>
      <c r="V296" s="575"/>
      <c r="W296" s="575"/>
      <c r="X296" s="575"/>
      <c r="Y296" s="575"/>
      <c r="Z296" s="989"/>
      <c r="AA296" s="575"/>
      <c r="AB296" s="575"/>
      <c r="AC296" s="575"/>
      <c r="AD296" s="575"/>
      <c r="AE296" s="827"/>
      <c r="AF296" s="575"/>
      <c r="AG296" s="960"/>
      <c r="AH296" s="842"/>
      <c r="AI296" s="839">
        <f t="shared" si="16"/>
        <v>0</v>
      </c>
      <c r="AJ296" s="949">
        <v>0</v>
      </c>
      <c r="AK296" s="581">
        <f t="shared" si="14"/>
        <v>0</v>
      </c>
      <c r="AL296" s="750" t="s">
        <v>1608</v>
      </c>
      <c r="AM296" s="743">
        <f t="shared" si="15"/>
        <v>54.38</v>
      </c>
    </row>
    <row r="297" spans="1:39" s="560" customFormat="1" hidden="1">
      <c r="A297" s="604" t="s">
        <v>791</v>
      </c>
      <c r="B297" s="604" t="s">
        <v>1228</v>
      </c>
      <c r="C297" s="614" t="s">
        <v>36</v>
      </c>
      <c r="D297" s="580"/>
      <c r="E297" s="981"/>
      <c r="F297" s="581"/>
      <c r="G297" s="581"/>
      <c r="H297" s="581"/>
      <c r="I297" s="949"/>
      <c r="J297" s="949"/>
      <c r="K297" s="949"/>
      <c r="L297" s="989"/>
      <c r="M297" s="575"/>
      <c r="N297" s="575"/>
      <c r="O297" s="575"/>
      <c r="P297" s="575"/>
      <c r="Q297" s="575"/>
      <c r="R297" s="575"/>
      <c r="S297" s="989"/>
      <c r="T297" s="575"/>
      <c r="U297" s="575"/>
      <c r="V297" s="575"/>
      <c r="W297" s="575"/>
      <c r="X297" s="575"/>
      <c r="Y297" s="575"/>
      <c r="Z297" s="989"/>
      <c r="AA297" s="575"/>
      <c r="AB297" s="575"/>
      <c r="AC297" s="575"/>
      <c r="AD297" s="575"/>
      <c r="AE297" s="827"/>
      <c r="AF297" s="575"/>
      <c r="AG297" s="960"/>
      <c r="AH297" s="842"/>
      <c r="AI297" s="839">
        <f t="shared" si="16"/>
        <v>0</v>
      </c>
      <c r="AJ297" s="949">
        <v>0</v>
      </c>
      <c r="AK297" s="581">
        <f t="shared" si="14"/>
        <v>0</v>
      </c>
      <c r="AL297" s="750" t="s">
        <v>1609</v>
      </c>
      <c r="AM297" s="743">
        <f t="shared" si="15"/>
        <v>34.44</v>
      </c>
    </row>
    <row r="298" spans="1:39" s="560" customFormat="1" hidden="1">
      <c r="A298" s="604" t="s">
        <v>792</v>
      </c>
      <c r="B298" s="604" t="s">
        <v>1229</v>
      </c>
      <c r="C298" s="614" t="s">
        <v>36</v>
      </c>
      <c r="D298" s="580"/>
      <c r="E298" s="981"/>
      <c r="F298" s="581"/>
      <c r="G298" s="581"/>
      <c r="H298" s="581"/>
      <c r="I298" s="949"/>
      <c r="J298" s="949"/>
      <c r="K298" s="949"/>
      <c r="L298" s="989"/>
      <c r="M298" s="575"/>
      <c r="N298" s="575"/>
      <c r="O298" s="575"/>
      <c r="P298" s="575"/>
      <c r="Q298" s="575"/>
      <c r="R298" s="575"/>
      <c r="S298" s="989"/>
      <c r="T298" s="575"/>
      <c r="U298" s="575"/>
      <c r="V298" s="575"/>
      <c r="W298" s="575"/>
      <c r="X298" s="575"/>
      <c r="Y298" s="575"/>
      <c r="Z298" s="989"/>
      <c r="AA298" s="575"/>
      <c r="AB298" s="575"/>
      <c r="AC298" s="575"/>
      <c r="AD298" s="575"/>
      <c r="AE298" s="827"/>
      <c r="AF298" s="575"/>
      <c r="AG298" s="960"/>
      <c r="AH298" s="842"/>
      <c r="AI298" s="839">
        <f t="shared" si="16"/>
        <v>0</v>
      </c>
      <c r="AJ298" s="949">
        <v>0</v>
      </c>
      <c r="AK298" s="581">
        <f t="shared" si="14"/>
        <v>0</v>
      </c>
      <c r="AL298" s="750" t="s">
        <v>1610</v>
      </c>
      <c r="AM298" s="743">
        <f t="shared" si="15"/>
        <v>30.39</v>
      </c>
    </row>
    <row r="299" spans="1:39" s="560" customFormat="1" hidden="1">
      <c r="A299" s="604" t="s">
        <v>793</v>
      </c>
      <c r="B299" s="604" t="s">
        <v>1230</v>
      </c>
      <c r="C299" s="614" t="s">
        <v>36</v>
      </c>
      <c r="D299" s="580"/>
      <c r="E299" s="981"/>
      <c r="F299" s="581"/>
      <c r="G299" s="581"/>
      <c r="H299" s="581"/>
      <c r="I299" s="949"/>
      <c r="J299" s="949"/>
      <c r="K299" s="949"/>
      <c r="L299" s="989"/>
      <c r="M299" s="575"/>
      <c r="N299" s="575"/>
      <c r="O299" s="575"/>
      <c r="P299" s="575"/>
      <c r="Q299" s="575"/>
      <c r="R299" s="575"/>
      <c r="S299" s="989"/>
      <c r="T299" s="575"/>
      <c r="U299" s="575"/>
      <c r="V299" s="575"/>
      <c r="W299" s="575"/>
      <c r="X299" s="575"/>
      <c r="Y299" s="575"/>
      <c r="Z299" s="989"/>
      <c r="AA299" s="575"/>
      <c r="AB299" s="575"/>
      <c r="AC299" s="575"/>
      <c r="AD299" s="575"/>
      <c r="AE299" s="827"/>
      <c r="AF299" s="575"/>
      <c r="AG299" s="960"/>
      <c r="AH299" s="842"/>
      <c r="AI299" s="839">
        <f t="shared" si="16"/>
        <v>0</v>
      </c>
      <c r="AJ299" s="949">
        <v>0</v>
      </c>
      <c r="AK299" s="581">
        <f t="shared" si="14"/>
        <v>0</v>
      </c>
      <c r="AL299" s="750" t="s">
        <v>1611</v>
      </c>
      <c r="AM299" s="743">
        <f t="shared" si="15"/>
        <v>39.17</v>
      </c>
    </row>
    <row r="300" spans="1:39" s="560" customFormat="1" hidden="1">
      <c r="A300" s="604" t="s">
        <v>794</v>
      </c>
      <c r="B300" s="604" t="s">
        <v>1231</v>
      </c>
      <c r="C300" s="614" t="s">
        <v>37</v>
      </c>
      <c r="D300" s="580"/>
      <c r="E300" s="981"/>
      <c r="F300" s="581"/>
      <c r="G300" s="581"/>
      <c r="H300" s="581"/>
      <c r="I300" s="949"/>
      <c r="J300" s="949"/>
      <c r="K300" s="949"/>
      <c r="L300" s="989"/>
      <c r="M300" s="575"/>
      <c r="N300" s="575"/>
      <c r="O300" s="575"/>
      <c r="P300" s="575"/>
      <c r="Q300" s="575"/>
      <c r="R300" s="575"/>
      <c r="S300" s="989"/>
      <c r="T300" s="575"/>
      <c r="U300" s="575"/>
      <c r="V300" s="575"/>
      <c r="W300" s="575"/>
      <c r="X300" s="575"/>
      <c r="Y300" s="575"/>
      <c r="Z300" s="989"/>
      <c r="AA300" s="575"/>
      <c r="AB300" s="575"/>
      <c r="AC300" s="575"/>
      <c r="AD300" s="575"/>
      <c r="AE300" s="827"/>
      <c r="AF300" s="575"/>
      <c r="AG300" s="960"/>
      <c r="AH300" s="842"/>
      <c r="AI300" s="839">
        <f t="shared" si="16"/>
        <v>0</v>
      </c>
      <c r="AJ300" s="949">
        <v>0</v>
      </c>
      <c r="AK300" s="581">
        <f t="shared" si="14"/>
        <v>0</v>
      </c>
      <c r="AL300" s="750" t="s">
        <v>1612</v>
      </c>
      <c r="AM300" s="743">
        <f t="shared" si="15"/>
        <v>68.38</v>
      </c>
    </row>
    <row r="301" spans="1:39" s="560" customFormat="1" hidden="1">
      <c r="A301" s="604" t="s">
        <v>795</v>
      </c>
      <c r="B301" s="604" t="s">
        <v>1232</v>
      </c>
      <c r="C301" s="614" t="s">
        <v>37</v>
      </c>
      <c r="D301" s="580"/>
      <c r="E301" s="981"/>
      <c r="F301" s="581"/>
      <c r="G301" s="581"/>
      <c r="H301" s="581"/>
      <c r="I301" s="949"/>
      <c r="J301" s="949"/>
      <c r="K301" s="949"/>
      <c r="L301" s="989"/>
      <c r="M301" s="575"/>
      <c r="N301" s="575"/>
      <c r="O301" s="575"/>
      <c r="P301" s="575"/>
      <c r="Q301" s="575"/>
      <c r="R301" s="575"/>
      <c r="S301" s="989"/>
      <c r="T301" s="575"/>
      <c r="U301" s="575"/>
      <c r="V301" s="575"/>
      <c r="W301" s="575"/>
      <c r="X301" s="575"/>
      <c r="Y301" s="575"/>
      <c r="Z301" s="989"/>
      <c r="AA301" s="575"/>
      <c r="AB301" s="575"/>
      <c r="AC301" s="575"/>
      <c r="AD301" s="575"/>
      <c r="AE301" s="827"/>
      <c r="AF301" s="575"/>
      <c r="AG301" s="960"/>
      <c r="AH301" s="842"/>
      <c r="AI301" s="839">
        <f t="shared" si="16"/>
        <v>0</v>
      </c>
      <c r="AJ301" s="949">
        <v>0</v>
      </c>
      <c r="AK301" s="581">
        <f t="shared" si="14"/>
        <v>0</v>
      </c>
      <c r="AL301" s="750" t="s">
        <v>1613</v>
      </c>
      <c r="AM301" s="743">
        <f t="shared" si="15"/>
        <v>228.32</v>
      </c>
    </row>
    <row r="302" spans="1:39" s="560" customFormat="1" hidden="1">
      <c r="A302" s="607" t="s">
        <v>50</v>
      </c>
      <c r="B302" s="607" t="s">
        <v>1233</v>
      </c>
      <c r="C302" s="690"/>
      <c r="D302" s="580"/>
      <c r="E302" s="981"/>
      <c r="F302" s="581"/>
      <c r="G302" s="581"/>
      <c r="H302" s="581"/>
      <c r="I302" s="949"/>
      <c r="J302" s="949"/>
      <c r="K302" s="949"/>
      <c r="L302" s="989"/>
      <c r="M302" s="575"/>
      <c r="N302" s="575"/>
      <c r="O302" s="575"/>
      <c r="P302" s="575"/>
      <c r="Q302" s="575"/>
      <c r="R302" s="575"/>
      <c r="S302" s="989"/>
      <c r="T302" s="575"/>
      <c r="U302" s="575"/>
      <c r="V302" s="575"/>
      <c r="W302" s="575"/>
      <c r="X302" s="575"/>
      <c r="Y302" s="575"/>
      <c r="Z302" s="989"/>
      <c r="AA302" s="575"/>
      <c r="AB302" s="575"/>
      <c r="AC302" s="575"/>
      <c r="AD302" s="575"/>
      <c r="AE302" s="827"/>
      <c r="AF302" s="575"/>
      <c r="AG302" s="960"/>
      <c r="AH302" s="842"/>
      <c r="AI302" s="839">
        <f t="shared" si="16"/>
        <v>0</v>
      </c>
      <c r="AJ302" s="949">
        <v>0</v>
      </c>
      <c r="AK302" s="581">
        <f t="shared" si="14"/>
        <v>0</v>
      </c>
      <c r="AL302" s="750"/>
      <c r="AM302" s="743">
        <f t="shared" si="15"/>
        <v>0</v>
      </c>
    </row>
    <row r="303" spans="1:39" s="560" customFormat="1" hidden="1">
      <c r="A303" s="604" t="s">
        <v>796</v>
      </c>
      <c r="B303" s="604" t="s">
        <v>1234</v>
      </c>
      <c r="C303" s="614" t="s">
        <v>36</v>
      </c>
      <c r="D303" s="580"/>
      <c r="E303" s="981"/>
      <c r="F303" s="581"/>
      <c r="G303" s="581"/>
      <c r="H303" s="581"/>
      <c r="I303" s="949"/>
      <c r="J303" s="949"/>
      <c r="K303" s="949"/>
      <c r="L303" s="989"/>
      <c r="M303" s="575"/>
      <c r="N303" s="575"/>
      <c r="O303" s="575"/>
      <c r="P303" s="575"/>
      <c r="Q303" s="575"/>
      <c r="R303" s="575"/>
      <c r="S303" s="989"/>
      <c r="T303" s="575"/>
      <c r="U303" s="575"/>
      <c r="V303" s="575"/>
      <c r="W303" s="575"/>
      <c r="X303" s="575"/>
      <c r="Y303" s="575"/>
      <c r="Z303" s="989"/>
      <c r="AA303" s="575"/>
      <c r="AB303" s="575"/>
      <c r="AC303" s="575"/>
      <c r="AD303" s="575"/>
      <c r="AE303" s="827"/>
      <c r="AF303" s="575"/>
      <c r="AG303" s="960"/>
      <c r="AH303" s="842"/>
      <c r="AI303" s="839">
        <f t="shared" si="16"/>
        <v>0</v>
      </c>
      <c r="AJ303" s="949">
        <v>0</v>
      </c>
      <c r="AK303" s="581">
        <f t="shared" si="14"/>
        <v>0</v>
      </c>
      <c r="AL303" s="750" t="s">
        <v>1614</v>
      </c>
      <c r="AM303" s="743">
        <f t="shared" si="15"/>
        <v>90.62</v>
      </c>
    </row>
    <row r="304" spans="1:39" s="782" customFormat="1" hidden="1">
      <c r="A304" s="885" t="s">
        <v>276</v>
      </c>
      <c r="B304" s="885" t="s">
        <v>1235</v>
      </c>
      <c r="C304" s="898"/>
      <c r="D304" s="795"/>
      <c r="E304" s="981"/>
      <c r="F304" s="778"/>
      <c r="G304" s="778"/>
      <c r="H304" s="778"/>
      <c r="I304" s="777"/>
      <c r="J304" s="777"/>
      <c r="K304" s="777"/>
      <c r="L304" s="989"/>
      <c r="M304" s="809"/>
      <c r="N304" s="809"/>
      <c r="O304" s="809"/>
      <c r="P304" s="809"/>
      <c r="Q304" s="809"/>
      <c r="R304" s="809"/>
      <c r="S304" s="989"/>
      <c r="T304" s="809"/>
      <c r="U304" s="809"/>
      <c r="V304" s="809"/>
      <c r="W304" s="809"/>
      <c r="X304" s="809"/>
      <c r="Y304" s="809"/>
      <c r="Z304" s="989"/>
      <c r="AA304" s="809"/>
      <c r="AB304" s="809"/>
      <c r="AC304" s="809"/>
      <c r="AD304" s="809"/>
      <c r="AE304" s="827"/>
      <c r="AF304" s="809"/>
      <c r="AG304" s="960"/>
      <c r="AH304" s="873"/>
      <c r="AI304" s="839">
        <f t="shared" si="16"/>
        <v>0</v>
      </c>
      <c r="AJ304" s="777">
        <v>0</v>
      </c>
      <c r="AK304" s="778">
        <f t="shared" si="14"/>
        <v>0</v>
      </c>
      <c r="AL304" s="901"/>
      <c r="AM304" s="781">
        <f t="shared" si="15"/>
        <v>0</v>
      </c>
    </row>
    <row r="305" spans="1:39" s="782" customFormat="1" hidden="1">
      <c r="A305" s="772" t="s">
        <v>797</v>
      </c>
      <c r="B305" s="772" t="s">
        <v>1236</v>
      </c>
      <c r="C305" s="877" t="s">
        <v>36</v>
      </c>
      <c r="D305" s="795"/>
      <c r="E305" s="981"/>
      <c r="F305" s="778"/>
      <c r="G305" s="778"/>
      <c r="H305" s="778"/>
      <c r="I305" s="777"/>
      <c r="J305" s="777"/>
      <c r="K305" s="777"/>
      <c r="L305" s="989"/>
      <c r="M305" s="809"/>
      <c r="N305" s="809"/>
      <c r="O305" s="809"/>
      <c r="P305" s="809"/>
      <c r="Q305" s="809"/>
      <c r="R305" s="809"/>
      <c r="S305" s="989"/>
      <c r="T305" s="809"/>
      <c r="U305" s="809"/>
      <c r="V305" s="809"/>
      <c r="W305" s="809"/>
      <c r="X305" s="809"/>
      <c r="Y305" s="809"/>
      <c r="Z305" s="989"/>
      <c r="AA305" s="809"/>
      <c r="AB305" s="809"/>
      <c r="AC305" s="809"/>
      <c r="AD305" s="809"/>
      <c r="AE305" s="827"/>
      <c r="AF305" s="809"/>
      <c r="AG305" s="960"/>
      <c r="AH305" s="873"/>
      <c r="AI305" s="839">
        <f t="shared" si="16"/>
        <v>0</v>
      </c>
      <c r="AJ305" s="777">
        <v>0</v>
      </c>
      <c r="AK305" s="778">
        <f t="shared" si="14"/>
        <v>0</v>
      </c>
      <c r="AL305" s="901" t="s">
        <v>1615</v>
      </c>
      <c r="AM305" s="781">
        <f t="shared" si="15"/>
        <v>72.22</v>
      </c>
    </row>
    <row r="306" spans="1:39" s="560" customFormat="1" hidden="1">
      <c r="A306" s="604" t="s">
        <v>798</v>
      </c>
      <c r="B306" s="604" t="s">
        <v>1237</v>
      </c>
      <c r="C306" s="614" t="s">
        <v>36</v>
      </c>
      <c r="D306" s="580"/>
      <c r="E306" s="981"/>
      <c r="F306" s="581"/>
      <c r="G306" s="581"/>
      <c r="H306" s="581"/>
      <c r="I306" s="949"/>
      <c r="J306" s="949"/>
      <c r="K306" s="949"/>
      <c r="L306" s="989"/>
      <c r="M306" s="575"/>
      <c r="N306" s="575"/>
      <c r="O306" s="575"/>
      <c r="P306" s="575"/>
      <c r="Q306" s="575"/>
      <c r="R306" s="575"/>
      <c r="S306" s="989"/>
      <c r="T306" s="575"/>
      <c r="U306" s="575"/>
      <c r="V306" s="575"/>
      <c r="W306" s="575"/>
      <c r="X306" s="575"/>
      <c r="Y306" s="575"/>
      <c r="Z306" s="989"/>
      <c r="AA306" s="575"/>
      <c r="AB306" s="575"/>
      <c r="AC306" s="575"/>
      <c r="AD306" s="575"/>
      <c r="AE306" s="827"/>
      <c r="AF306" s="575"/>
      <c r="AG306" s="960"/>
      <c r="AH306" s="842"/>
      <c r="AI306" s="839">
        <f t="shared" si="16"/>
        <v>0</v>
      </c>
      <c r="AJ306" s="949">
        <v>0</v>
      </c>
      <c r="AK306" s="581">
        <f t="shared" si="14"/>
        <v>0</v>
      </c>
      <c r="AL306" s="750" t="s">
        <v>1616</v>
      </c>
      <c r="AM306" s="743">
        <f t="shared" si="15"/>
        <v>56.44</v>
      </c>
    </row>
    <row r="307" spans="1:39" s="560" customFormat="1" hidden="1">
      <c r="A307" s="604" t="s">
        <v>799</v>
      </c>
      <c r="B307" s="604" t="s">
        <v>1238</v>
      </c>
      <c r="C307" s="614" t="s">
        <v>36</v>
      </c>
      <c r="D307" s="580"/>
      <c r="E307" s="981"/>
      <c r="F307" s="581"/>
      <c r="G307" s="581"/>
      <c r="H307" s="581"/>
      <c r="I307" s="949"/>
      <c r="J307" s="949"/>
      <c r="K307" s="949"/>
      <c r="L307" s="989"/>
      <c r="M307" s="575"/>
      <c r="N307" s="575"/>
      <c r="O307" s="575"/>
      <c r="P307" s="575"/>
      <c r="Q307" s="575"/>
      <c r="R307" s="575"/>
      <c r="S307" s="989"/>
      <c r="T307" s="575"/>
      <c r="U307" s="575"/>
      <c r="V307" s="575"/>
      <c r="W307" s="575"/>
      <c r="X307" s="575"/>
      <c r="Y307" s="575"/>
      <c r="Z307" s="989"/>
      <c r="AA307" s="575"/>
      <c r="AB307" s="575"/>
      <c r="AC307" s="575"/>
      <c r="AD307" s="575"/>
      <c r="AE307" s="827"/>
      <c r="AF307" s="575"/>
      <c r="AG307" s="960"/>
      <c r="AH307" s="842"/>
      <c r="AI307" s="839">
        <f t="shared" si="16"/>
        <v>0</v>
      </c>
      <c r="AJ307" s="949">
        <v>0</v>
      </c>
      <c r="AK307" s="581">
        <f t="shared" si="14"/>
        <v>0</v>
      </c>
      <c r="AL307" s="750" t="s">
        <v>1617</v>
      </c>
      <c r="AM307" s="743">
        <f t="shared" si="15"/>
        <v>15.78</v>
      </c>
    </row>
    <row r="308" spans="1:39" s="560" customFormat="1" hidden="1">
      <c r="A308" s="607" t="s">
        <v>278</v>
      </c>
      <c r="B308" s="607" t="s">
        <v>1239</v>
      </c>
      <c r="C308" s="690"/>
      <c r="D308" s="580"/>
      <c r="E308" s="981"/>
      <c r="F308" s="581"/>
      <c r="G308" s="581"/>
      <c r="H308" s="581"/>
      <c r="I308" s="949"/>
      <c r="J308" s="949"/>
      <c r="K308" s="949"/>
      <c r="L308" s="989"/>
      <c r="M308" s="575"/>
      <c r="N308" s="575"/>
      <c r="O308" s="575"/>
      <c r="P308" s="575"/>
      <c r="Q308" s="575"/>
      <c r="R308" s="575"/>
      <c r="S308" s="989"/>
      <c r="T308" s="575"/>
      <c r="U308" s="575"/>
      <c r="V308" s="575"/>
      <c r="W308" s="575"/>
      <c r="X308" s="575"/>
      <c r="Y308" s="575"/>
      <c r="Z308" s="989"/>
      <c r="AA308" s="575"/>
      <c r="AB308" s="575"/>
      <c r="AC308" s="575"/>
      <c r="AD308" s="575"/>
      <c r="AE308" s="827"/>
      <c r="AF308" s="575"/>
      <c r="AG308" s="960"/>
      <c r="AH308" s="842"/>
      <c r="AI308" s="839">
        <f t="shared" si="16"/>
        <v>0</v>
      </c>
      <c r="AJ308" s="949">
        <v>0</v>
      </c>
      <c r="AK308" s="581">
        <f t="shared" si="14"/>
        <v>0</v>
      </c>
      <c r="AL308" s="750"/>
      <c r="AM308" s="743">
        <f t="shared" si="15"/>
        <v>0</v>
      </c>
    </row>
    <row r="309" spans="1:39" s="560" customFormat="1" hidden="1">
      <c r="A309" s="604" t="s">
        <v>800</v>
      </c>
      <c r="B309" s="604" t="s">
        <v>1240</v>
      </c>
      <c r="C309" s="614" t="s">
        <v>37</v>
      </c>
      <c r="D309" s="580"/>
      <c r="E309" s="981"/>
      <c r="F309" s="581"/>
      <c r="G309" s="581"/>
      <c r="H309" s="581"/>
      <c r="I309" s="949"/>
      <c r="J309" s="949"/>
      <c r="K309" s="949"/>
      <c r="L309" s="989"/>
      <c r="M309" s="575"/>
      <c r="N309" s="575"/>
      <c r="O309" s="575"/>
      <c r="P309" s="575"/>
      <c r="Q309" s="575"/>
      <c r="R309" s="575"/>
      <c r="S309" s="989"/>
      <c r="T309" s="575"/>
      <c r="U309" s="575"/>
      <c r="V309" s="575"/>
      <c r="W309" s="575"/>
      <c r="X309" s="575"/>
      <c r="Y309" s="575"/>
      <c r="Z309" s="989"/>
      <c r="AA309" s="575"/>
      <c r="AB309" s="575"/>
      <c r="AC309" s="575"/>
      <c r="AD309" s="575"/>
      <c r="AE309" s="827"/>
      <c r="AF309" s="575"/>
      <c r="AG309" s="960"/>
      <c r="AH309" s="842"/>
      <c r="AI309" s="839">
        <f t="shared" si="16"/>
        <v>0</v>
      </c>
      <c r="AJ309" s="949">
        <v>0</v>
      </c>
      <c r="AK309" s="581">
        <f t="shared" si="14"/>
        <v>0</v>
      </c>
      <c r="AL309" s="750" t="s">
        <v>1618</v>
      </c>
      <c r="AM309" s="743">
        <f t="shared" si="15"/>
        <v>11.52</v>
      </c>
    </row>
    <row r="310" spans="1:39" s="560" customFormat="1" hidden="1">
      <c r="A310" s="604" t="s">
        <v>801</v>
      </c>
      <c r="B310" s="604" t="s">
        <v>1241</v>
      </c>
      <c r="C310" s="614" t="s">
        <v>36</v>
      </c>
      <c r="D310" s="580"/>
      <c r="E310" s="981"/>
      <c r="F310" s="581"/>
      <c r="G310" s="581"/>
      <c r="H310" s="581"/>
      <c r="I310" s="949"/>
      <c r="J310" s="949"/>
      <c r="K310" s="949"/>
      <c r="L310" s="989"/>
      <c r="M310" s="575"/>
      <c r="N310" s="575"/>
      <c r="O310" s="575"/>
      <c r="P310" s="575"/>
      <c r="Q310" s="575"/>
      <c r="R310" s="575"/>
      <c r="S310" s="989"/>
      <c r="T310" s="575"/>
      <c r="U310" s="575"/>
      <c r="V310" s="575"/>
      <c r="W310" s="575"/>
      <c r="X310" s="575"/>
      <c r="Y310" s="575"/>
      <c r="Z310" s="989"/>
      <c r="AA310" s="575"/>
      <c r="AB310" s="575"/>
      <c r="AC310" s="575"/>
      <c r="AD310" s="575"/>
      <c r="AE310" s="827"/>
      <c r="AF310" s="575"/>
      <c r="AG310" s="960"/>
      <c r="AH310" s="842"/>
      <c r="AI310" s="839">
        <f t="shared" si="16"/>
        <v>0</v>
      </c>
      <c r="AJ310" s="949">
        <v>0</v>
      </c>
      <c r="AK310" s="581">
        <f t="shared" si="14"/>
        <v>0</v>
      </c>
      <c r="AL310" s="750" t="s">
        <v>1619</v>
      </c>
      <c r="AM310" s="743">
        <f t="shared" si="15"/>
        <v>5.18</v>
      </c>
    </row>
    <row r="311" spans="1:39" s="560" customFormat="1" hidden="1">
      <c r="A311" s="607" t="s">
        <v>279</v>
      </c>
      <c r="B311" s="607" t="s">
        <v>1242</v>
      </c>
      <c r="C311" s="690"/>
      <c r="D311" s="580"/>
      <c r="E311" s="981"/>
      <c r="F311" s="581"/>
      <c r="G311" s="581"/>
      <c r="H311" s="581"/>
      <c r="I311" s="949"/>
      <c r="J311" s="949"/>
      <c r="K311" s="949"/>
      <c r="L311" s="989"/>
      <c r="M311" s="575"/>
      <c r="N311" s="575"/>
      <c r="O311" s="575"/>
      <c r="P311" s="575"/>
      <c r="Q311" s="575"/>
      <c r="R311" s="575"/>
      <c r="S311" s="989"/>
      <c r="T311" s="575"/>
      <c r="U311" s="575"/>
      <c r="V311" s="575"/>
      <c r="W311" s="575"/>
      <c r="X311" s="575"/>
      <c r="Y311" s="575"/>
      <c r="Z311" s="989"/>
      <c r="AA311" s="575"/>
      <c r="AB311" s="575"/>
      <c r="AC311" s="575"/>
      <c r="AD311" s="575"/>
      <c r="AE311" s="827"/>
      <c r="AF311" s="575"/>
      <c r="AG311" s="960"/>
      <c r="AH311" s="842"/>
      <c r="AI311" s="839">
        <f t="shared" si="16"/>
        <v>0</v>
      </c>
      <c r="AJ311" s="949">
        <v>0</v>
      </c>
      <c r="AK311" s="581">
        <f t="shared" si="14"/>
        <v>0</v>
      </c>
      <c r="AL311" s="750"/>
      <c r="AM311" s="743">
        <f t="shared" si="15"/>
        <v>0</v>
      </c>
    </row>
    <row r="312" spans="1:39" s="560" customFormat="1" hidden="1">
      <c r="A312" s="604" t="s">
        <v>802</v>
      </c>
      <c r="B312" s="604" t="s">
        <v>1243</v>
      </c>
      <c r="C312" s="614" t="s">
        <v>36</v>
      </c>
      <c r="D312" s="580"/>
      <c r="E312" s="981"/>
      <c r="F312" s="581"/>
      <c r="G312" s="581"/>
      <c r="H312" s="581"/>
      <c r="I312" s="949"/>
      <c r="J312" s="949"/>
      <c r="K312" s="949"/>
      <c r="L312" s="989"/>
      <c r="M312" s="575"/>
      <c r="N312" s="575"/>
      <c r="O312" s="575"/>
      <c r="P312" s="575"/>
      <c r="Q312" s="575"/>
      <c r="R312" s="575"/>
      <c r="S312" s="989"/>
      <c r="T312" s="575"/>
      <c r="U312" s="575"/>
      <c r="V312" s="575"/>
      <c r="W312" s="575"/>
      <c r="X312" s="575"/>
      <c r="Y312" s="575"/>
      <c r="Z312" s="989"/>
      <c r="AA312" s="575"/>
      <c r="AB312" s="575"/>
      <c r="AC312" s="575"/>
      <c r="AD312" s="575"/>
      <c r="AE312" s="827"/>
      <c r="AF312" s="575"/>
      <c r="AG312" s="960"/>
      <c r="AH312" s="842"/>
      <c r="AI312" s="839">
        <f t="shared" si="16"/>
        <v>0</v>
      </c>
      <c r="AJ312" s="949">
        <v>0</v>
      </c>
      <c r="AK312" s="581">
        <f t="shared" si="14"/>
        <v>0</v>
      </c>
      <c r="AL312" s="750" t="s">
        <v>1620</v>
      </c>
      <c r="AM312" s="743">
        <f t="shared" si="15"/>
        <v>73.5</v>
      </c>
    </row>
    <row r="313" spans="1:39" s="560" customFormat="1" hidden="1">
      <c r="A313" s="607" t="s">
        <v>280</v>
      </c>
      <c r="B313" s="607" t="s">
        <v>1244</v>
      </c>
      <c r="C313" s="690"/>
      <c r="D313" s="580"/>
      <c r="E313" s="981"/>
      <c r="F313" s="581"/>
      <c r="G313" s="581"/>
      <c r="H313" s="581"/>
      <c r="I313" s="949"/>
      <c r="J313" s="949"/>
      <c r="K313" s="949"/>
      <c r="L313" s="989"/>
      <c r="M313" s="575"/>
      <c r="N313" s="575"/>
      <c r="O313" s="575"/>
      <c r="P313" s="575"/>
      <c r="Q313" s="575"/>
      <c r="R313" s="575"/>
      <c r="S313" s="989"/>
      <c r="T313" s="575"/>
      <c r="U313" s="575"/>
      <c r="V313" s="575"/>
      <c r="W313" s="575"/>
      <c r="X313" s="575"/>
      <c r="Y313" s="575"/>
      <c r="Z313" s="989"/>
      <c r="AA313" s="575"/>
      <c r="AB313" s="575"/>
      <c r="AC313" s="575"/>
      <c r="AD313" s="575"/>
      <c r="AE313" s="827"/>
      <c r="AF313" s="575"/>
      <c r="AG313" s="960"/>
      <c r="AH313" s="842"/>
      <c r="AI313" s="839">
        <f t="shared" si="16"/>
        <v>0</v>
      </c>
      <c r="AJ313" s="949">
        <v>0</v>
      </c>
      <c r="AK313" s="581">
        <f t="shared" si="14"/>
        <v>0</v>
      </c>
      <c r="AL313" s="750"/>
      <c r="AM313" s="743">
        <f t="shared" si="15"/>
        <v>0</v>
      </c>
    </row>
    <row r="314" spans="1:39" s="560" customFormat="1" hidden="1">
      <c r="A314" s="604" t="s">
        <v>803</v>
      </c>
      <c r="B314" s="604" t="s">
        <v>1245</v>
      </c>
      <c r="C314" s="614" t="s">
        <v>36</v>
      </c>
      <c r="D314" s="580"/>
      <c r="E314" s="981"/>
      <c r="F314" s="581"/>
      <c r="G314" s="581"/>
      <c r="H314" s="581"/>
      <c r="I314" s="949"/>
      <c r="J314" s="949"/>
      <c r="K314" s="949"/>
      <c r="L314" s="989"/>
      <c r="M314" s="575"/>
      <c r="N314" s="575"/>
      <c r="O314" s="575"/>
      <c r="P314" s="575"/>
      <c r="Q314" s="575"/>
      <c r="R314" s="575"/>
      <c r="S314" s="989"/>
      <c r="T314" s="575"/>
      <c r="U314" s="575"/>
      <c r="V314" s="575"/>
      <c r="W314" s="575"/>
      <c r="X314" s="575"/>
      <c r="Y314" s="575"/>
      <c r="Z314" s="989"/>
      <c r="AA314" s="575"/>
      <c r="AB314" s="575"/>
      <c r="AC314" s="575"/>
      <c r="AD314" s="575"/>
      <c r="AE314" s="827"/>
      <c r="AF314" s="575"/>
      <c r="AG314" s="960"/>
      <c r="AH314" s="842"/>
      <c r="AI314" s="839">
        <f t="shared" si="16"/>
        <v>0</v>
      </c>
      <c r="AJ314" s="949">
        <v>0</v>
      </c>
      <c r="AK314" s="581">
        <f t="shared" si="14"/>
        <v>0</v>
      </c>
      <c r="AL314" s="750" t="s">
        <v>1621</v>
      </c>
      <c r="AM314" s="743">
        <f t="shared" si="15"/>
        <v>15.8</v>
      </c>
    </row>
    <row r="315" spans="1:39" s="560" customFormat="1" hidden="1">
      <c r="A315" s="604" t="s">
        <v>804</v>
      </c>
      <c r="B315" s="604" t="s">
        <v>1246</v>
      </c>
      <c r="C315" s="614" t="s">
        <v>37</v>
      </c>
      <c r="D315" s="580"/>
      <c r="E315" s="981"/>
      <c r="F315" s="581"/>
      <c r="G315" s="581"/>
      <c r="H315" s="581"/>
      <c r="I315" s="949"/>
      <c r="J315" s="949"/>
      <c r="K315" s="949"/>
      <c r="L315" s="989"/>
      <c r="M315" s="575"/>
      <c r="N315" s="575"/>
      <c r="O315" s="575"/>
      <c r="P315" s="575"/>
      <c r="Q315" s="575"/>
      <c r="R315" s="575"/>
      <c r="S315" s="989"/>
      <c r="T315" s="575"/>
      <c r="U315" s="575"/>
      <c r="V315" s="575"/>
      <c r="W315" s="575"/>
      <c r="X315" s="575"/>
      <c r="Y315" s="575"/>
      <c r="Z315" s="989"/>
      <c r="AA315" s="575"/>
      <c r="AB315" s="575"/>
      <c r="AC315" s="575"/>
      <c r="AD315" s="575"/>
      <c r="AE315" s="827"/>
      <c r="AF315" s="575"/>
      <c r="AG315" s="960"/>
      <c r="AH315" s="842"/>
      <c r="AI315" s="839">
        <f t="shared" si="16"/>
        <v>0</v>
      </c>
      <c r="AJ315" s="949">
        <v>0</v>
      </c>
      <c r="AK315" s="581">
        <f t="shared" si="14"/>
        <v>0</v>
      </c>
      <c r="AL315" s="750" t="s">
        <v>1622</v>
      </c>
      <c r="AM315" s="743">
        <f t="shared" si="15"/>
        <v>27.62</v>
      </c>
    </row>
    <row r="316" spans="1:39" s="560" customFormat="1" hidden="1">
      <c r="A316" s="604" t="s">
        <v>805</v>
      </c>
      <c r="B316" s="604" t="s">
        <v>1247</v>
      </c>
      <c r="C316" s="614" t="s">
        <v>37</v>
      </c>
      <c r="D316" s="580"/>
      <c r="E316" s="981"/>
      <c r="F316" s="581"/>
      <c r="G316" s="581"/>
      <c r="H316" s="581"/>
      <c r="I316" s="949"/>
      <c r="J316" s="949"/>
      <c r="K316" s="949"/>
      <c r="L316" s="989"/>
      <c r="M316" s="575"/>
      <c r="N316" s="575"/>
      <c r="O316" s="575"/>
      <c r="P316" s="575"/>
      <c r="Q316" s="575"/>
      <c r="R316" s="575"/>
      <c r="S316" s="989"/>
      <c r="T316" s="575"/>
      <c r="U316" s="575"/>
      <c r="V316" s="575"/>
      <c r="W316" s="575"/>
      <c r="X316" s="575"/>
      <c r="Y316" s="575"/>
      <c r="Z316" s="989"/>
      <c r="AA316" s="575"/>
      <c r="AB316" s="575"/>
      <c r="AC316" s="575"/>
      <c r="AD316" s="575"/>
      <c r="AE316" s="827"/>
      <c r="AF316" s="575"/>
      <c r="AG316" s="960"/>
      <c r="AH316" s="842"/>
      <c r="AI316" s="839">
        <f t="shared" si="16"/>
        <v>0</v>
      </c>
      <c r="AJ316" s="949">
        <v>0</v>
      </c>
      <c r="AK316" s="581">
        <f t="shared" si="14"/>
        <v>0</v>
      </c>
      <c r="AL316" s="750" t="s">
        <v>1623</v>
      </c>
      <c r="AM316" s="743">
        <f t="shared" si="15"/>
        <v>30.2</v>
      </c>
    </row>
    <row r="317" spans="1:39" s="560" customFormat="1" hidden="1">
      <c r="A317" s="607" t="s">
        <v>281</v>
      </c>
      <c r="B317" s="607" t="s">
        <v>1184</v>
      </c>
      <c r="C317" s="690"/>
      <c r="D317" s="580"/>
      <c r="E317" s="981"/>
      <c r="F317" s="581"/>
      <c r="G317" s="581"/>
      <c r="H317" s="581"/>
      <c r="I317" s="949"/>
      <c r="J317" s="949"/>
      <c r="K317" s="949"/>
      <c r="L317" s="989"/>
      <c r="M317" s="575"/>
      <c r="N317" s="575"/>
      <c r="O317" s="575"/>
      <c r="P317" s="575"/>
      <c r="Q317" s="575"/>
      <c r="R317" s="575"/>
      <c r="S317" s="989"/>
      <c r="T317" s="575"/>
      <c r="U317" s="575"/>
      <c r="V317" s="575"/>
      <c r="W317" s="575"/>
      <c r="X317" s="575"/>
      <c r="Y317" s="575"/>
      <c r="Z317" s="989"/>
      <c r="AA317" s="575"/>
      <c r="AB317" s="575"/>
      <c r="AC317" s="575"/>
      <c r="AD317" s="575"/>
      <c r="AE317" s="827"/>
      <c r="AF317" s="575"/>
      <c r="AG317" s="960"/>
      <c r="AH317" s="842"/>
      <c r="AI317" s="839">
        <f t="shared" si="16"/>
        <v>0</v>
      </c>
      <c r="AJ317" s="949">
        <v>0</v>
      </c>
      <c r="AK317" s="581">
        <f t="shared" si="14"/>
        <v>0</v>
      </c>
      <c r="AL317" s="750"/>
      <c r="AM317" s="743">
        <f t="shared" si="15"/>
        <v>0</v>
      </c>
    </row>
    <row r="318" spans="1:39" s="560" customFormat="1" hidden="1">
      <c r="A318" s="604" t="s">
        <v>806</v>
      </c>
      <c r="B318" s="604" t="s">
        <v>1248</v>
      </c>
      <c r="C318" s="614" t="s">
        <v>36</v>
      </c>
      <c r="D318" s="580"/>
      <c r="E318" s="981"/>
      <c r="F318" s="581"/>
      <c r="G318" s="581"/>
      <c r="H318" s="581"/>
      <c r="I318" s="949"/>
      <c r="J318" s="949"/>
      <c r="K318" s="949"/>
      <c r="L318" s="989"/>
      <c r="M318" s="575"/>
      <c r="N318" s="575"/>
      <c r="O318" s="575"/>
      <c r="P318" s="575"/>
      <c r="Q318" s="575"/>
      <c r="R318" s="575"/>
      <c r="S318" s="989"/>
      <c r="T318" s="575"/>
      <c r="U318" s="575"/>
      <c r="V318" s="575"/>
      <c r="W318" s="575"/>
      <c r="X318" s="575"/>
      <c r="Y318" s="575"/>
      <c r="Z318" s="989"/>
      <c r="AA318" s="575"/>
      <c r="AB318" s="575"/>
      <c r="AC318" s="575"/>
      <c r="AD318" s="575"/>
      <c r="AE318" s="827"/>
      <c r="AF318" s="575"/>
      <c r="AG318" s="960"/>
      <c r="AH318" s="842"/>
      <c r="AI318" s="839">
        <f t="shared" si="16"/>
        <v>0</v>
      </c>
      <c r="AJ318" s="949">
        <v>0</v>
      </c>
      <c r="AK318" s="581">
        <f t="shared" si="14"/>
        <v>0</v>
      </c>
      <c r="AL318" s="750" t="s">
        <v>1624</v>
      </c>
      <c r="AM318" s="743">
        <f t="shared" si="15"/>
        <v>90.78</v>
      </c>
    </row>
    <row r="319" spans="1:39" s="560" customFormat="1" hidden="1">
      <c r="A319" s="604" t="s">
        <v>807</v>
      </c>
      <c r="B319" s="604" t="s">
        <v>1249</v>
      </c>
      <c r="C319" s="614" t="s">
        <v>37</v>
      </c>
      <c r="D319" s="580"/>
      <c r="E319" s="981"/>
      <c r="F319" s="581"/>
      <c r="G319" s="581"/>
      <c r="H319" s="581"/>
      <c r="I319" s="949"/>
      <c r="J319" s="949"/>
      <c r="K319" s="949"/>
      <c r="L319" s="989"/>
      <c r="M319" s="575"/>
      <c r="N319" s="575"/>
      <c r="O319" s="575"/>
      <c r="P319" s="575"/>
      <c r="Q319" s="575"/>
      <c r="R319" s="575"/>
      <c r="S319" s="989"/>
      <c r="T319" s="575"/>
      <c r="U319" s="575"/>
      <c r="V319" s="575"/>
      <c r="W319" s="575"/>
      <c r="X319" s="575"/>
      <c r="Y319" s="575"/>
      <c r="Z319" s="989"/>
      <c r="AA319" s="575"/>
      <c r="AB319" s="575"/>
      <c r="AC319" s="575"/>
      <c r="AD319" s="575"/>
      <c r="AE319" s="827"/>
      <c r="AF319" s="575"/>
      <c r="AG319" s="960"/>
      <c r="AH319" s="842"/>
      <c r="AI319" s="839">
        <f t="shared" si="16"/>
        <v>0</v>
      </c>
      <c r="AJ319" s="949">
        <v>0</v>
      </c>
      <c r="AK319" s="581">
        <f t="shared" si="14"/>
        <v>0</v>
      </c>
      <c r="AL319" s="750" t="s">
        <v>1625</v>
      </c>
      <c r="AM319" s="743">
        <f t="shared" si="15"/>
        <v>29.18</v>
      </c>
    </row>
    <row r="320" spans="1:39" s="560" customFormat="1" hidden="1">
      <c r="A320" s="607" t="s">
        <v>808</v>
      </c>
      <c r="B320" s="607" t="s">
        <v>1250</v>
      </c>
      <c r="C320" s="690"/>
      <c r="D320" s="580"/>
      <c r="E320" s="981"/>
      <c r="F320" s="581"/>
      <c r="G320" s="581"/>
      <c r="H320" s="581"/>
      <c r="I320" s="949"/>
      <c r="J320" s="949"/>
      <c r="K320" s="949"/>
      <c r="L320" s="989"/>
      <c r="M320" s="575"/>
      <c r="N320" s="575"/>
      <c r="O320" s="575"/>
      <c r="P320" s="575"/>
      <c r="Q320" s="575"/>
      <c r="R320" s="575"/>
      <c r="S320" s="989"/>
      <c r="T320" s="575"/>
      <c r="U320" s="575"/>
      <c r="V320" s="575"/>
      <c r="W320" s="575"/>
      <c r="X320" s="575"/>
      <c r="Y320" s="575"/>
      <c r="Z320" s="989"/>
      <c r="AA320" s="575"/>
      <c r="AB320" s="575"/>
      <c r="AC320" s="575"/>
      <c r="AD320" s="575"/>
      <c r="AE320" s="827"/>
      <c r="AF320" s="575"/>
      <c r="AG320" s="960"/>
      <c r="AH320" s="842"/>
      <c r="AI320" s="839">
        <f t="shared" si="16"/>
        <v>0</v>
      </c>
      <c r="AJ320" s="949">
        <v>0</v>
      </c>
      <c r="AK320" s="581">
        <f t="shared" si="14"/>
        <v>0</v>
      </c>
      <c r="AL320" s="750"/>
      <c r="AM320" s="743">
        <f t="shared" si="15"/>
        <v>0</v>
      </c>
    </row>
    <row r="321" spans="1:39" s="560" customFormat="1" hidden="1">
      <c r="A321" s="604" t="s">
        <v>809</v>
      </c>
      <c r="B321" s="604" t="s">
        <v>1251</v>
      </c>
      <c r="C321" s="614" t="s">
        <v>36</v>
      </c>
      <c r="D321" s="580"/>
      <c r="E321" s="981"/>
      <c r="F321" s="581"/>
      <c r="G321" s="581"/>
      <c r="H321" s="581"/>
      <c r="I321" s="949"/>
      <c r="J321" s="949"/>
      <c r="K321" s="949"/>
      <c r="L321" s="989"/>
      <c r="M321" s="575"/>
      <c r="N321" s="575"/>
      <c r="O321" s="575"/>
      <c r="P321" s="575"/>
      <c r="Q321" s="575"/>
      <c r="R321" s="575"/>
      <c r="S321" s="989"/>
      <c r="T321" s="575"/>
      <c r="U321" s="575"/>
      <c r="V321" s="575"/>
      <c r="W321" s="575"/>
      <c r="X321" s="575"/>
      <c r="Y321" s="575"/>
      <c r="Z321" s="989"/>
      <c r="AA321" s="575"/>
      <c r="AB321" s="575"/>
      <c r="AC321" s="575"/>
      <c r="AD321" s="575"/>
      <c r="AE321" s="827"/>
      <c r="AF321" s="575"/>
      <c r="AG321" s="960"/>
      <c r="AH321" s="842"/>
      <c r="AI321" s="839">
        <f t="shared" si="16"/>
        <v>0</v>
      </c>
      <c r="AJ321" s="949">
        <v>0</v>
      </c>
      <c r="AK321" s="581">
        <f t="shared" si="14"/>
        <v>0</v>
      </c>
      <c r="AL321" s="750" t="s">
        <v>1626</v>
      </c>
      <c r="AM321" s="743">
        <f t="shared" si="15"/>
        <v>6.3</v>
      </c>
    </row>
    <row r="322" spans="1:39" s="560" customFormat="1" hidden="1">
      <c r="A322" s="607" t="s">
        <v>810</v>
      </c>
      <c r="B322" s="607" t="s">
        <v>1252</v>
      </c>
      <c r="C322" s="690"/>
      <c r="D322" s="580"/>
      <c r="E322" s="981"/>
      <c r="F322" s="581"/>
      <c r="G322" s="581"/>
      <c r="H322" s="581"/>
      <c r="I322" s="949"/>
      <c r="J322" s="949"/>
      <c r="K322" s="949"/>
      <c r="L322" s="989"/>
      <c r="M322" s="575"/>
      <c r="N322" s="575"/>
      <c r="O322" s="575"/>
      <c r="P322" s="575"/>
      <c r="Q322" s="575"/>
      <c r="R322" s="575"/>
      <c r="S322" s="989"/>
      <c r="T322" s="575"/>
      <c r="U322" s="575"/>
      <c r="V322" s="575"/>
      <c r="W322" s="575"/>
      <c r="X322" s="575"/>
      <c r="Y322" s="575"/>
      <c r="Z322" s="989"/>
      <c r="AA322" s="575"/>
      <c r="AB322" s="575"/>
      <c r="AC322" s="575"/>
      <c r="AD322" s="575"/>
      <c r="AE322" s="827"/>
      <c r="AF322" s="575"/>
      <c r="AG322" s="960"/>
      <c r="AH322" s="842"/>
      <c r="AI322" s="839">
        <f t="shared" si="16"/>
        <v>0</v>
      </c>
      <c r="AJ322" s="949">
        <v>0</v>
      </c>
      <c r="AK322" s="581">
        <f t="shared" si="14"/>
        <v>0</v>
      </c>
      <c r="AL322" s="750"/>
      <c r="AM322" s="743">
        <f t="shared" si="15"/>
        <v>0</v>
      </c>
    </row>
    <row r="323" spans="1:39" s="560" customFormat="1" hidden="1">
      <c r="A323" s="604" t="s">
        <v>811</v>
      </c>
      <c r="B323" s="604" t="s">
        <v>1253</v>
      </c>
      <c r="C323" s="614" t="s">
        <v>1437</v>
      </c>
      <c r="D323" s="580"/>
      <c r="E323" s="981"/>
      <c r="F323" s="581"/>
      <c r="G323" s="581"/>
      <c r="H323" s="581"/>
      <c r="I323" s="949"/>
      <c r="J323" s="949"/>
      <c r="K323" s="949"/>
      <c r="L323" s="989"/>
      <c r="M323" s="575"/>
      <c r="N323" s="575"/>
      <c r="O323" s="575"/>
      <c r="P323" s="575"/>
      <c r="Q323" s="575"/>
      <c r="R323" s="575"/>
      <c r="S323" s="989"/>
      <c r="T323" s="575"/>
      <c r="U323" s="575"/>
      <c r="V323" s="575"/>
      <c r="W323" s="575"/>
      <c r="X323" s="575"/>
      <c r="Y323" s="575"/>
      <c r="Z323" s="989"/>
      <c r="AA323" s="575"/>
      <c r="AB323" s="575"/>
      <c r="AC323" s="575"/>
      <c r="AD323" s="575"/>
      <c r="AE323" s="827"/>
      <c r="AF323" s="575"/>
      <c r="AG323" s="960"/>
      <c r="AH323" s="842"/>
      <c r="AI323" s="839">
        <f t="shared" si="16"/>
        <v>0</v>
      </c>
      <c r="AJ323" s="949">
        <v>0</v>
      </c>
      <c r="AK323" s="581">
        <f t="shared" si="14"/>
        <v>0</v>
      </c>
      <c r="AL323" s="750" t="s">
        <v>1627</v>
      </c>
      <c r="AM323" s="743">
        <f t="shared" si="15"/>
        <v>9</v>
      </c>
    </row>
    <row r="324" spans="1:39" s="560" customFormat="1" hidden="1">
      <c r="A324" s="604" t="s">
        <v>812</v>
      </c>
      <c r="B324" s="604" t="s">
        <v>1254</v>
      </c>
      <c r="C324" s="614" t="s">
        <v>35</v>
      </c>
      <c r="D324" s="580"/>
      <c r="E324" s="981"/>
      <c r="F324" s="581"/>
      <c r="G324" s="581"/>
      <c r="H324" s="581"/>
      <c r="I324" s="949"/>
      <c r="J324" s="949"/>
      <c r="K324" s="949"/>
      <c r="L324" s="989"/>
      <c r="M324" s="575"/>
      <c r="N324" s="575"/>
      <c r="O324" s="575"/>
      <c r="P324" s="575"/>
      <c r="Q324" s="575"/>
      <c r="R324" s="575"/>
      <c r="S324" s="989"/>
      <c r="T324" s="575"/>
      <c r="U324" s="575"/>
      <c r="V324" s="575"/>
      <c r="W324" s="575"/>
      <c r="X324" s="575"/>
      <c r="Y324" s="575"/>
      <c r="Z324" s="989"/>
      <c r="AA324" s="575"/>
      <c r="AB324" s="575"/>
      <c r="AC324" s="575"/>
      <c r="AD324" s="575"/>
      <c r="AE324" s="827"/>
      <c r="AF324" s="575"/>
      <c r="AG324" s="960"/>
      <c r="AH324" s="842"/>
      <c r="AI324" s="839">
        <f t="shared" si="16"/>
        <v>0</v>
      </c>
      <c r="AJ324" s="949">
        <v>0</v>
      </c>
      <c r="AK324" s="581">
        <f t="shared" si="14"/>
        <v>0</v>
      </c>
      <c r="AL324" s="750" t="s">
        <v>1604</v>
      </c>
      <c r="AM324" s="743">
        <f t="shared" si="15"/>
        <v>3</v>
      </c>
    </row>
    <row r="325" spans="1:39" s="560" customFormat="1" hidden="1">
      <c r="A325" s="607" t="s">
        <v>813</v>
      </c>
      <c r="B325" s="607" t="s">
        <v>1255</v>
      </c>
      <c r="C325" s="690"/>
      <c r="D325" s="580"/>
      <c r="E325" s="981"/>
      <c r="F325" s="581"/>
      <c r="G325" s="581"/>
      <c r="H325" s="581"/>
      <c r="I325" s="949"/>
      <c r="J325" s="949"/>
      <c r="K325" s="949"/>
      <c r="L325" s="989"/>
      <c r="M325" s="575"/>
      <c r="N325" s="575"/>
      <c r="O325" s="575"/>
      <c r="P325" s="575"/>
      <c r="Q325" s="575"/>
      <c r="R325" s="575"/>
      <c r="S325" s="989"/>
      <c r="T325" s="575"/>
      <c r="U325" s="575"/>
      <c r="V325" s="575"/>
      <c r="W325" s="575"/>
      <c r="X325" s="575"/>
      <c r="Y325" s="575"/>
      <c r="Z325" s="989"/>
      <c r="AA325" s="575"/>
      <c r="AB325" s="575"/>
      <c r="AC325" s="575"/>
      <c r="AD325" s="575"/>
      <c r="AE325" s="827"/>
      <c r="AF325" s="575"/>
      <c r="AG325" s="960"/>
      <c r="AH325" s="842"/>
      <c r="AI325" s="839">
        <f t="shared" si="16"/>
        <v>0</v>
      </c>
      <c r="AJ325" s="949">
        <v>0</v>
      </c>
      <c r="AK325" s="581">
        <f t="shared" si="14"/>
        <v>0</v>
      </c>
      <c r="AL325" s="750"/>
      <c r="AM325" s="743">
        <f t="shared" si="15"/>
        <v>0</v>
      </c>
    </row>
    <row r="326" spans="1:39" s="560" customFormat="1" hidden="1">
      <c r="A326" s="604" t="s">
        <v>814</v>
      </c>
      <c r="B326" s="604" t="s">
        <v>1256</v>
      </c>
      <c r="C326" s="614" t="s">
        <v>36</v>
      </c>
      <c r="D326" s="580"/>
      <c r="E326" s="981"/>
      <c r="F326" s="581"/>
      <c r="G326" s="581"/>
      <c r="H326" s="581"/>
      <c r="I326" s="949"/>
      <c r="J326" s="949"/>
      <c r="K326" s="949"/>
      <c r="L326" s="989"/>
      <c r="M326" s="575"/>
      <c r="N326" s="575"/>
      <c r="O326" s="575"/>
      <c r="P326" s="575"/>
      <c r="Q326" s="575"/>
      <c r="R326" s="575"/>
      <c r="S326" s="989"/>
      <c r="T326" s="575"/>
      <c r="U326" s="575"/>
      <c r="V326" s="575"/>
      <c r="W326" s="575"/>
      <c r="X326" s="575"/>
      <c r="Y326" s="575"/>
      <c r="Z326" s="989"/>
      <c r="AA326" s="575"/>
      <c r="AB326" s="575"/>
      <c r="AC326" s="575"/>
      <c r="AD326" s="575"/>
      <c r="AE326" s="827"/>
      <c r="AF326" s="575"/>
      <c r="AG326" s="960"/>
      <c r="AH326" s="842"/>
      <c r="AI326" s="839">
        <f t="shared" si="16"/>
        <v>0</v>
      </c>
      <c r="AJ326" s="949">
        <v>0</v>
      </c>
      <c r="AK326" s="581">
        <f t="shared" si="14"/>
        <v>0</v>
      </c>
      <c r="AL326" s="750" t="s">
        <v>1628</v>
      </c>
      <c r="AM326" s="743">
        <f t="shared" si="15"/>
        <v>19.149999999999999</v>
      </c>
    </row>
    <row r="327" spans="1:39" s="560" customFormat="1" hidden="1">
      <c r="A327" s="604" t="s">
        <v>815</v>
      </c>
      <c r="B327" s="604" t="s">
        <v>1257</v>
      </c>
      <c r="C327" s="614" t="s">
        <v>36</v>
      </c>
      <c r="D327" s="580"/>
      <c r="E327" s="981"/>
      <c r="F327" s="581"/>
      <c r="G327" s="581"/>
      <c r="H327" s="581"/>
      <c r="I327" s="949"/>
      <c r="J327" s="949"/>
      <c r="K327" s="949"/>
      <c r="L327" s="989"/>
      <c r="M327" s="575"/>
      <c r="N327" s="575"/>
      <c r="O327" s="575"/>
      <c r="P327" s="575"/>
      <c r="Q327" s="575"/>
      <c r="R327" s="575"/>
      <c r="S327" s="989"/>
      <c r="T327" s="575"/>
      <c r="U327" s="575"/>
      <c r="V327" s="575"/>
      <c r="W327" s="575"/>
      <c r="X327" s="575"/>
      <c r="Y327" s="575"/>
      <c r="Z327" s="989"/>
      <c r="AA327" s="575"/>
      <c r="AB327" s="575"/>
      <c r="AC327" s="575"/>
      <c r="AD327" s="575"/>
      <c r="AE327" s="827"/>
      <c r="AF327" s="575"/>
      <c r="AG327" s="960"/>
      <c r="AH327" s="842"/>
      <c r="AI327" s="839">
        <f t="shared" si="16"/>
        <v>0</v>
      </c>
      <c r="AJ327" s="949">
        <v>0</v>
      </c>
      <c r="AK327" s="581">
        <f t="shared" si="14"/>
        <v>0</v>
      </c>
      <c r="AL327" s="750" t="s">
        <v>1629</v>
      </c>
      <c r="AM327" s="743">
        <f t="shared" si="15"/>
        <v>1.5</v>
      </c>
    </row>
    <row r="328" spans="1:39" s="560" customFormat="1" hidden="1">
      <c r="A328" s="607" t="s">
        <v>816</v>
      </c>
      <c r="B328" s="607" t="s">
        <v>1258</v>
      </c>
      <c r="C328" s="690"/>
      <c r="D328" s="580"/>
      <c r="E328" s="981"/>
      <c r="F328" s="581"/>
      <c r="G328" s="581"/>
      <c r="H328" s="581"/>
      <c r="I328" s="949"/>
      <c r="J328" s="949"/>
      <c r="K328" s="949"/>
      <c r="L328" s="989"/>
      <c r="M328" s="575"/>
      <c r="N328" s="575"/>
      <c r="O328" s="575"/>
      <c r="P328" s="575"/>
      <c r="Q328" s="575"/>
      <c r="R328" s="575"/>
      <c r="S328" s="989"/>
      <c r="T328" s="575"/>
      <c r="U328" s="575"/>
      <c r="V328" s="575"/>
      <c r="W328" s="575"/>
      <c r="X328" s="575"/>
      <c r="Y328" s="575"/>
      <c r="Z328" s="989"/>
      <c r="AA328" s="575"/>
      <c r="AB328" s="575"/>
      <c r="AC328" s="575"/>
      <c r="AD328" s="575"/>
      <c r="AE328" s="827"/>
      <c r="AF328" s="575"/>
      <c r="AG328" s="960"/>
      <c r="AH328" s="842"/>
      <c r="AI328" s="839">
        <f t="shared" si="16"/>
        <v>0</v>
      </c>
      <c r="AJ328" s="949">
        <v>0</v>
      </c>
      <c r="AK328" s="581">
        <f t="shared" si="14"/>
        <v>0</v>
      </c>
      <c r="AL328" s="750"/>
      <c r="AM328" s="743">
        <f t="shared" si="15"/>
        <v>0</v>
      </c>
    </row>
    <row r="329" spans="1:39" s="560" customFormat="1" hidden="1">
      <c r="A329" s="604" t="s">
        <v>817</v>
      </c>
      <c r="B329" s="604" t="s">
        <v>1259</v>
      </c>
      <c r="C329" s="614" t="s">
        <v>36</v>
      </c>
      <c r="D329" s="580"/>
      <c r="E329" s="981"/>
      <c r="F329" s="581"/>
      <c r="G329" s="581"/>
      <c r="H329" s="581"/>
      <c r="I329" s="949"/>
      <c r="J329" s="949"/>
      <c r="K329" s="949"/>
      <c r="L329" s="989"/>
      <c r="M329" s="575"/>
      <c r="N329" s="575"/>
      <c r="O329" s="575"/>
      <c r="P329" s="575"/>
      <c r="Q329" s="575"/>
      <c r="R329" s="575"/>
      <c r="S329" s="989"/>
      <c r="T329" s="575"/>
      <c r="U329" s="575"/>
      <c r="V329" s="575"/>
      <c r="W329" s="575"/>
      <c r="X329" s="575"/>
      <c r="Y329" s="575"/>
      <c r="Z329" s="989"/>
      <c r="AA329" s="575"/>
      <c r="AB329" s="575"/>
      <c r="AC329" s="575"/>
      <c r="AD329" s="575"/>
      <c r="AE329" s="827"/>
      <c r="AF329" s="575"/>
      <c r="AG329" s="960"/>
      <c r="AH329" s="842"/>
      <c r="AI329" s="839">
        <f t="shared" si="16"/>
        <v>0</v>
      </c>
      <c r="AJ329" s="949">
        <v>0</v>
      </c>
      <c r="AK329" s="581">
        <f t="shared" si="14"/>
        <v>0</v>
      </c>
      <c r="AL329" s="750" t="s">
        <v>1614</v>
      </c>
      <c r="AM329" s="743">
        <f t="shared" si="15"/>
        <v>90.62</v>
      </c>
    </row>
    <row r="330" spans="1:39" s="560" customFormat="1" hidden="1">
      <c r="A330" s="604" t="s">
        <v>818</v>
      </c>
      <c r="B330" s="604" t="s">
        <v>1260</v>
      </c>
      <c r="C330" s="614" t="s">
        <v>36</v>
      </c>
      <c r="D330" s="580"/>
      <c r="E330" s="981"/>
      <c r="F330" s="581"/>
      <c r="G330" s="581"/>
      <c r="H330" s="581"/>
      <c r="I330" s="949"/>
      <c r="J330" s="949"/>
      <c r="K330" s="949"/>
      <c r="L330" s="989"/>
      <c r="M330" s="575"/>
      <c r="N330" s="575"/>
      <c r="O330" s="575"/>
      <c r="P330" s="575"/>
      <c r="Q330" s="575"/>
      <c r="R330" s="575"/>
      <c r="S330" s="989"/>
      <c r="T330" s="575"/>
      <c r="U330" s="575"/>
      <c r="V330" s="575"/>
      <c r="W330" s="575"/>
      <c r="X330" s="575"/>
      <c r="Y330" s="575"/>
      <c r="Z330" s="989"/>
      <c r="AA330" s="575"/>
      <c r="AB330" s="575"/>
      <c r="AC330" s="575"/>
      <c r="AD330" s="575"/>
      <c r="AE330" s="827"/>
      <c r="AF330" s="575"/>
      <c r="AG330" s="960"/>
      <c r="AH330" s="842"/>
      <c r="AI330" s="839">
        <f t="shared" si="16"/>
        <v>0</v>
      </c>
      <c r="AJ330" s="949">
        <v>0</v>
      </c>
      <c r="AK330" s="581">
        <f t="shared" si="14"/>
        <v>0</v>
      </c>
      <c r="AL330" s="750" t="s">
        <v>1607</v>
      </c>
      <c r="AM330" s="743">
        <f t="shared" si="15"/>
        <v>123.1</v>
      </c>
    </row>
    <row r="331" spans="1:39" s="560" customFormat="1" hidden="1">
      <c r="A331" s="604" t="s">
        <v>819</v>
      </c>
      <c r="B331" s="604" t="s">
        <v>1261</v>
      </c>
      <c r="C331" s="614" t="s">
        <v>36</v>
      </c>
      <c r="D331" s="580"/>
      <c r="E331" s="981"/>
      <c r="F331" s="581"/>
      <c r="G331" s="581"/>
      <c r="H331" s="581"/>
      <c r="I331" s="949"/>
      <c r="J331" s="949"/>
      <c r="K331" s="949"/>
      <c r="L331" s="989"/>
      <c r="M331" s="575"/>
      <c r="N331" s="575"/>
      <c r="O331" s="575"/>
      <c r="P331" s="575"/>
      <c r="Q331" s="575"/>
      <c r="R331" s="575"/>
      <c r="S331" s="989"/>
      <c r="T331" s="575"/>
      <c r="U331" s="575"/>
      <c r="V331" s="575"/>
      <c r="W331" s="575"/>
      <c r="X331" s="575"/>
      <c r="Y331" s="575"/>
      <c r="Z331" s="989"/>
      <c r="AA331" s="575"/>
      <c r="AB331" s="575"/>
      <c r="AC331" s="575"/>
      <c r="AD331" s="575"/>
      <c r="AE331" s="827"/>
      <c r="AF331" s="575"/>
      <c r="AG331" s="960"/>
      <c r="AH331" s="842"/>
      <c r="AI331" s="839">
        <f t="shared" si="16"/>
        <v>0</v>
      </c>
      <c r="AJ331" s="949">
        <v>0</v>
      </c>
      <c r="AK331" s="581">
        <f t="shared" si="14"/>
        <v>0</v>
      </c>
      <c r="AL331" s="750" t="s">
        <v>1608</v>
      </c>
      <c r="AM331" s="743">
        <f t="shared" si="15"/>
        <v>54.38</v>
      </c>
    </row>
    <row r="332" spans="1:39" s="560" customFormat="1" hidden="1">
      <c r="A332" s="604" t="s">
        <v>820</v>
      </c>
      <c r="B332" s="604" t="s">
        <v>1262</v>
      </c>
      <c r="C332" s="614" t="s">
        <v>36</v>
      </c>
      <c r="D332" s="580"/>
      <c r="E332" s="981"/>
      <c r="F332" s="581"/>
      <c r="G332" s="581"/>
      <c r="H332" s="581"/>
      <c r="I332" s="949"/>
      <c r="J332" s="949"/>
      <c r="K332" s="949"/>
      <c r="L332" s="989"/>
      <c r="M332" s="575"/>
      <c r="N332" s="575"/>
      <c r="O332" s="575"/>
      <c r="P332" s="575"/>
      <c r="Q332" s="575"/>
      <c r="R332" s="575"/>
      <c r="S332" s="989"/>
      <c r="T332" s="575"/>
      <c r="U332" s="575"/>
      <c r="V332" s="575"/>
      <c r="W332" s="575"/>
      <c r="X332" s="575"/>
      <c r="Y332" s="575"/>
      <c r="Z332" s="989"/>
      <c r="AA332" s="575"/>
      <c r="AB332" s="575"/>
      <c r="AC332" s="575"/>
      <c r="AD332" s="575"/>
      <c r="AE332" s="827"/>
      <c r="AF332" s="575"/>
      <c r="AG332" s="960"/>
      <c r="AH332" s="842"/>
      <c r="AI332" s="839">
        <f t="shared" si="16"/>
        <v>0</v>
      </c>
      <c r="AJ332" s="949">
        <v>0</v>
      </c>
      <c r="AK332" s="581">
        <f t="shared" si="14"/>
        <v>0</v>
      </c>
      <c r="AL332" s="750" t="s">
        <v>1609</v>
      </c>
      <c r="AM332" s="743">
        <f t="shared" si="15"/>
        <v>34.44</v>
      </c>
    </row>
    <row r="333" spans="1:39" s="560" customFormat="1" hidden="1">
      <c r="A333" s="604" t="s">
        <v>821</v>
      </c>
      <c r="B333" s="604" t="s">
        <v>1263</v>
      </c>
      <c r="C333" s="614" t="s">
        <v>36</v>
      </c>
      <c r="D333" s="580"/>
      <c r="E333" s="981"/>
      <c r="F333" s="581"/>
      <c r="G333" s="581"/>
      <c r="H333" s="581"/>
      <c r="I333" s="949"/>
      <c r="J333" s="949"/>
      <c r="K333" s="949"/>
      <c r="L333" s="989"/>
      <c r="M333" s="575"/>
      <c r="N333" s="575"/>
      <c r="O333" s="575"/>
      <c r="P333" s="575"/>
      <c r="Q333" s="575"/>
      <c r="R333" s="575"/>
      <c r="S333" s="989"/>
      <c r="T333" s="575"/>
      <c r="U333" s="575"/>
      <c r="V333" s="575"/>
      <c r="W333" s="575"/>
      <c r="X333" s="575"/>
      <c r="Y333" s="575"/>
      <c r="Z333" s="989"/>
      <c r="AA333" s="575"/>
      <c r="AB333" s="575"/>
      <c r="AC333" s="575"/>
      <c r="AD333" s="575"/>
      <c r="AE333" s="827"/>
      <c r="AF333" s="575"/>
      <c r="AG333" s="960"/>
      <c r="AH333" s="842"/>
      <c r="AI333" s="839">
        <f t="shared" si="16"/>
        <v>0</v>
      </c>
      <c r="AJ333" s="949">
        <v>0</v>
      </c>
      <c r="AK333" s="581">
        <f t="shared" si="14"/>
        <v>0</v>
      </c>
      <c r="AL333" s="750" t="s">
        <v>1610</v>
      </c>
      <c r="AM333" s="743">
        <f t="shared" si="15"/>
        <v>30.39</v>
      </c>
    </row>
    <row r="334" spans="1:39" s="560" customFormat="1" hidden="1">
      <c r="A334" s="604" t="s">
        <v>822</v>
      </c>
      <c r="B334" s="604" t="s">
        <v>1264</v>
      </c>
      <c r="C334" s="614" t="s">
        <v>36</v>
      </c>
      <c r="D334" s="580"/>
      <c r="E334" s="981"/>
      <c r="F334" s="581"/>
      <c r="G334" s="581"/>
      <c r="H334" s="581"/>
      <c r="I334" s="949"/>
      <c r="J334" s="949"/>
      <c r="K334" s="949"/>
      <c r="L334" s="989"/>
      <c r="M334" s="575"/>
      <c r="N334" s="575"/>
      <c r="O334" s="575"/>
      <c r="P334" s="575"/>
      <c r="Q334" s="575"/>
      <c r="R334" s="575"/>
      <c r="S334" s="989"/>
      <c r="T334" s="575"/>
      <c r="U334" s="575"/>
      <c r="V334" s="575"/>
      <c r="W334" s="575"/>
      <c r="X334" s="575"/>
      <c r="Y334" s="575"/>
      <c r="Z334" s="989"/>
      <c r="AA334" s="575"/>
      <c r="AB334" s="575"/>
      <c r="AC334" s="575"/>
      <c r="AD334" s="575"/>
      <c r="AE334" s="827"/>
      <c r="AF334" s="575"/>
      <c r="AG334" s="960"/>
      <c r="AH334" s="842"/>
      <c r="AI334" s="839">
        <f t="shared" si="16"/>
        <v>0</v>
      </c>
      <c r="AJ334" s="949">
        <v>0</v>
      </c>
      <c r="AK334" s="581">
        <f t="shared" ref="AK334:AK397" si="17">AI334+AJ334</f>
        <v>0</v>
      </c>
      <c r="AL334" s="750" t="s">
        <v>1621</v>
      </c>
      <c r="AM334" s="743">
        <f t="shared" ref="AM334:AM397" si="18">AL334-AK334</f>
        <v>15.8</v>
      </c>
    </row>
    <row r="335" spans="1:39" s="560" customFormat="1" hidden="1">
      <c r="A335" s="604" t="s">
        <v>823</v>
      </c>
      <c r="B335" s="604" t="s">
        <v>1265</v>
      </c>
      <c r="C335" s="614" t="s">
        <v>36</v>
      </c>
      <c r="D335" s="580"/>
      <c r="E335" s="981"/>
      <c r="F335" s="581"/>
      <c r="G335" s="581"/>
      <c r="H335" s="581"/>
      <c r="I335" s="949"/>
      <c r="J335" s="949"/>
      <c r="K335" s="949"/>
      <c r="L335" s="989"/>
      <c r="M335" s="575"/>
      <c r="N335" s="575"/>
      <c r="O335" s="575"/>
      <c r="P335" s="575"/>
      <c r="Q335" s="575"/>
      <c r="R335" s="575"/>
      <c r="S335" s="989"/>
      <c r="T335" s="575"/>
      <c r="U335" s="575"/>
      <c r="V335" s="575"/>
      <c r="W335" s="575"/>
      <c r="X335" s="575"/>
      <c r="Y335" s="575"/>
      <c r="Z335" s="989"/>
      <c r="AA335" s="575"/>
      <c r="AB335" s="575"/>
      <c r="AC335" s="575"/>
      <c r="AD335" s="575"/>
      <c r="AE335" s="827"/>
      <c r="AF335" s="575"/>
      <c r="AG335" s="960"/>
      <c r="AH335" s="842"/>
      <c r="AI335" s="839">
        <f t="shared" ref="AI335:AI398" si="19">ROUND((SUM(D335:AH335)),2)</f>
        <v>0</v>
      </c>
      <c r="AJ335" s="949">
        <v>0</v>
      </c>
      <c r="AK335" s="581">
        <f t="shared" si="17"/>
        <v>0</v>
      </c>
      <c r="AL335" s="750" t="s">
        <v>1630</v>
      </c>
      <c r="AM335" s="743">
        <f t="shared" si="18"/>
        <v>12.6</v>
      </c>
    </row>
    <row r="336" spans="1:39" s="560" customFormat="1" hidden="1">
      <c r="A336" s="607" t="s">
        <v>824</v>
      </c>
      <c r="B336" s="607" t="s">
        <v>1266</v>
      </c>
      <c r="C336" s="690"/>
      <c r="D336" s="580"/>
      <c r="E336" s="981"/>
      <c r="F336" s="581"/>
      <c r="G336" s="581"/>
      <c r="H336" s="581"/>
      <c r="I336" s="949"/>
      <c r="J336" s="949"/>
      <c r="K336" s="949"/>
      <c r="L336" s="989"/>
      <c r="M336" s="575"/>
      <c r="N336" s="575"/>
      <c r="O336" s="575"/>
      <c r="P336" s="575"/>
      <c r="Q336" s="575"/>
      <c r="R336" s="575"/>
      <c r="S336" s="989"/>
      <c r="T336" s="575"/>
      <c r="U336" s="575"/>
      <c r="V336" s="575"/>
      <c r="W336" s="575"/>
      <c r="X336" s="575"/>
      <c r="Y336" s="575"/>
      <c r="Z336" s="989"/>
      <c r="AA336" s="575"/>
      <c r="AB336" s="575"/>
      <c r="AC336" s="575"/>
      <c r="AD336" s="575"/>
      <c r="AE336" s="827"/>
      <c r="AF336" s="575"/>
      <c r="AG336" s="960"/>
      <c r="AH336" s="842"/>
      <c r="AI336" s="839">
        <f t="shared" si="19"/>
        <v>0</v>
      </c>
      <c r="AJ336" s="949">
        <v>0</v>
      </c>
      <c r="AK336" s="581">
        <f t="shared" si="17"/>
        <v>0</v>
      </c>
      <c r="AL336" s="750"/>
      <c r="AM336" s="743">
        <f t="shared" si="18"/>
        <v>0</v>
      </c>
    </row>
    <row r="337" spans="1:39" s="560" customFormat="1" hidden="1">
      <c r="A337" s="604" t="s">
        <v>825</v>
      </c>
      <c r="B337" s="604" t="s">
        <v>1267</v>
      </c>
      <c r="C337" s="614" t="s">
        <v>1436</v>
      </c>
      <c r="D337" s="580"/>
      <c r="E337" s="981"/>
      <c r="F337" s="581"/>
      <c r="G337" s="581"/>
      <c r="H337" s="581"/>
      <c r="I337" s="949"/>
      <c r="J337" s="949"/>
      <c r="K337" s="949"/>
      <c r="L337" s="989"/>
      <c r="M337" s="575"/>
      <c r="N337" s="575"/>
      <c r="O337" s="575"/>
      <c r="P337" s="575"/>
      <c r="Q337" s="575"/>
      <c r="R337" s="575"/>
      <c r="S337" s="989"/>
      <c r="T337" s="575"/>
      <c r="U337" s="575"/>
      <c r="V337" s="575"/>
      <c r="W337" s="575"/>
      <c r="X337" s="575"/>
      <c r="Y337" s="575"/>
      <c r="Z337" s="989"/>
      <c r="AA337" s="575"/>
      <c r="AB337" s="575"/>
      <c r="AC337" s="575"/>
      <c r="AD337" s="575"/>
      <c r="AE337" s="827"/>
      <c r="AF337" s="575"/>
      <c r="AG337" s="960"/>
      <c r="AH337" s="842"/>
      <c r="AI337" s="839">
        <f t="shared" si="19"/>
        <v>0</v>
      </c>
      <c r="AJ337" s="949">
        <v>0</v>
      </c>
      <c r="AK337" s="581">
        <f t="shared" si="17"/>
        <v>0</v>
      </c>
      <c r="AL337" s="750" t="s">
        <v>1627</v>
      </c>
      <c r="AM337" s="743">
        <f t="shared" si="18"/>
        <v>9</v>
      </c>
    </row>
    <row r="338" spans="1:39" s="560" customFormat="1" hidden="1">
      <c r="A338" s="604" t="s">
        <v>826</v>
      </c>
      <c r="B338" s="604" t="s">
        <v>1268</v>
      </c>
      <c r="C338" s="614" t="s">
        <v>63</v>
      </c>
      <c r="D338" s="580"/>
      <c r="E338" s="981"/>
      <c r="F338" s="581"/>
      <c r="G338" s="581"/>
      <c r="H338" s="581"/>
      <c r="I338" s="949"/>
      <c r="J338" s="949"/>
      <c r="K338" s="949"/>
      <c r="L338" s="989"/>
      <c r="M338" s="575"/>
      <c r="N338" s="575"/>
      <c r="O338" s="575"/>
      <c r="P338" s="575"/>
      <c r="Q338" s="575"/>
      <c r="R338" s="575"/>
      <c r="S338" s="989"/>
      <c r="T338" s="575"/>
      <c r="U338" s="575"/>
      <c r="V338" s="575"/>
      <c r="W338" s="575"/>
      <c r="X338" s="575"/>
      <c r="Y338" s="575"/>
      <c r="Z338" s="989"/>
      <c r="AA338" s="575"/>
      <c r="AB338" s="575"/>
      <c r="AC338" s="575"/>
      <c r="AD338" s="575"/>
      <c r="AE338" s="827"/>
      <c r="AF338" s="575"/>
      <c r="AG338" s="960"/>
      <c r="AH338" s="842"/>
      <c r="AI338" s="839">
        <f t="shared" si="19"/>
        <v>0</v>
      </c>
      <c r="AJ338" s="949">
        <v>0</v>
      </c>
      <c r="AK338" s="581">
        <f t="shared" si="17"/>
        <v>0</v>
      </c>
      <c r="AL338" s="750" t="s">
        <v>1441</v>
      </c>
      <c r="AM338" s="743">
        <f t="shared" si="18"/>
        <v>1</v>
      </c>
    </row>
    <row r="339" spans="1:39" s="560" customFormat="1" hidden="1">
      <c r="A339" s="604" t="s">
        <v>827</v>
      </c>
      <c r="B339" s="604" t="s">
        <v>1269</v>
      </c>
      <c r="C339" s="614" t="s">
        <v>36</v>
      </c>
      <c r="D339" s="580"/>
      <c r="E339" s="981"/>
      <c r="F339" s="581"/>
      <c r="G339" s="581"/>
      <c r="H339" s="581"/>
      <c r="I339" s="949"/>
      <c r="J339" s="949"/>
      <c r="K339" s="949"/>
      <c r="L339" s="989"/>
      <c r="M339" s="575"/>
      <c r="N339" s="575"/>
      <c r="O339" s="575"/>
      <c r="P339" s="575"/>
      <c r="Q339" s="575"/>
      <c r="R339" s="575"/>
      <c r="S339" s="989"/>
      <c r="T339" s="575"/>
      <c r="U339" s="575"/>
      <c r="V339" s="575"/>
      <c r="W339" s="575"/>
      <c r="X339" s="575"/>
      <c r="Y339" s="575"/>
      <c r="Z339" s="989"/>
      <c r="AA339" s="575"/>
      <c r="AB339" s="575"/>
      <c r="AC339" s="575"/>
      <c r="AD339" s="575"/>
      <c r="AE339" s="827"/>
      <c r="AF339" s="575"/>
      <c r="AG339" s="960"/>
      <c r="AH339" s="842"/>
      <c r="AI339" s="839">
        <f t="shared" si="19"/>
        <v>0</v>
      </c>
      <c r="AJ339" s="949">
        <v>0</v>
      </c>
      <c r="AK339" s="581">
        <f t="shared" si="17"/>
        <v>0</v>
      </c>
      <c r="AL339" s="750" t="s">
        <v>1631</v>
      </c>
      <c r="AM339" s="743">
        <f t="shared" si="18"/>
        <v>21.02</v>
      </c>
    </row>
    <row r="340" spans="1:39" s="782" customFormat="1" hidden="1">
      <c r="A340" s="868" t="s">
        <v>461</v>
      </c>
      <c r="B340" s="869" t="s">
        <v>1270</v>
      </c>
      <c r="C340" s="898"/>
      <c r="D340" s="795"/>
      <c r="E340" s="981"/>
      <c r="F340" s="778"/>
      <c r="G340" s="778"/>
      <c r="H340" s="778"/>
      <c r="I340" s="777"/>
      <c r="J340" s="777"/>
      <c r="K340" s="777"/>
      <c r="L340" s="989"/>
      <c r="M340" s="809"/>
      <c r="N340" s="809"/>
      <c r="O340" s="809"/>
      <c r="P340" s="809"/>
      <c r="Q340" s="809"/>
      <c r="R340" s="809"/>
      <c r="S340" s="989"/>
      <c r="T340" s="809"/>
      <c r="U340" s="809"/>
      <c r="V340" s="809"/>
      <c r="W340" s="809"/>
      <c r="X340" s="809"/>
      <c r="Y340" s="809"/>
      <c r="Z340" s="989"/>
      <c r="AA340" s="809"/>
      <c r="AB340" s="809"/>
      <c r="AC340" s="809"/>
      <c r="AD340" s="809"/>
      <c r="AE340" s="827"/>
      <c r="AF340" s="809"/>
      <c r="AG340" s="960"/>
      <c r="AH340" s="873"/>
      <c r="AI340" s="839">
        <f t="shared" si="19"/>
        <v>0</v>
      </c>
      <c r="AJ340" s="777">
        <v>0</v>
      </c>
      <c r="AK340" s="778">
        <f t="shared" si="17"/>
        <v>0</v>
      </c>
      <c r="AL340" s="901"/>
      <c r="AM340" s="781">
        <f t="shared" si="18"/>
        <v>0</v>
      </c>
    </row>
    <row r="341" spans="1:39" s="782" customFormat="1" hidden="1">
      <c r="A341" s="885" t="s">
        <v>462</v>
      </c>
      <c r="B341" s="885" t="s">
        <v>1222</v>
      </c>
      <c r="C341" s="898"/>
      <c r="D341" s="795"/>
      <c r="E341" s="981"/>
      <c r="F341" s="778"/>
      <c r="G341" s="778"/>
      <c r="H341" s="778"/>
      <c r="I341" s="777"/>
      <c r="J341" s="777"/>
      <c r="K341" s="777"/>
      <c r="L341" s="989"/>
      <c r="M341" s="809"/>
      <c r="N341" s="809"/>
      <c r="O341" s="809"/>
      <c r="P341" s="809"/>
      <c r="Q341" s="809"/>
      <c r="R341" s="809"/>
      <c r="S341" s="989"/>
      <c r="T341" s="809"/>
      <c r="U341" s="809"/>
      <c r="V341" s="809"/>
      <c r="W341" s="809"/>
      <c r="X341" s="809"/>
      <c r="Y341" s="809"/>
      <c r="Z341" s="989"/>
      <c r="AA341" s="809"/>
      <c r="AB341" s="809"/>
      <c r="AC341" s="809"/>
      <c r="AD341" s="809"/>
      <c r="AE341" s="827"/>
      <c r="AF341" s="809"/>
      <c r="AG341" s="960"/>
      <c r="AH341" s="873"/>
      <c r="AI341" s="839">
        <f t="shared" si="19"/>
        <v>0</v>
      </c>
      <c r="AJ341" s="777">
        <v>0</v>
      </c>
      <c r="AK341" s="778">
        <f t="shared" si="17"/>
        <v>0</v>
      </c>
      <c r="AL341" s="901"/>
      <c r="AM341" s="781">
        <f t="shared" si="18"/>
        <v>0</v>
      </c>
    </row>
    <row r="342" spans="1:39" s="782" customFormat="1" hidden="1">
      <c r="A342" s="772" t="s">
        <v>828</v>
      </c>
      <c r="B342" s="772" t="s">
        <v>1223</v>
      </c>
      <c r="C342" s="877" t="s">
        <v>36</v>
      </c>
      <c r="D342" s="795"/>
      <c r="E342" s="981"/>
      <c r="F342" s="778"/>
      <c r="G342" s="778"/>
      <c r="H342" s="778"/>
      <c r="I342" s="777"/>
      <c r="J342" s="777"/>
      <c r="K342" s="777"/>
      <c r="L342" s="989"/>
      <c r="M342" s="809"/>
      <c r="N342" s="809"/>
      <c r="O342" s="809"/>
      <c r="P342" s="809"/>
      <c r="Q342" s="809"/>
      <c r="R342" s="809"/>
      <c r="S342" s="989"/>
      <c r="T342" s="809"/>
      <c r="U342" s="809"/>
      <c r="V342" s="809"/>
      <c r="W342" s="809"/>
      <c r="X342" s="809"/>
      <c r="Y342" s="809"/>
      <c r="Z342" s="989"/>
      <c r="AA342" s="809"/>
      <c r="AB342" s="809"/>
      <c r="AC342" s="809"/>
      <c r="AD342" s="809"/>
      <c r="AE342" s="827"/>
      <c r="AF342" s="809"/>
      <c r="AG342" s="960"/>
      <c r="AH342" s="873"/>
      <c r="AI342" s="839">
        <f t="shared" si="19"/>
        <v>0</v>
      </c>
      <c r="AJ342" s="777">
        <v>0</v>
      </c>
      <c r="AK342" s="778">
        <f t="shared" si="17"/>
        <v>0</v>
      </c>
      <c r="AL342" s="901" t="s">
        <v>1632</v>
      </c>
      <c r="AM342" s="781">
        <f t="shared" si="18"/>
        <v>73.59</v>
      </c>
    </row>
    <row r="343" spans="1:39" s="782" customFormat="1" hidden="1">
      <c r="A343" s="772" t="s">
        <v>829</v>
      </c>
      <c r="B343" s="772" t="s">
        <v>1224</v>
      </c>
      <c r="C343" s="877" t="s">
        <v>36</v>
      </c>
      <c r="D343" s="795"/>
      <c r="E343" s="981"/>
      <c r="F343" s="778"/>
      <c r="G343" s="778"/>
      <c r="H343" s="778"/>
      <c r="I343" s="777"/>
      <c r="J343" s="777"/>
      <c r="K343" s="777"/>
      <c r="L343" s="989"/>
      <c r="M343" s="809"/>
      <c r="N343" s="809"/>
      <c r="O343" s="809"/>
      <c r="P343" s="809"/>
      <c r="Q343" s="809"/>
      <c r="R343" s="809"/>
      <c r="S343" s="989"/>
      <c r="T343" s="809"/>
      <c r="U343" s="809"/>
      <c r="V343" s="809"/>
      <c r="W343" s="809"/>
      <c r="X343" s="809"/>
      <c r="Y343" s="809"/>
      <c r="Z343" s="989"/>
      <c r="AA343" s="809"/>
      <c r="AB343" s="809"/>
      <c r="AC343" s="809"/>
      <c r="AD343" s="809"/>
      <c r="AE343" s="827"/>
      <c r="AF343" s="809"/>
      <c r="AG343" s="960"/>
      <c r="AH343" s="873"/>
      <c r="AI343" s="839">
        <f t="shared" si="19"/>
        <v>0</v>
      </c>
      <c r="AJ343" s="777">
        <v>0</v>
      </c>
      <c r="AK343" s="778">
        <f t="shared" si="17"/>
        <v>0</v>
      </c>
      <c r="AL343" s="901" t="s">
        <v>1633</v>
      </c>
      <c r="AM343" s="781">
        <f t="shared" si="18"/>
        <v>6.44</v>
      </c>
    </row>
    <row r="344" spans="1:39" s="560" customFormat="1" hidden="1">
      <c r="A344" s="607" t="s">
        <v>463</v>
      </c>
      <c r="B344" s="607" t="s">
        <v>1225</v>
      </c>
      <c r="C344" s="690"/>
      <c r="D344" s="580"/>
      <c r="E344" s="981"/>
      <c r="F344" s="581"/>
      <c r="G344" s="581"/>
      <c r="H344" s="581"/>
      <c r="I344" s="949"/>
      <c r="J344" s="949"/>
      <c r="K344" s="949"/>
      <c r="L344" s="989"/>
      <c r="M344" s="575"/>
      <c r="N344" s="575"/>
      <c r="O344" s="575"/>
      <c r="P344" s="575"/>
      <c r="Q344" s="575"/>
      <c r="R344" s="575"/>
      <c r="S344" s="989"/>
      <c r="T344" s="575"/>
      <c r="U344" s="575"/>
      <c r="V344" s="575"/>
      <c r="W344" s="575"/>
      <c r="X344" s="575"/>
      <c r="Y344" s="575"/>
      <c r="Z344" s="989"/>
      <c r="AA344" s="575"/>
      <c r="AB344" s="575"/>
      <c r="AC344" s="575"/>
      <c r="AD344" s="575"/>
      <c r="AE344" s="827"/>
      <c r="AF344" s="575"/>
      <c r="AG344" s="960"/>
      <c r="AH344" s="842"/>
      <c r="AI344" s="839">
        <f t="shared" si="19"/>
        <v>0</v>
      </c>
      <c r="AJ344" s="949">
        <v>0</v>
      </c>
      <c r="AK344" s="581">
        <f t="shared" si="17"/>
        <v>0</v>
      </c>
      <c r="AL344" s="750"/>
      <c r="AM344" s="743">
        <f t="shared" si="18"/>
        <v>0</v>
      </c>
    </row>
    <row r="345" spans="1:39" s="560" customFormat="1" hidden="1">
      <c r="A345" s="604" t="s">
        <v>830</v>
      </c>
      <c r="B345" s="604" t="s">
        <v>1226</v>
      </c>
      <c r="C345" s="614" t="s">
        <v>36</v>
      </c>
      <c r="D345" s="580"/>
      <c r="E345" s="981"/>
      <c r="F345" s="581"/>
      <c r="G345" s="581"/>
      <c r="H345" s="581"/>
      <c r="I345" s="949"/>
      <c r="J345" s="949"/>
      <c r="K345" s="949"/>
      <c r="L345" s="989"/>
      <c r="M345" s="575"/>
      <c r="N345" s="575"/>
      <c r="O345" s="575"/>
      <c r="P345" s="575"/>
      <c r="Q345" s="575"/>
      <c r="R345" s="575"/>
      <c r="S345" s="989"/>
      <c r="T345" s="575"/>
      <c r="U345" s="575"/>
      <c r="V345" s="575"/>
      <c r="W345" s="575"/>
      <c r="X345" s="575"/>
      <c r="Y345" s="575"/>
      <c r="Z345" s="989"/>
      <c r="AA345" s="575"/>
      <c r="AB345" s="575"/>
      <c r="AC345" s="575"/>
      <c r="AD345" s="575"/>
      <c r="AE345" s="827"/>
      <c r="AF345" s="575"/>
      <c r="AG345" s="960"/>
      <c r="AH345" s="842"/>
      <c r="AI345" s="839">
        <f t="shared" si="19"/>
        <v>0</v>
      </c>
      <c r="AJ345" s="949">
        <v>0</v>
      </c>
      <c r="AK345" s="581">
        <f t="shared" si="17"/>
        <v>0</v>
      </c>
      <c r="AL345" s="750" t="s">
        <v>1634</v>
      </c>
      <c r="AM345" s="743">
        <f t="shared" si="18"/>
        <v>99.99</v>
      </c>
    </row>
    <row r="346" spans="1:39" s="560" customFormat="1" hidden="1">
      <c r="A346" s="604" t="s">
        <v>831</v>
      </c>
      <c r="B346" s="604" t="s">
        <v>1227</v>
      </c>
      <c r="C346" s="614" t="s">
        <v>36</v>
      </c>
      <c r="D346" s="580"/>
      <c r="E346" s="981"/>
      <c r="F346" s="581"/>
      <c r="G346" s="581"/>
      <c r="H346" s="581"/>
      <c r="I346" s="949"/>
      <c r="J346" s="949"/>
      <c r="K346" s="949"/>
      <c r="L346" s="989"/>
      <c r="M346" s="575"/>
      <c r="N346" s="575"/>
      <c r="O346" s="575"/>
      <c r="P346" s="575"/>
      <c r="Q346" s="575"/>
      <c r="R346" s="575"/>
      <c r="S346" s="989"/>
      <c r="T346" s="575"/>
      <c r="U346" s="575"/>
      <c r="V346" s="575"/>
      <c r="W346" s="575"/>
      <c r="X346" s="575"/>
      <c r="Y346" s="575"/>
      <c r="Z346" s="989"/>
      <c r="AA346" s="575"/>
      <c r="AB346" s="575"/>
      <c r="AC346" s="575"/>
      <c r="AD346" s="575"/>
      <c r="AE346" s="827"/>
      <c r="AF346" s="575"/>
      <c r="AG346" s="960"/>
      <c r="AH346" s="842"/>
      <c r="AI346" s="839">
        <f t="shared" si="19"/>
        <v>0</v>
      </c>
      <c r="AJ346" s="949">
        <v>0</v>
      </c>
      <c r="AK346" s="581">
        <f t="shared" si="17"/>
        <v>0</v>
      </c>
      <c r="AL346" s="750" t="s">
        <v>1635</v>
      </c>
      <c r="AM346" s="743">
        <f t="shared" si="18"/>
        <v>60.07</v>
      </c>
    </row>
    <row r="347" spans="1:39" s="560" customFormat="1" hidden="1">
      <c r="A347" s="604" t="s">
        <v>832</v>
      </c>
      <c r="B347" s="604" t="s">
        <v>1228</v>
      </c>
      <c r="C347" s="614" t="s">
        <v>36</v>
      </c>
      <c r="D347" s="580"/>
      <c r="E347" s="981"/>
      <c r="F347" s="581"/>
      <c r="G347" s="581"/>
      <c r="H347" s="581"/>
      <c r="I347" s="949"/>
      <c r="J347" s="949"/>
      <c r="K347" s="949"/>
      <c r="L347" s="989"/>
      <c r="M347" s="575"/>
      <c r="N347" s="575"/>
      <c r="O347" s="575"/>
      <c r="P347" s="575"/>
      <c r="Q347" s="575"/>
      <c r="R347" s="575"/>
      <c r="S347" s="989"/>
      <c r="T347" s="575"/>
      <c r="U347" s="575"/>
      <c r="V347" s="575"/>
      <c r="W347" s="575"/>
      <c r="X347" s="575"/>
      <c r="Y347" s="575"/>
      <c r="Z347" s="989"/>
      <c r="AA347" s="575"/>
      <c r="AB347" s="575"/>
      <c r="AC347" s="575"/>
      <c r="AD347" s="575"/>
      <c r="AE347" s="827"/>
      <c r="AF347" s="575"/>
      <c r="AG347" s="960"/>
      <c r="AH347" s="842"/>
      <c r="AI347" s="839">
        <f t="shared" si="19"/>
        <v>0</v>
      </c>
      <c r="AJ347" s="949">
        <v>0</v>
      </c>
      <c r="AK347" s="581">
        <f t="shared" si="17"/>
        <v>0</v>
      </c>
      <c r="AL347" s="750" t="s">
        <v>1636</v>
      </c>
      <c r="AM347" s="743">
        <f t="shared" si="18"/>
        <v>33.6</v>
      </c>
    </row>
    <row r="348" spans="1:39" s="560" customFormat="1" hidden="1">
      <c r="A348" s="604" t="s">
        <v>833</v>
      </c>
      <c r="B348" s="604" t="s">
        <v>1229</v>
      </c>
      <c r="C348" s="614" t="s">
        <v>36</v>
      </c>
      <c r="D348" s="580"/>
      <c r="E348" s="981"/>
      <c r="F348" s="581"/>
      <c r="G348" s="581"/>
      <c r="H348" s="581"/>
      <c r="I348" s="949"/>
      <c r="J348" s="949"/>
      <c r="K348" s="949"/>
      <c r="L348" s="989"/>
      <c r="M348" s="575"/>
      <c r="N348" s="575"/>
      <c r="O348" s="575"/>
      <c r="P348" s="575"/>
      <c r="Q348" s="575"/>
      <c r="R348" s="575"/>
      <c r="S348" s="989"/>
      <c r="T348" s="575"/>
      <c r="U348" s="575"/>
      <c r="V348" s="575"/>
      <c r="W348" s="575"/>
      <c r="X348" s="575"/>
      <c r="Y348" s="575"/>
      <c r="Z348" s="989"/>
      <c r="AA348" s="575"/>
      <c r="AB348" s="575"/>
      <c r="AC348" s="575"/>
      <c r="AD348" s="575"/>
      <c r="AE348" s="827"/>
      <c r="AF348" s="575"/>
      <c r="AG348" s="960"/>
      <c r="AH348" s="842"/>
      <c r="AI348" s="839">
        <f t="shared" si="19"/>
        <v>0</v>
      </c>
      <c r="AJ348" s="949">
        <v>0</v>
      </c>
      <c r="AK348" s="581">
        <f t="shared" si="17"/>
        <v>0</v>
      </c>
      <c r="AL348" s="750" t="s">
        <v>1637</v>
      </c>
      <c r="AM348" s="743">
        <f t="shared" si="18"/>
        <v>27.42</v>
      </c>
    </row>
    <row r="349" spans="1:39" s="560" customFormat="1" hidden="1">
      <c r="A349" s="604" t="s">
        <v>834</v>
      </c>
      <c r="B349" s="604" t="s">
        <v>1230</v>
      </c>
      <c r="C349" s="614" t="s">
        <v>36</v>
      </c>
      <c r="D349" s="580"/>
      <c r="E349" s="981"/>
      <c r="F349" s="581"/>
      <c r="G349" s="581"/>
      <c r="H349" s="581"/>
      <c r="I349" s="949"/>
      <c r="J349" s="949"/>
      <c r="K349" s="949"/>
      <c r="L349" s="989"/>
      <c r="M349" s="575"/>
      <c r="N349" s="575"/>
      <c r="O349" s="575"/>
      <c r="P349" s="575"/>
      <c r="Q349" s="575"/>
      <c r="R349" s="575"/>
      <c r="S349" s="989"/>
      <c r="T349" s="575"/>
      <c r="U349" s="575"/>
      <c r="V349" s="575"/>
      <c r="W349" s="575"/>
      <c r="X349" s="575"/>
      <c r="Y349" s="575"/>
      <c r="Z349" s="989"/>
      <c r="AA349" s="575"/>
      <c r="AB349" s="575"/>
      <c r="AC349" s="575"/>
      <c r="AD349" s="575"/>
      <c r="AE349" s="827"/>
      <c r="AF349" s="575"/>
      <c r="AG349" s="960"/>
      <c r="AH349" s="842"/>
      <c r="AI349" s="839">
        <f t="shared" si="19"/>
        <v>0</v>
      </c>
      <c r="AJ349" s="949">
        <v>0</v>
      </c>
      <c r="AK349" s="581">
        <f t="shared" si="17"/>
        <v>0</v>
      </c>
      <c r="AL349" s="750" t="s">
        <v>1638</v>
      </c>
      <c r="AM349" s="743">
        <f t="shared" si="18"/>
        <v>79.459999999999994</v>
      </c>
    </row>
    <row r="350" spans="1:39" s="560" customFormat="1" hidden="1">
      <c r="A350" s="604" t="s">
        <v>835</v>
      </c>
      <c r="B350" s="604" t="s">
        <v>1231</v>
      </c>
      <c r="C350" s="614" t="s">
        <v>37</v>
      </c>
      <c r="D350" s="580"/>
      <c r="E350" s="981"/>
      <c r="F350" s="581"/>
      <c r="G350" s="581"/>
      <c r="H350" s="581"/>
      <c r="I350" s="949"/>
      <c r="J350" s="949"/>
      <c r="K350" s="949"/>
      <c r="L350" s="989"/>
      <c r="M350" s="575"/>
      <c r="N350" s="575"/>
      <c r="O350" s="575"/>
      <c r="P350" s="575"/>
      <c r="Q350" s="575"/>
      <c r="R350" s="575"/>
      <c r="S350" s="989"/>
      <c r="T350" s="575"/>
      <c r="U350" s="575"/>
      <c r="V350" s="575"/>
      <c r="W350" s="575"/>
      <c r="X350" s="575"/>
      <c r="Y350" s="575"/>
      <c r="Z350" s="989"/>
      <c r="AA350" s="575"/>
      <c r="AB350" s="575"/>
      <c r="AC350" s="575"/>
      <c r="AD350" s="575"/>
      <c r="AE350" s="827"/>
      <c r="AF350" s="575"/>
      <c r="AG350" s="960"/>
      <c r="AH350" s="842"/>
      <c r="AI350" s="839">
        <f t="shared" si="19"/>
        <v>0</v>
      </c>
      <c r="AJ350" s="949">
        <v>0</v>
      </c>
      <c r="AK350" s="581">
        <f t="shared" si="17"/>
        <v>0</v>
      </c>
      <c r="AL350" s="750" t="s">
        <v>1639</v>
      </c>
      <c r="AM350" s="743">
        <f t="shared" si="18"/>
        <v>80.02</v>
      </c>
    </row>
    <row r="351" spans="1:39" s="560" customFormat="1" hidden="1">
      <c r="A351" s="604" t="s">
        <v>836</v>
      </c>
      <c r="B351" s="604" t="s">
        <v>1232</v>
      </c>
      <c r="C351" s="614" t="s">
        <v>37</v>
      </c>
      <c r="D351" s="580"/>
      <c r="E351" s="981"/>
      <c r="F351" s="581"/>
      <c r="G351" s="581"/>
      <c r="H351" s="581"/>
      <c r="I351" s="949"/>
      <c r="J351" s="949"/>
      <c r="K351" s="949"/>
      <c r="L351" s="989"/>
      <c r="M351" s="575"/>
      <c r="N351" s="575"/>
      <c r="O351" s="575"/>
      <c r="P351" s="575"/>
      <c r="Q351" s="575"/>
      <c r="R351" s="575"/>
      <c r="S351" s="989"/>
      <c r="T351" s="575"/>
      <c r="U351" s="575"/>
      <c r="V351" s="575"/>
      <c r="W351" s="575"/>
      <c r="X351" s="575"/>
      <c r="Y351" s="575"/>
      <c r="Z351" s="989"/>
      <c r="AA351" s="575"/>
      <c r="AB351" s="575"/>
      <c r="AC351" s="575"/>
      <c r="AD351" s="575"/>
      <c r="AE351" s="827"/>
      <c r="AF351" s="575"/>
      <c r="AG351" s="960"/>
      <c r="AH351" s="842"/>
      <c r="AI351" s="839">
        <f t="shared" si="19"/>
        <v>0</v>
      </c>
      <c r="AJ351" s="949">
        <v>0</v>
      </c>
      <c r="AK351" s="581">
        <f t="shared" si="17"/>
        <v>0</v>
      </c>
      <c r="AL351" s="750" t="s">
        <v>1640</v>
      </c>
      <c r="AM351" s="743">
        <f t="shared" si="18"/>
        <v>245.52</v>
      </c>
    </row>
    <row r="352" spans="1:39" s="560" customFormat="1" hidden="1">
      <c r="A352" s="607" t="s">
        <v>464</v>
      </c>
      <c r="B352" s="607" t="s">
        <v>1233</v>
      </c>
      <c r="C352" s="690"/>
      <c r="D352" s="580"/>
      <c r="E352" s="981"/>
      <c r="F352" s="581"/>
      <c r="G352" s="581"/>
      <c r="H352" s="581"/>
      <c r="I352" s="949"/>
      <c r="J352" s="949"/>
      <c r="K352" s="949"/>
      <c r="L352" s="989"/>
      <c r="M352" s="575"/>
      <c r="N352" s="575"/>
      <c r="O352" s="575"/>
      <c r="P352" s="575"/>
      <c r="Q352" s="575"/>
      <c r="R352" s="575"/>
      <c r="S352" s="989"/>
      <c r="T352" s="575"/>
      <c r="U352" s="575"/>
      <c r="V352" s="575"/>
      <c r="W352" s="575"/>
      <c r="X352" s="575"/>
      <c r="Y352" s="575"/>
      <c r="Z352" s="989"/>
      <c r="AA352" s="575"/>
      <c r="AB352" s="575"/>
      <c r="AC352" s="575"/>
      <c r="AD352" s="575"/>
      <c r="AE352" s="827"/>
      <c r="AF352" s="575"/>
      <c r="AG352" s="960"/>
      <c r="AH352" s="842"/>
      <c r="AI352" s="839">
        <f t="shared" si="19"/>
        <v>0</v>
      </c>
      <c r="AJ352" s="949">
        <v>0</v>
      </c>
      <c r="AK352" s="581">
        <f t="shared" si="17"/>
        <v>0</v>
      </c>
      <c r="AL352" s="750"/>
      <c r="AM352" s="743">
        <f t="shared" si="18"/>
        <v>0</v>
      </c>
    </row>
    <row r="353" spans="1:39" s="560" customFormat="1" hidden="1">
      <c r="A353" s="604" t="s">
        <v>837</v>
      </c>
      <c r="B353" s="604" t="s">
        <v>1234</v>
      </c>
      <c r="C353" s="614" t="s">
        <v>36</v>
      </c>
      <c r="D353" s="580"/>
      <c r="E353" s="981"/>
      <c r="F353" s="581"/>
      <c r="G353" s="581"/>
      <c r="H353" s="581"/>
      <c r="I353" s="949"/>
      <c r="J353" s="949"/>
      <c r="K353" s="949"/>
      <c r="L353" s="989"/>
      <c r="M353" s="575"/>
      <c r="N353" s="575"/>
      <c r="O353" s="575"/>
      <c r="P353" s="575"/>
      <c r="Q353" s="575"/>
      <c r="R353" s="575"/>
      <c r="S353" s="989"/>
      <c r="T353" s="575"/>
      <c r="U353" s="575"/>
      <c r="V353" s="575"/>
      <c r="W353" s="575"/>
      <c r="X353" s="575"/>
      <c r="Y353" s="575"/>
      <c r="Z353" s="989"/>
      <c r="AA353" s="575"/>
      <c r="AB353" s="575"/>
      <c r="AC353" s="575"/>
      <c r="AD353" s="575"/>
      <c r="AE353" s="827"/>
      <c r="AF353" s="575"/>
      <c r="AG353" s="960"/>
      <c r="AH353" s="842"/>
      <c r="AI353" s="839">
        <f t="shared" si="19"/>
        <v>0</v>
      </c>
      <c r="AJ353" s="949">
        <v>0</v>
      </c>
      <c r="AK353" s="581">
        <f t="shared" si="17"/>
        <v>0</v>
      </c>
      <c r="AL353" s="750" t="s">
        <v>1641</v>
      </c>
      <c r="AM353" s="743">
        <f t="shared" si="18"/>
        <v>65.92</v>
      </c>
    </row>
    <row r="354" spans="1:39" s="782" customFormat="1" hidden="1">
      <c r="A354" s="885" t="s">
        <v>465</v>
      </c>
      <c r="B354" s="885" t="s">
        <v>1235</v>
      </c>
      <c r="C354" s="898"/>
      <c r="D354" s="795"/>
      <c r="E354" s="981"/>
      <c r="F354" s="778"/>
      <c r="G354" s="778"/>
      <c r="H354" s="778"/>
      <c r="I354" s="777"/>
      <c r="J354" s="777"/>
      <c r="K354" s="777"/>
      <c r="L354" s="989"/>
      <c r="M354" s="809"/>
      <c r="N354" s="809"/>
      <c r="O354" s="809"/>
      <c r="P354" s="809"/>
      <c r="Q354" s="809"/>
      <c r="R354" s="809"/>
      <c r="S354" s="989"/>
      <c r="T354" s="809"/>
      <c r="U354" s="809"/>
      <c r="V354" s="809"/>
      <c r="W354" s="809"/>
      <c r="X354" s="809"/>
      <c r="Y354" s="809"/>
      <c r="Z354" s="989"/>
      <c r="AA354" s="809"/>
      <c r="AB354" s="809"/>
      <c r="AC354" s="809"/>
      <c r="AD354" s="809"/>
      <c r="AE354" s="827"/>
      <c r="AF354" s="809"/>
      <c r="AG354" s="960"/>
      <c r="AH354" s="873"/>
      <c r="AI354" s="839">
        <f t="shared" si="19"/>
        <v>0</v>
      </c>
      <c r="AJ354" s="777">
        <v>0</v>
      </c>
      <c r="AK354" s="778">
        <f t="shared" si="17"/>
        <v>0</v>
      </c>
      <c r="AL354" s="901"/>
      <c r="AM354" s="781">
        <f t="shared" si="18"/>
        <v>0</v>
      </c>
    </row>
    <row r="355" spans="1:39" s="782" customFormat="1" hidden="1">
      <c r="A355" s="772" t="s">
        <v>838</v>
      </c>
      <c r="B355" s="772" t="s">
        <v>1236</v>
      </c>
      <c r="C355" s="877" t="s">
        <v>36</v>
      </c>
      <c r="D355" s="795"/>
      <c r="E355" s="981"/>
      <c r="F355" s="778"/>
      <c r="G355" s="778"/>
      <c r="H355" s="778"/>
      <c r="I355" s="777"/>
      <c r="J355" s="777"/>
      <c r="K355" s="777"/>
      <c r="L355" s="989"/>
      <c r="M355" s="809"/>
      <c r="N355" s="809"/>
      <c r="O355" s="809"/>
      <c r="P355" s="809"/>
      <c r="Q355" s="809"/>
      <c r="R355" s="809"/>
      <c r="S355" s="989"/>
      <c r="T355" s="809"/>
      <c r="U355" s="809"/>
      <c r="V355" s="809"/>
      <c r="W355" s="809"/>
      <c r="X355" s="809"/>
      <c r="Y355" s="809"/>
      <c r="Z355" s="989"/>
      <c r="AA355" s="809"/>
      <c r="AB355" s="809"/>
      <c r="AC355" s="809"/>
      <c r="AD355" s="809"/>
      <c r="AE355" s="827"/>
      <c r="AF355" s="809"/>
      <c r="AG355" s="960"/>
      <c r="AH355" s="873"/>
      <c r="AI355" s="839">
        <f t="shared" si="19"/>
        <v>0</v>
      </c>
      <c r="AJ355" s="777">
        <v>0</v>
      </c>
      <c r="AK355" s="778">
        <f t="shared" si="17"/>
        <v>0</v>
      </c>
      <c r="AL355" s="901" t="s">
        <v>1642</v>
      </c>
      <c r="AM355" s="781">
        <f t="shared" si="18"/>
        <v>57.88</v>
      </c>
    </row>
    <row r="356" spans="1:39" s="560" customFormat="1" hidden="1">
      <c r="A356" s="604" t="s">
        <v>839</v>
      </c>
      <c r="B356" s="604" t="s">
        <v>1271</v>
      </c>
      <c r="C356" s="614" t="s">
        <v>36</v>
      </c>
      <c r="D356" s="580"/>
      <c r="E356" s="981"/>
      <c r="F356" s="581"/>
      <c r="G356" s="581"/>
      <c r="H356" s="581"/>
      <c r="I356" s="949"/>
      <c r="J356" s="949"/>
      <c r="K356" s="949"/>
      <c r="L356" s="989"/>
      <c r="M356" s="575"/>
      <c r="N356" s="575"/>
      <c r="O356" s="575"/>
      <c r="P356" s="575"/>
      <c r="Q356" s="575"/>
      <c r="R356" s="575"/>
      <c r="S356" s="989"/>
      <c r="T356" s="575"/>
      <c r="U356" s="575"/>
      <c r="V356" s="575"/>
      <c r="W356" s="575"/>
      <c r="X356" s="575"/>
      <c r="Y356" s="575"/>
      <c r="Z356" s="989"/>
      <c r="AA356" s="575"/>
      <c r="AB356" s="575"/>
      <c r="AC356" s="575"/>
      <c r="AD356" s="575"/>
      <c r="AE356" s="827"/>
      <c r="AF356" s="575"/>
      <c r="AG356" s="960"/>
      <c r="AH356" s="842"/>
      <c r="AI356" s="839">
        <f t="shared" si="19"/>
        <v>0</v>
      </c>
      <c r="AJ356" s="949">
        <v>0</v>
      </c>
      <c r="AK356" s="581">
        <f t="shared" si="17"/>
        <v>0</v>
      </c>
      <c r="AL356" s="750" t="s">
        <v>1643</v>
      </c>
      <c r="AM356" s="743">
        <f t="shared" si="18"/>
        <v>40.200000000000003</v>
      </c>
    </row>
    <row r="357" spans="1:39" s="560" customFormat="1" hidden="1">
      <c r="A357" s="604" t="s">
        <v>840</v>
      </c>
      <c r="B357" s="604" t="s">
        <v>1237</v>
      </c>
      <c r="C357" s="614" t="s">
        <v>36</v>
      </c>
      <c r="D357" s="580"/>
      <c r="E357" s="981"/>
      <c r="F357" s="581"/>
      <c r="G357" s="581"/>
      <c r="H357" s="581"/>
      <c r="I357" s="949"/>
      <c r="J357" s="949"/>
      <c r="K357" s="949"/>
      <c r="L357" s="989"/>
      <c r="M357" s="575"/>
      <c r="N357" s="575"/>
      <c r="O357" s="575"/>
      <c r="P357" s="575"/>
      <c r="Q357" s="575"/>
      <c r="R357" s="575"/>
      <c r="S357" s="989"/>
      <c r="T357" s="575"/>
      <c r="U357" s="575"/>
      <c r="V357" s="575"/>
      <c r="W357" s="575"/>
      <c r="X357" s="575"/>
      <c r="Y357" s="575"/>
      <c r="Z357" s="989"/>
      <c r="AA357" s="575"/>
      <c r="AB357" s="575"/>
      <c r="AC357" s="575"/>
      <c r="AD357" s="575"/>
      <c r="AE357" s="827"/>
      <c r="AF357" s="575"/>
      <c r="AG357" s="960"/>
      <c r="AH357" s="842"/>
      <c r="AI357" s="839">
        <f t="shared" si="19"/>
        <v>0</v>
      </c>
      <c r="AJ357" s="949">
        <v>0</v>
      </c>
      <c r="AK357" s="581">
        <f t="shared" si="17"/>
        <v>0</v>
      </c>
      <c r="AL357" s="750" t="s">
        <v>1644</v>
      </c>
      <c r="AM357" s="743">
        <f t="shared" si="18"/>
        <v>5.72</v>
      </c>
    </row>
    <row r="358" spans="1:39" s="560" customFormat="1" hidden="1">
      <c r="A358" s="604" t="s">
        <v>841</v>
      </c>
      <c r="B358" s="604" t="s">
        <v>1238</v>
      </c>
      <c r="C358" s="614" t="s">
        <v>36</v>
      </c>
      <c r="D358" s="580"/>
      <c r="E358" s="981"/>
      <c r="F358" s="581"/>
      <c r="G358" s="581"/>
      <c r="H358" s="581"/>
      <c r="I358" s="949"/>
      <c r="J358" s="949"/>
      <c r="K358" s="949"/>
      <c r="L358" s="989"/>
      <c r="M358" s="575"/>
      <c r="N358" s="575"/>
      <c r="O358" s="575"/>
      <c r="P358" s="575"/>
      <c r="Q358" s="575"/>
      <c r="R358" s="575"/>
      <c r="S358" s="989"/>
      <c r="T358" s="575"/>
      <c r="U358" s="575"/>
      <c r="V358" s="575"/>
      <c r="W358" s="575"/>
      <c r="X358" s="575"/>
      <c r="Y358" s="575"/>
      <c r="Z358" s="989"/>
      <c r="AA358" s="575"/>
      <c r="AB358" s="575"/>
      <c r="AC358" s="575"/>
      <c r="AD358" s="575"/>
      <c r="AE358" s="827"/>
      <c r="AF358" s="575"/>
      <c r="AG358" s="960"/>
      <c r="AH358" s="842"/>
      <c r="AI358" s="839">
        <f t="shared" si="19"/>
        <v>0</v>
      </c>
      <c r="AJ358" s="949">
        <v>0</v>
      </c>
      <c r="AK358" s="581">
        <f t="shared" si="17"/>
        <v>0</v>
      </c>
      <c r="AL358" s="750" t="s">
        <v>1645</v>
      </c>
      <c r="AM358" s="743">
        <f t="shared" si="18"/>
        <v>11.96</v>
      </c>
    </row>
    <row r="359" spans="1:39" s="560" customFormat="1" hidden="1">
      <c r="A359" s="607" t="s">
        <v>466</v>
      </c>
      <c r="B359" s="607" t="s">
        <v>1242</v>
      </c>
      <c r="C359" s="690"/>
      <c r="D359" s="580"/>
      <c r="E359" s="981"/>
      <c r="F359" s="581"/>
      <c r="G359" s="581"/>
      <c r="H359" s="581"/>
      <c r="I359" s="949"/>
      <c r="J359" s="949"/>
      <c r="K359" s="949"/>
      <c r="L359" s="989"/>
      <c r="M359" s="575"/>
      <c r="N359" s="575"/>
      <c r="O359" s="575"/>
      <c r="P359" s="575"/>
      <c r="Q359" s="575"/>
      <c r="R359" s="575"/>
      <c r="S359" s="989"/>
      <c r="T359" s="575"/>
      <c r="U359" s="575"/>
      <c r="V359" s="575"/>
      <c r="W359" s="575"/>
      <c r="X359" s="575"/>
      <c r="Y359" s="575"/>
      <c r="Z359" s="989"/>
      <c r="AA359" s="575"/>
      <c r="AB359" s="575"/>
      <c r="AC359" s="575"/>
      <c r="AD359" s="575"/>
      <c r="AE359" s="827"/>
      <c r="AF359" s="575"/>
      <c r="AG359" s="960"/>
      <c r="AH359" s="842"/>
      <c r="AI359" s="839">
        <f t="shared" si="19"/>
        <v>0</v>
      </c>
      <c r="AJ359" s="949">
        <v>0</v>
      </c>
      <c r="AK359" s="581">
        <f t="shared" si="17"/>
        <v>0</v>
      </c>
      <c r="AL359" s="750"/>
      <c r="AM359" s="743">
        <f t="shared" si="18"/>
        <v>0</v>
      </c>
    </row>
    <row r="360" spans="1:39" s="560" customFormat="1" hidden="1">
      <c r="A360" s="604" t="s">
        <v>842</v>
      </c>
      <c r="B360" s="604" t="s">
        <v>1243</v>
      </c>
      <c r="C360" s="614" t="s">
        <v>36</v>
      </c>
      <c r="D360" s="580"/>
      <c r="E360" s="981"/>
      <c r="F360" s="581"/>
      <c r="G360" s="581"/>
      <c r="H360" s="581"/>
      <c r="I360" s="949"/>
      <c r="J360" s="949"/>
      <c r="K360" s="949"/>
      <c r="L360" s="989"/>
      <c r="M360" s="575"/>
      <c r="N360" s="575"/>
      <c r="O360" s="575"/>
      <c r="P360" s="575"/>
      <c r="Q360" s="575"/>
      <c r="R360" s="575"/>
      <c r="S360" s="989"/>
      <c r="T360" s="575"/>
      <c r="U360" s="575"/>
      <c r="V360" s="575"/>
      <c r="W360" s="575"/>
      <c r="X360" s="575"/>
      <c r="Y360" s="575"/>
      <c r="Z360" s="989"/>
      <c r="AA360" s="575"/>
      <c r="AB360" s="575"/>
      <c r="AC360" s="575"/>
      <c r="AD360" s="575"/>
      <c r="AE360" s="827"/>
      <c r="AF360" s="575"/>
      <c r="AG360" s="960"/>
      <c r="AH360" s="842"/>
      <c r="AI360" s="839">
        <f t="shared" si="19"/>
        <v>0</v>
      </c>
      <c r="AJ360" s="949">
        <v>0</v>
      </c>
      <c r="AK360" s="581">
        <f t="shared" si="17"/>
        <v>0</v>
      </c>
      <c r="AL360" s="750" t="s">
        <v>1646</v>
      </c>
      <c r="AM360" s="743">
        <f t="shared" si="18"/>
        <v>55.35</v>
      </c>
    </row>
    <row r="361" spans="1:39" s="560" customFormat="1" hidden="1">
      <c r="A361" s="607" t="s">
        <v>467</v>
      </c>
      <c r="B361" s="607" t="s">
        <v>1244</v>
      </c>
      <c r="C361" s="690"/>
      <c r="D361" s="580"/>
      <c r="E361" s="981"/>
      <c r="F361" s="581"/>
      <c r="G361" s="581"/>
      <c r="H361" s="581"/>
      <c r="I361" s="949"/>
      <c r="J361" s="949"/>
      <c r="K361" s="949"/>
      <c r="L361" s="989"/>
      <c r="M361" s="575"/>
      <c r="N361" s="575"/>
      <c r="O361" s="575"/>
      <c r="P361" s="575"/>
      <c r="Q361" s="575"/>
      <c r="R361" s="575"/>
      <c r="S361" s="989"/>
      <c r="T361" s="575"/>
      <c r="U361" s="575"/>
      <c r="V361" s="575"/>
      <c r="W361" s="575"/>
      <c r="X361" s="575"/>
      <c r="Y361" s="575"/>
      <c r="Z361" s="989"/>
      <c r="AA361" s="575"/>
      <c r="AB361" s="575"/>
      <c r="AC361" s="575"/>
      <c r="AD361" s="575"/>
      <c r="AE361" s="827"/>
      <c r="AF361" s="575"/>
      <c r="AG361" s="960"/>
      <c r="AH361" s="842"/>
      <c r="AI361" s="839">
        <f t="shared" si="19"/>
        <v>0</v>
      </c>
      <c r="AJ361" s="949">
        <v>0</v>
      </c>
      <c r="AK361" s="581">
        <f t="shared" si="17"/>
        <v>0</v>
      </c>
      <c r="AL361" s="750"/>
      <c r="AM361" s="743">
        <f t="shared" si="18"/>
        <v>0</v>
      </c>
    </row>
    <row r="362" spans="1:39" s="560" customFormat="1" hidden="1">
      <c r="A362" s="604" t="s">
        <v>843</v>
      </c>
      <c r="B362" s="604" t="s">
        <v>1245</v>
      </c>
      <c r="C362" s="614" t="s">
        <v>36</v>
      </c>
      <c r="D362" s="580"/>
      <c r="E362" s="981"/>
      <c r="F362" s="581"/>
      <c r="G362" s="581"/>
      <c r="H362" s="581"/>
      <c r="I362" s="949"/>
      <c r="J362" s="949"/>
      <c r="K362" s="949"/>
      <c r="L362" s="989"/>
      <c r="M362" s="575"/>
      <c r="N362" s="575"/>
      <c r="O362" s="575"/>
      <c r="P362" s="575"/>
      <c r="Q362" s="575"/>
      <c r="R362" s="575"/>
      <c r="S362" s="989"/>
      <c r="T362" s="575"/>
      <c r="U362" s="575"/>
      <c r="V362" s="575"/>
      <c r="W362" s="575"/>
      <c r="X362" s="575"/>
      <c r="Y362" s="575"/>
      <c r="Z362" s="989"/>
      <c r="AA362" s="575"/>
      <c r="AB362" s="575"/>
      <c r="AC362" s="575"/>
      <c r="AD362" s="575"/>
      <c r="AE362" s="827"/>
      <c r="AF362" s="575"/>
      <c r="AG362" s="960"/>
      <c r="AH362" s="842"/>
      <c r="AI362" s="839">
        <f t="shared" si="19"/>
        <v>0</v>
      </c>
      <c r="AJ362" s="949">
        <v>0</v>
      </c>
      <c r="AK362" s="581">
        <f t="shared" si="17"/>
        <v>0</v>
      </c>
      <c r="AL362" s="750" t="s">
        <v>1621</v>
      </c>
      <c r="AM362" s="743">
        <f t="shared" si="18"/>
        <v>15.8</v>
      </c>
    </row>
    <row r="363" spans="1:39" s="560" customFormat="1" hidden="1">
      <c r="A363" s="604" t="s">
        <v>844</v>
      </c>
      <c r="B363" s="604" t="s">
        <v>1272</v>
      </c>
      <c r="C363" s="614" t="s">
        <v>36</v>
      </c>
      <c r="D363" s="580"/>
      <c r="E363" s="981"/>
      <c r="F363" s="581"/>
      <c r="G363" s="581"/>
      <c r="H363" s="581"/>
      <c r="I363" s="949"/>
      <c r="J363" s="949"/>
      <c r="K363" s="949"/>
      <c r="L363" s="989"/>
      <c r="M363" s="575"/>
      <c r="N363" s="575"/>
      <c r="O363" s="575"/>
      <c r="P363" s="575"/>
      <c r="Q363" s="575"/>
      <c r="R363" s="575"/>
      <c r="S363" s="989"/>
      <c r="T363" s="575"/>
      <c r="U363" s="575"/>
      <c r="V363" s="575"/>
      <c r="W363" s="575"/>
      <c r="X363" s="575"/>
      <c r="Y363" s="575"/>
      <c r="Z363" s="989"/>
      <c r="AA363" s="575"/>
      <c r="AB363" s="575"/>
      <c r="AC363" s="575"/>
      <c r="AD363" s="575"/>
      <c r="AE363" s="827"/>
      <c r="AF363" s="575"/>
      <c r="AG363" s="960"/>
      <c r="AH363" s="842"/>
      <c r="AI363" s="839">
        <f t="shared" si="19"/>
        <v>0</v>
      </c>
      <c r="AJ363" s="949">
        <v>0</v>
      </c>
      <c r="AK363" s="581">
        <f t="shared" si="17"/>
        <v>0</v>
      </c>
      <c r="AL363" s="750" t="s">
        <v>1647</v>
      </c>
      <c r="AM363" s="743">
        <f t="shared" si="18"/>
        <v>29.4</v>
      </c>
    </row>
    <row r="364" spans="1:39" s="560" customFormat="1" hidden="1">
      <c r="A364" s="604" t="s">
        <v>845</v>
      </c>
      <c r="B364" s="604" t="s">
        <v>1247</v>
      </c>
      <c r="C364" s="614" t="s">
        <v>37</v>
      </c>
      <c r="D364" s="580"/>
      <c r="E364" s="981"/>
      <c r="F364" s="581"/>
      <c r="G364" s="581"/>
      <c r="H364" s="581"/>
      <c r="I364" s="949"/>
      <c r="J364" s="949"/>
      <c r="K364" s="949"/>
      <c r="L364" s="989"/>
      <c r="M364" s="575"/>
      <c r="N364" s="575"/>
      <c r="O364" s="575"/>
      <c r="P364" s="575"/>
      <c r="Q364" s="575"/>
      <c r="R364" s="575"/>
      <c r="S364" s="989"/>
      <c r="T364" s="575"/>
      <c r="U364" s="575"/>
      <c r="V364" s="575"/>
      <c r="W364" s="575"/>
      <c r="X364" s="575"/>
      <c r="Y364" s="575"/>
      <c r="Z364" s="989"/>
      <c r="AA364" s="575"/>
      <c r="AB364" s="575"/>
      <c r="AC364" s="575"/>
      <c r="AD364" s="575"/>
      <c r="AE364" s="827"/>
      <c r="AF364" s="575"/>
      <c r="AG364" s="960"/>
      <c r="AH364" s="842"/>
      <c r="AI364" s="839">
        <f t="shared" si="19"/>
        <v>0</v>
      </c>
      <c r="AJ364" s="949">
        <v>0</v>
      </c>
      <c r="AK364" s="581">
        <f t="shared" si="17"/>
        <v>0</v>
      </c>
      <c r="AL364" s="750" t="s">
        <v>1648</v>
      </c>
      <c r="AM364" s="743">
        <f t="shared" si="18"/>
        <v>9.6</v>
      </c>
    </row>
    <row r="365" spans="1:39" s="560" customFormat="1" hidden="1">
      <c r="A365" s="604" t="s">
        <v>846</v>
      </c>
      <c r="B365" s="604" t="s">
        <v>1273</v>
      </c>
      <c r="C365" s="614" t="s">
        <v>37</v>
      </c>
      <c r="D365" s="580"/>
      <c r="E365" s="981"/>
      <c r="F365" s="581"/>
      <c r="G365" s="581"/>
      <c r="H365" s="581"/>
      <c r="I365" s="949"/>
      <c r="J365" s="949"/>
      <c r="K365" s="949"/>
      <c r="L365" s="989"/>
      <c r="M365" s="575"/>
      <c r="N365" s="575"/>
      <c r="O365" s="575"/>
      <c r="P365" s="575"/>
      <c r="Q365" s="575"/>
      <c r="R365" s="575"/>
      <c r="S365" s="989"/>
      <c r="T365" s="575"/>
      <c r="U365" s="575"/>
      <c r="V365" s="575"/>
      <c r="W365" s="575"/>
      <c r="X365" s="575"/>
      <c r="Y365" s="575"/>
      <c r="Z365" s="989"/>
      <c r="AA365" s="575"/>
      <c r="AB365" s="575"/>
      <c r="AC365" s="575"/>
      <c r="AD365" s="575"/>
      <c r="AE365" s="827"/>
      <c r="AF365" s="575"/>
      <c r="AG365" s="960"/>
      <c r="AH365" s="842"/>
      <c r="AI365" s="839">
        <f t="shared" si="19"/>
        <v>0</v>
      </c>
      <c r="AJ365" s="949">
        <v>0</v>
      </c>
      <c r="AK365" s="581">
        <f t="shared" si="17"/>
        <v>0</v>
      </c>
      <c r="AL365" s="750" t="s">
        <v>1649</v>
      </c>
      <c r="AM365" s="743">
        <f t="shared" si="18"/>
        <v>23.08</v>
      </c>
    </row>
    <row r="366" spans="1:39" s="560" customFormat="1" hidden="1">
      <c r="A366" s="607" t="s">
        <v>468</v>
      </c>
      <c r="B366" s="607" t="s">
        <v>1184</v>
      </c>
      <c r="C366" s="690"/>
      <c r="D366" s="580"/>
      <c r="E366" s="981"/>
      <c r="F366" s="581"/>
      <c r="G366" s="581"/>
      <c r="H366" s="581"/>
      <c r="I366" s="949"/>
      <c r="J366" s="949"/>
      <c r="K366" s="949"/>
      <c r="L366" s="989"/>
      <c r="M366" s="575"/>
      <c r="N366" s="575"/>
      <c r="O366" s="575"/>
      <c r="P366" s="575"/>
      <c r="Q366" s="575"/>
      <c r="R366" s="575"/>
      <c r="S366" s="989"/>
      <c r="T366" s="575"/>
      <c r="U366" s="575"/>
      <c r="V366" s="575"/>
      <c r="W366" s="575"/>
      <c r="X366" s="575"/>
      <c r="Y366" s="575"/>
      <c r="Z366" s="989"/>
      <c r="AA366" s="575"/>
      <c r="AB366" s="575"/>
      <c r="AC366" s="575"/>
      <c r="AD366" s="575"/>
      <c r="AE366" s="827"/>
      <c r="AF366" s="575"/>
      <c r="AG366" s="960"/>
      <c r="AH366" s="842"/>
      <c r="AI366" s="839">
        <f t="shared" si="19"/>
        <v>0</v>
      </c>
      <c r="AJ366" s="949">
        <v>0</v>
      </c>
      <c r="AK366" s="581">
        <f t="shared" si="17"/>
        <v>0</v>
      </c>
      <c r="AL366" s="750"/>
      <c r="AM366" s="743">
        <f t="shared" si="18"/>
        <v>0</v>
      </c>
    </row>
    <row r="367" spans="1:39" s="560" customFormat="1" hidden="1">
      <c r="A367" s="604" t="s">
        <v>847</v>
      </c>
      <c r="B367" s="604" t="s">
        <v>1248</v>
      </c>
      <c r="C367" s="614" t="s">
        <v>36</v>
      </c>
      <c r="D367" s="580"/>
      <c r="E367" s="981"/>
      <c r="F367" s="581"/>
      <c r="G367" s="581"/>
      <c r="H367" s="581"/>
      <c r="I367" s="949"/>
      <c r="J367" s="949"/>
      <c r="K367" s="949"/>
      <c r="L367" s="989"/>
      <c r="M367" s="575"/>
      <c r="N367" s="575"/>
      <c r="O367" s="575"/>
      <c r="P367" s="575"/>
      <c r="Q367" s="575"/>
      <c r="R367" s="575"/>
      <c r="S367" s="989"/>
      <c r="T367" s="575"/>
      <c r="U367" s="575"/>
      <c r="V367" s="575"/>
      <c r="W367" s="575"/>
      <c r="X367" s="575"/>
      <c r="Y367" s="575"/>
      <c r="Z367" s="989"/>
      <c r="AA367" s="575"/>
      <c r="AB367" s="575"/>
      <c r="AC367" s="575"/>
      <c r="AD367" s="575"/>
      <c r="AE367" s="827"/>
      <c r="AF367" s="575"/>
      <c r="AG367" s="960"/>
      <c r="AH367" s="842"/>
      <c r="AI367" s="839">
        <f t="shared" si="19"/>
        <v>0</v>
      </c>
      <c r="AJ367" s="949">
        <v>0</v>
      </c>
      <c r="AK367" s="581">
        <f t="shared" si="17"/>
        <v>0</v>
      </c>
      <c r="AL367" s="750" t="s">
        <v>1650</v>
      </c>
      <c r="AM367" s="743">
        <f t="shared" si="18"/>
        <v>48.24</v>
      </c>
    </row>
    <row r="368" spans="1:39" s="560" customFormat="1" hidden="1">
      <c r="A368" s="604" t="s">
        <v>848</v>
      </c>
      <c r="B368" s="604" t="s">
        <v>1249</v>
      </c>
      <c r="C368" s="614" t="s">
        <v>37</v>
      </c>
      <c r="D368" s="580"/>
      <c r="E368" s="981"/>
      <c r="F368" s="581"/>
      <c r="G368" s="581"/>
      <c r="H368" s="581"/>
      <c r="I368" s="949"/>
      <c r="J368" s="949"/>
      <c r="K368" s="949"/>
      <c r="L368" s="989"/>
      <c r="M368" s="575"/>
      <c r="N368" s="575"/>
      <c r="O368" s="575"/>
      <c r="P368" s="575"/>
      <c r="Q368" s="575"/>
      <c r="R368" s="575"/>
      <c r="S368" s="989"/>
      <c r="T368" s="575"/>
      <c r="U368" s="575"/>
      <c r="V368" s="575"/>
      <c r="W368" s="575"/>
      <c r="X368" s="575"/>
      <c r="Y368" s="575"/>
      <c r="Z368" s="989"/>
      <c r="AA368" s="575"/>
      <c r="AB368" s="575"/>
      <c r="AC368" s="575"/>
      <c r="AD368" s="575"/>
      <c r="AE368" s="827"/>
      <c r="AF368" s="575"/>
      <c r="AG368" s="960"/>
      <c r="AH368" s="842"/>
      <c r="AI368" s="839">
        <f t="shared" si="19"/>
        <v>0</v>
      </c>
      <c r="AJ368" s="949">
        <v>0</v>
      </c>
      <c r="AK368" s="581">
        <f t="shared" si="17"/>
        <v>0</v>
      </c>
      <c r="AL368" s="750" t="s">
        <v>1651</v>
      </c>
      <c r="AM368" s="743">
        <f t="shared" si="18"/>
        <v>34.880000000000003</v>
      </c>
    </row>
    <row r="369" spans="1:39" s="560" customFormat="1" hidden="1">
      <c r="A369" s="604" t="s">
        <v>849</v>
      </c>
      <c r="B369" s="604" t="s">
        <v>1274</v>
      </c>
      <c r="C369" s="614" t="s">
        <v>36</v>
      </c>
      <c r="D369" s="580"/>
      <c r="E369" s="981"/>
      <c r="F369" s="581"/>
      <c r="G369" s="581"/>
      <c r="H369" s="581"/>
      <c r="I369" s="949"/>
      <c r="J369" s="949"/>
      <c r="K369" s="949"/>
      <c r="L369" s="989"/>
      <c r="M369" s="575"/>
      <c r="N369" s="575"/>
      <c r="O369" s="575"/>
      <c r="P369" s="575"/>
      <c r="Q369" s="575"/>
      <c r="R369" s="575"/>
      <c r="S369" s="989"/>
      <c r="T369" s="575"/>
      <c r="U369" s="575"/>
      <c r="V369" s="575"/>
      <c r="W369" s="575"/>
      <c r="X369" s="575"/>
      <c r="Y369" s="575"/>
      <c r="Z369" s="989"/>
      <c r="AA369" s="575"/>
      <c r="AB369" s="575"/>
      <c r="AC369" s="575"/>
      <c r="AD369" s="575"/>
      <c r="AE369" s="827"/>
      <c r="AF369" s="575"/>
      <c r="AG369" s="960"/>
      <c r="AH369" s="842"/>
      <c r="AI369" s="839">
        <f t="shared" si="19"/>
        <v>0</v>
      </c>
      <c r="AJ369" s="949">
        <v>0</v>
      </c>
      <c r="AK369" s="581">
        <f t="shared" si="17"/>
        <v>0</v>
      </c>
      <c r="AL369" s="750" t="s">
        <v>1652</v>
      </c>
      <c r="AM369" s="743">
        <f t="shared" si="18"/>
        <v>22.97</v>
      </c>
    </row>
    <row r="370" spans="1:39" s="560" customFormat="1" hidden="1">
      <c r="A370" s="607" t="s">
        <v>469</v>
      </c>
      <c r="B370" s="607" t="s">
        <v>1250</v>
      </c>
      <c r="C370" s="614"/>
      <c r="D370" s="580"/>
      <c r="E370" s="981"/>
      <c r="F370" s="581"/>
      <c r="G370" s="581"/>
      <c r="H370" s="581"/>
      <c r="I370" s="949"/>
      <c r="J370" s="949"/>
      <c r="K370" s="949"/>
      <c r="L370" s="989"/>
      <c r="M370" s="575"/>
      <c r="N370" s="575"/>
      <c r="O370" s="575"/>
      <c r="P370" s="575"/>
      <c r="Q370" s="575"/>
      <c r="R370" s="575"/>
      <c r="S370" s="989"/>
      <c r="T370" s="575"/>
      <c r="U370" s="575"/>
      <c r="V370" s="575"/>
      <c r="W370" s="575"/>
      <c r="X370" s="575"/>
      <c r="Y370" s="575"/>
      <c r="Z370" s="989"/>
      <c r="AA370" s="575"/>
      <c r="AB370" s="575"/>
      <c r="AC370" s="575"/>
      <c r="AD370" s="575"/>
      <c r="AE370" s="827"/>
      <c r="AF370" s="575"/>
      <c r="AG370" s="960"/>
      <c r="AH370" s="842"/>
      <c r="AI370" s="839">
        <f t="shared" si="19"/>
        <v>0</v>
      </c>
      <c r="AJ370" s="949">
        <v>0</v>
      </c>
      <c r="AK370" s="581">
        <f t="shared" si="17"/>
        <v>0</v>
      </c>
      <c r="AL370" s="750"/>
      <c r="AM370" s="743">
        <f t="shared" si="18"/>
        <v>0</v>
      </c>
    </row>
    <row r="371" spans="1:39" s="560" customFormat="1" hidden="1">
      <c r="A371" s="604" t="s">
        <v>850</v>
      </c>
      <c r="B371" s="604" t="s">
        <v>1275</v>
      </c>
      <c r="C371" s="614" t="s">
        <v>36</v>
      </c>
      <c r="D371" s="580"/>
      <c r="E371" s="981"/>
      <c r="F371" s="581"/>
      <c r="G371" s="581"/>
      <c r="H371" s="581"/>
      <c r="I371" s="949"/>
      <c r="J371" s="949"/>
      <c r="K371" s="949"/>
      <c r="L371" s="989"/>
      <c r="M371" s="575"/>
      <c r="N371" s="575"/>
      <c r="O371" s="575"/>
      <c r="P371" s="575"/>
      <c r="Q371" s="575"/>
      <c r="R371" s="575"/>
      <c r="S371" s="989"/>
      <c r="T371" s="575"/>
      <c r="U371" s="575"/>
      <c r="V371" s="575"/>
      <c r="W371" s="575"/>
      <c r="X371" s="575"/>
      <c r="Y371" s="575"/>
      <c r="Z371" s="989"/>
      <c r="AA371" s="575"/>
      <c r="AB371" s="575"/>
      <c r="AC371" s="575"/>
      <c r="AD371" s="575"/>
      <c r="AE371" s="827"/>
      <c r="AF371" s="575"/>
      <c r="AG371" s="960"/>
      <c r="AH371" s="842"/>
      <c r="AI371" s="839">
        <f t="shared" si="19"/>
        <v>0</v>
      </c>
      <c r="AJ371" s="949">
        <v>0</v>
      </c>
      <c r="AK371" s="581">
        <f t="shared" si="17"/>
        <v>0</v>
      </c>
      <c r="AL371" s="750" t="s">
        <v>1653</v>
      </c>
      <c r="AM371" s="743">
        <f t="shared" si="18"/>
        <v>5.88</v>
      </c>
    </row>
    <row r="372" spans="1:39" s="560" customFormat="1" hidden="1">
      <c r="A372" s="604" t="s">
        <v>851</v>
      </c>
      <c r="B372" s="604" t="s">
        <v>1276</v>
      </c>
      <c r="C372" s="614" t="s">
        <v>36</v>
      </c>
      <c r="D372" s="580"/>
      <c r="E372" s="981"/>
      <c r="F372" s="581"/>
      <c r="G372" s="581"/>
      <c r="H372" s="581"/>
      <c r="I372" s="949"/>
      <c r="J372" s="949"/>
      <c r="K372" s="949"/>
      <c r="L372" s="989"/>
      <c r="M372" s="575"/>
      <c r="N372" s="575"/>
      <c r="O372" s="575"/>
      <c r="P372" s="575"/>
      <c r="Q372" s="575"/>
      <c r="R372" s="575"/>
      <c r="S372" s="989"/>
      <c r="T372" s="575"/>
      <c r="U372" s="575"/>
      <c r="V372" s="575"/>
      <c r="W372" s="575"/>
      <c r="X372" s="575"/>
      <c r="Y372" s="575"/>
      <c r="Z372" s="989"/>
      <c r="AA372" s="575"/>
      <c r="AB372" s="575"/>
      <c r="AC372" s="575"/>
      <c r="AD372" s="575"/>
      <c r="AE372" s="827"/>
      <c r="AF372" s="575"/>
      <c r="AG372" s="960"/>
      <c r="AH372" s="842"/>
      <c r="AI372" s="839">
        <f t="shared" si="19"/>
        <v>0</v>
      </c>
      <c r="AJ372" s="949">
        <v>0</v>
      </c>
      <c r="AK372" s="581">
        <f t="shared" si="17"/>
        <v>0</v>
      </c>
      <c r="AL372" s="750" t="s">
        <v>1654</v>
      </c>
      <c r="AM372" s="743">
        <f t="shared" si="18"/>
        <v>1.68</v>
      </c>
    </row>
    <row r="373" spans="1:39" s="560" customFormat="1" hidden="1">
      <c r="A373" s="607" t="s">
        <v>852</v>
      </c>
      <c r="B373" s="607" t="s">
        <v>1277</v>
      </c>
      <c r="C373" s="690"/>
      <c r="D373" s="580"/>
      <c r="E373" s="981"/>
      <c r="F373" s="581"/>
      <c r="G373" s="581"/>
      <c r="H373" s="581"/>
      <c r="I373" s="949"/>
      <c r="J373" s="949"/>
      <c r="K373" s="949"/>
      <c r="L373" s="989"/>
      <c r="M373" s="575"/>
      <c r="N373" s="575"/>
      <c r="O373" s="575"/>
      <c r="P373" s="575"/>
      <c r="Q373" s="575"/>
      <c r="R373" s="575"/>
      <c r="S373" s="989"/>
      <c r="T373" s="575"/>
      <c r="U373" s="575"/>
      <c r="V373" s="575"/>
      <c r="W373" s="575"/>
      <c r="X373" s="575"/>
      <c r="Y373" s="575"/>
      <c r="Z373" s="989"/>
      <c r="AA373" s="575"/>
      <c r="AB373" s="575"/>
      <c r="AC373" s="575"/>
      <c r="AD373" s="575"/>
      <c r="AE373" s="827"/>
      <c r="AF373" s="575"/>
      <c r="AG373" s="960"/>
      <c r="AH373" s="842"/>
      <c r="AI373" s="839">
        <f t="shared" si="19"/>
        <v>0</v>
      </c>
      <c r="AJ373" s="949">
        <v>0</v>
      </c>
      <c r="AK373" s="581">
        <f t="shared" si="17"/>
        <v>0</v>
      </c>
      <c r="AL373" s="750"/>
      <c r="AM373" s="743">
        <f t="shared" si="18"/>
        <v>0</v>
      </c>
    </row>
    <row r="374" spans="1:39" s="560" customFormat="1" hidden="1">
      <c r="A374" s="604" t="s">
        <v>853</v>
      </c>
      <c r="B374" s="604" t="s">
        <v>1278</v>
      </c>
      <c r="C374" s="614" t="s">
        <v>36</v>
      </c>
      <c r="D374" s="580"/>
      <c r="E374" s="981"/>
      <c r="F374" s="581"/>
      <c r="G374" s="581"/>
      <c r="H374" s="581"/>
      <c r="I374" s="949"/>
      <c r="J374" s="949"/>
      <c r="K374" s="949"/>
      <c r="L374" s="989"/>
      <c r="M374" s="575"/>
      <c r="N374" s="575"/>
      <c r="O374" s="575"/>
      <c r="P374" s="575"/>
      <c r="Q374" s="575"/>
      <c r="R374" s="575"/>
      <c r="S374" s="989"/>
      <c r="T374" s="575"/>
      <c r="U374" s="575"/>
      <c r="V374" s="575"/>
      <c r="W374" s="575"/>
      <c r="X374" s="575"/>
      <c r="Y374" s="575"/>
      <c r="Z374" s="989"/>
      <c r="AA374" s="575"/>
      <c r="AB374" s="575"/>
      <c r="AC374" s="575"/>
      <c r="AD374" s="575"/>
      <c r="AE374" s="827"/>
      <c r="AF374" s="575"/>
      <c r="AG374" s="960"/>
      <c r="AH374" s="842"/>
      <c r="AI374" s="839">
        <f t="shared" si="19"/>
        <v>0</v>
      </c>
      <c r="AJ374" s="949">
        <v>0</v>
      </c>
      <c r="AK374" s="581">
        <f t="shared" si="17"/>
        <v>0</v>
      </c>
      <c r="AL374" s="750" t="s">
        <v>1655</v>
      </c>
      <c r="AM374" s="743">
        <f t="shared" si="18"/>
        <v>9.24</v>
      </c>
    </row>
    <row r="375" spans="1:39" s="560" customFormat="1" hidden="1">
      <c r="A375" s="607" t="s">
        <v>854</v>
      </c>
      <c r="B375" s="607" t="s">
        <v>1252</v>
      </c>
      <c r="C375" s="690"/>
      <c r="D375" s="580"/>
      <c r="E375" s="981"/>
      <c r="F375" s="581"/>
      <c r="G375" s="581"/>
      <c r="H375" s="581"/>
      <c r="I375" s="949"/>
      <c r="J375" s="949"/>
      <c r="K375" s="949"/>
      <c r="L375" s="989"/>
      <c r="M375" s="575"/>
      <c r="N375" s="575"/>
      <c r="O375" s="575"/>
      <c r="P375" s="575"/>
      <c r="Q375" s="575"/>
      <c r="R375" s="575"/>
      <c r="S375" s="989"/>
      <c r="T375" s="575"/>
      <c r="U375" s="575"/>
      <c r="V375" s="575"/>
      <c r="W375" s="575"/>
      <c r="X375" s="575"/>
      <c r="Y375" s="575"/>
      <c r="Z375" s="989"/>
      <c r="AA375" s="575"/>
      <c r="AB375" s="575"/>
      <c r="AC375" s="575"/>
      <c r="AD375" s="575"/>
      <c r="AE375" s="827"/>
      <c r="AF375" s="575"/>
      <c r="AG375" s="960"/>
      <c r="AH375" s="842"/>
      <c r="AI375" s="839">
        <f t="shared" si="19"/>
        <v>0</v>
      </c>
      <c r="AJ375" s="949">
        <v>0</v>
      </c>
      <c r="AK375" s="581">
        <f t="shared" si="17"/>
        <v>0</v>
      </c>
      <c r="AL375" s="750"/>
      <c r="AM375" s="743">
        <f t="shared" si="18"/>
        <v>0</v>
      </c>
    </row>
    <row r="376" spans="1:39" s="560" customFormat="1" hidden="1">
      <c r="A376" s="604" t="s">
        <v>855</v>
      </c>
      <c r="B376" s="604" t="s">
        <v>1253</v>
      </c>
      <c r="C376" s="614" t="s">
        <v>1437</v>
      </c>
      <c r="D376" s="580"/>
      <c r="E376" s="981"/>
      <c r="F376" s="581"/>
      <c r="G376" s="581"/>
      <c r="H376" s="581"/>
      <c r="I376" s="949"/>
      <c r="J376" s="949"/>
      <c r="K376" s="949"/>
      <c r="L376" s="989"/>
      <c r="M376" s="575"/>
      <c r="N376" s="575"/>
      <c r="O376" s="575"/>
      <c r="P376" s="575"/>
      <c r="Q376" s="575"/>
      <c r="R376" s="575"/>
      <c r="S376" s="989"/>
      <c r="T376" s="575"/>
      <c r="U376" s="575"/>
      <c r="V376" s="575"/>
      <c r="W376" s="575"/>
      <c r="X376" s="575"/>
      <c r="Y376" s="575"/>
      <c r="Z376" s="989"/>
      <c r="AA376" s="575"/>
      <c r="AB376" s="575"/>
      <c r="AC376" s="575"/>
      <c r="AD376" s="575"/>
      <c r="AE376" s="827"/>
      <c r="AF376" s="575"/>
      <c r="AG376" s="960"/>
      <c r="AH376" s="842"/>
      <c r="AI376" s="839">
        <f t="shared" si="19"/>
        <v>0</v>
      </c>
      <c r="AJ376" s="949">
        <v>0</v>
      </c>
      <c r="AK376" s="581">
        <f t="shared" si="17"/>
        <v>0</v>
      </c>
      <c r="AL376" s="750" t="s">
        <v>1656</v>
      </c>
      <c r="AM376" s="743">
        <f t="shared" si="18"/>
        <v>20</v>
      </c>
    </row>
    <row r="377" spans="1:39" s="560" customFormat="1" hidden="1">
      <c r="A377" s="604" t="s">
        <v>856</v>
      </c>
      <c r="B377" s="604" t="s">
        <v>1254</v>
      </c>
      <c r="C377" s="614" t="s">
        <v>35</v>
      </c>
      <c r="D377" s="580"/>
      <c r="E377" s="981"/>
      <c r="F377" s="581"/>
      <c r="G377" s="581"/>
      <c r="H377" s="581"/>
      <c r="I377" s="949"/>
      <c r="J377" s="949"/>
      <c r="K377" s="949"/>
      <c r="L377" s="989"/>
      <c r="M377" s="575"/>
      <c r="N377" s="575"/>
      <c r="O377" s="575"/>
      <c r="P377" s="575"/>
      <c r="Q377" s="575"/>
      <c r="R377" s="575"/>
      <c r="S377" s="989"/>
      <c r="T377" s="575"/>
      <c r="U377" s="575"/>
      <c r="V377" s="575"/>
      <c r="W377" s="575"/>
      <c r="X377" s="575"/>
      <c r="Y377" s="575"/>
      <c r="Z377" s="989"/>
      <c r="AA377" s="575"/>
      <c r="AB377" s="575"/>
      <c r="AC377" s="575"/>
      <c r="AD377" s="575"/>
      <c r="AE377" s="827"/>
      <c r="AF377" s="575"/>
      <c r="AG377" s="960"/>
      <c r="AH377" s="842"/>
      <c r="AI377" s="839">
        <f t="shared" si="19"/>
        <v>0</v>
      </c>
      <c r="AJ377" s="949">
        <v>0</v>
      </c>
      <c r="AK377" s="581">
        <f t="shared" si="17"/>
        <v>0</v>
      </c>
      <c r="AL377" s="750" t="s">
        <v>1657</v>
      </c>
      <c r="AM377" s="743">
        <f t="shared" si="18"/>
        <v>4</v>
      </c>
    </row>
    <row r="378" spans="1:39" s="560" customFormat="1" hidden="1">
      <c r="A378" s="604" t="s">
        <v>857</v>
      </c>
      <c r="B378" s="604" t="s">
        <v>1279</v>
      </c>
      <c r="C378" s="614" t="s">
        <v>1437</v>
      </c>
      <c r="D378" s="580"/>
      <c r="E378" s="981"/>
      <c r="F378" s="581"/>
      <c r="G378" s="581"/>
      <c r="H378" s="581"/>
      <c r="I378" s="949"/>
      <c r="J378" s="949"/>
      <c r="K378" s="949"/>
      <c r="L378" s="989"/>
      <c r="M378" s="575"/>
      <c r="N378" s="575"/>
      <c r="O378" s="575"/>
      <c r="P378" s="575"/>
      <c r="Q378" s="575"/>
      <c r="R378" s="575"/>
      <c r="S378" s="989"/>
      <c r="T378" s="575"/>
      <c r="U378" s="575"/>
      <c r="V378" s="575"/>
      <c r="W378" s="575"/>
      <c r="X378" s="575"/>
      <c r="Y378" s="575"/>
      <c r="Z378" s="989"/>
      <c r="AA378" s="575"/>
      <c r="AB378" s="575"/>
      <c r="AC378" s="575"/>
      <c r="AD378" s="575"/>
      <c r="AE378" s="827"/>
      <c r="AF378" s="575"/>
      <c r="AG378" s="960"/>
      <c r="AH378" s="842"/>
      <c r="AI378" s="839">
        <f t="shared" si="19"/>
        <v>0</v>
      </c>
      <c r="AJ378" s="949">
        <v>0</v>
      </c>
      <c r="AK378" s="581">
        <f t="shared" si="17"/>
        <v>0</v>
      </c>
      <c r="AL378" s="750" t="s">
        <v>1657</v>
      </c>
      <c r="AM378" s="743">
        <f t="shared" si="18"/>
        <v>4</v>
      </c>
    </row>
    <row r="379" spans="1:39" s="560" customFormat="1" hidden="1">
      <c r="A379" s="607" t="s">
        <v>858</v>
      </c>
      <c r="B379" s="607" t="s">
        <v>1255</v>
      </c>
      <c r="C379" s="690"/>
      <c r="D379" s="580"/>
      <c r="E379" s="981"/>
      <c r="F379" s="581"/>
      <c r="G379" s="581"/>
      <c r="H379" s="581"/>
      <c r="I379" s="949"/>
      <c r="J379" s="949"/>
      <c r="K379" s="949"/>
      <c r="L379" s="989"/>
      <c r="M379" s="575"/>
      <c r="N379" s="575"/>
      <c r="O379" s="575"/>
      <c r="P379" s="575"/>
      <c r="Q379" s="575"/>
      <c r="R379" s="575"/>
      <c r="S379" s="989"/>
      <c r="T379" s="575"/>
      <c r="U379" s="575"/>
      <c r="V379" s="575"/>
      <c r="W379" s="575"/>
      <c r="X379" s="575"/>
      <c r="Y379" s="575"/>
      <c r="Z379" s="989"/>
      <c r="AA379" s="575"/>
      <c r="AB379" s="575"/>
      <c r="AC379" s="575"/>
      <c r="AD379" s="575"/>
      <c r="AE379" s="827"/>
      <c r="AF379" s="575"/>
      <c r="AG379" s="960"/>
      <c r="AH379" s="842"/>
      <c r="AI379" s="839">
        <f t="shared" si="19"/>
        <v>0</v>
      </c>
      <c r="AJ379" s="949">
        <v>0</v>
      </c>
      <c r="AK379" s="581">
        <f t="shared" si="17"/>
        <v>0</v>
      </c>
      <c r="AL379" s="750"/>
      <c r="AM379" s="743">
        <f t="shared" si="18"/>
        <v>0</v>
      </c>
    </row>
    <row r="380" spans="1:39" s="560" customFormat="1" hidden="1">
      <c r="A380" s="604" t="s">
        <v>859</v>
      </c>
      <c r="B380" s="604" t="s">
        <v>1256</v>
      </c>
      <c r="C380" s="614" t="s">
        <v>36</v>
      </c>
      <c r="D380" s="580"/>
      <c r="E380" s="981"/>
      <c r="F380" s="581"/>
      <c r="G380" s="581"/>
      <c r="H380" s="581"/>
      <c r="I380" s="949"/>
      <c r="J380" s="949"/>
      <c r="K380" s="949"/>
      <c r="L380" s="989"/>
      <c r="M380" s="575"/>
      <c r="N380" s="575"/>
      <c r="O380" s="575"/>
      <c r="P380" s="575"/>
      <c r="Q380" s="575"/>
      <c r="R380" s="575"/>
      <c r="S380" s="989"/>
      <c r="T380" s="575"/>
      <c r="U380" s="575"/>
      <c r="V380" s="575"/>
      <c r="W380" s="575"/>
      <c r="X380" s="575"/>
      <c r="Y380" s="575"/>
      <c r="Z380" s="989"/>
      <c r="AA380" s="575"/>
      <c r="AB380" s="575"/>
      <c r="AC380" s="575"/>
      <c r="AD380" s="575"/>
      <c r="AE380" s="827"/>
      <c r="AF380" s="575"/>
      <c r="AG380" s="960"/>
      <c r="AH380" s="842"/>
      <c r="AI380" s="839">
        <f t="shared" si="19"/>
        <v>0</v>
      </c>
      <c r="AJ380" s="949">
        <v>0</v>
      </c>
      <c r="AK380" s="581">
        <f t="shared" si="17"/>
        <v>0</v>
      </c>
      <c r="AL380" s="750" t="s">
        <v>1658</v>
      </c>
      <c r="AM380" s="743">
        <f t="shared" si="18"/>
        <v>18.09</v>
      </c>
    </row>
    <row r="381" spans="1:39" s="560" customFormat="1" hidden="1">
      <c r="A381" s="604" t="s">
        <v>860</v>
      </c>
      <c r="B381" s="604" t="s">
        <v>1257</v>
      </c>
      <c r="C381" s="614" t="s">
        <v>36</v>
      </c>
      <c r="D381" s="580"/>
      <c r="E381" s="981"/>
      <c r="F381" s="581"/>
      <c r="G381" s="581"/>
      <c r="H381" s="581"/>
      <c r="I381" s="949"/>
      <c r="J381" s="949"/>
      <c r="K381" s="949"/>
      <c r="L381" s="989"/>
      <c r="M381" s="575"/>
      <c r="N381" s="575"/>
      <c r="O381" s="575"/>
      <c r="P381" s="575"/>
      <c r="Q381" s="575"/>
      <c r="R381" s="575"/>
      <c r="S381" s="989"/>
      <c r="T381" s="575"/>
      <c r="U381" s="575"/>
      <c r="V381" s="575"/>
      <c r="W381" s="575"/>
      <c r="X381" s="575"/>
      <c r="Y381" s="575"/>
      <c r="Z381" s="989"/>
      <c r="AA381" s="575"/>
      <c r="AB381" s="575"/>
      <c r="AC381" s="575"/>
      <c r="AD381" s="575"/>
      <c r="AE381" s="827"/>
      <c r="AF381" s="575"/>
      <c r="AG381" s="960"/>
      <c r="AH381" s="842"/>
      <c r="AI381" s="839">
        <f t="shared" si="19"/>
        <v>0</v>
      </c>
      <c r="AJ381" s="949">
        <v>0</v>
      </c>
      <c r="AK381" s="581">
        <f t="shared" si="17"/>
        <v>0</v>
      </c>
      <c r="AL381" s="750" t="s">
        <v>1659</v>
      </c>
      <c r="AM381" s="743">
        <f t="shared" si="18"/>
        <v>1.75</v>
      </c>
    </row>
    <row r="382" spans="1:39" s="560" customFormat="1" hidden="1">
      <c r="A382" s="607" t="s">
        <v>861</v>
      </c>
      <c r="B382" s="607" t="s">
        <v>1258</v>
      </c>
      <c r="C382" s="690"/>
      <c r="D382" s="580"/>
      <c r="E382" s="981"/>
      <c r="F382" s="581"/>
      <c r="G382" s="581"/>
      <c r="H382" s="581"/>
      <c r="I382" s="949"/>
      <c r="J382" s="949"/>
      <c r="K382" s="949"/>
      <c r="L382" s="989"/>
      <c r="M382" s="575"/>
      <c r="N382" s="575"/>
      <c r="O382" s="575"/>
      <c r="P382" s="575"/>
      <c r="Q382" s="575"/>
      <c r="R382" s="575"/>
      <c r="S382" s="989"/>
      <c r="T382" s="575"/>
      <c r="U382" s="575"/>
      <c r="V382" s="575"/>
      <c r="W382" s="575"/>
      <c r="X382" s="575"/>
      <c r="Y382" s="575"/>
      <c r="Z382" s="989"/>
      <c r="AA382" s="575"/>
      <c r="AB382" s="575"/>
      <c r="AC382" s="575"/>
      <c r="AD382" s="575"/>
      <c r="AE382" s="827"/>
      <c r="AF382" s="575"/>
      <c r="AG382" s="960"/>
      <c r="AH382" s="842"/>
      <c r="AI382" s="839">
        <f t="shared" si="19"/>
        <v>0</v>
      </c>
      <c r="AJ382" s="949">
        <v>0</v>
      </c>
      <c r="AK382" s="581">
        <f t="shared" si="17"/>
        <v>0</v>
      </c>
      <c r="AL382" s="750"/>
      <c r="AM382" s="743">
        <f t="shared" si="18"/>
        <v>0</v>
      </c>
    </row>
    <row r="383" spans="1:39" s="560" customFormat="1" hidden="1">
      <c r="A383" s="604" t="s">
        <v>862</v>
      </c>
      <c r="B383" s="604" t="s">
        <v>1259</v>
      </c>
      <c r="C383" s="614" t="s">
        <v>36</v>
      </c>
      <c r="D383" s="580"/>
      <c r="E383" s="981"/>
      <c r="F383" s="581"/>
      <c r="G383" s="581"/>
      <c r="H383" s="581"/>
      <c r="I383" s="949"/>
      <c r="J383" s="949"/>
      <c r="K383" s="949"/>
      <c r="L383" s="989"/>
      <c r="M383" s="575"/>
      <c r="N383" s="575"/>
      <c r="O383" s="575"/>
      <c r="P383" s="575"/>
      <c r="Q383" s="575"/>
      <c r="R383" s="575"/>
      <c r="S383" s="989"/>
      <c r="T383" s="575"/>
      <c r="U383" s="575"/>
      <c r="V383" s="575"/>
      <c r="W383" s="575"/>
      <c r="X383" s="575"/>
      <c r="Y383" s="575"/>
      <c r="Z383" s="989"/>
      <c r="AA383" s="575"/>
      <c r="AB383" s="575"/>
      <c r="AC383" s="575"/>
      <c r="AD383" s="575"/>
      <c r="AE383" s="827"/>
      <c r="AF383" s="575"/>
      <c r="AG383" s="960"/>
      <c r="AH383" s="842"/>
      <c r="AI383" s="839">
        <f t="shared" si="19"/>
        <v>0</v>
      </c>
      <c r="AJ383" s="949">
        <v>0</v>
      </c>
      <c r="AK383" s="581">
        <f t="shared" si="17"/>
        <v>0</v>
      </c>
      <c r="AL383" s="750" t="s">
        <v>1641</v>
      </c>
      <c r="AM383" s="743">
        <f t="shared" si="18"/>
        <v>65.92</v>
      </c>
    </row>
    <row r="384" spans="1:39" s="560" customFormat="1" hidden="1">
      <c r="A384" s="604" t="s">
        <v>863</v>
      </c>
      <c r="B384" s="604" t="s">
        <v>1260</v>
      </c>
      <c r="C384" s="614" t="s">
        <v>36</v>
      </c>
      <c r="D384" s="580"/>
      <c r="E384" s="981"/>
      <c r="F384" s="581"/>
      <c r="G384" s="581"/>
      <c r="H384" s="581"/>
      <c r="I384" s="949"/>
      <c r="J384" s="949"/>
      <c r="K384" s="949"/>
      <c r="L384" s="989"/>
      <c r="M384" s="575"/>
      <c r="N384" s="575"/>
      <c r="O384" s="575"/>
      <c r="P384" s="575"/>
      <c r="Q384" s="575"/>
      <c r="R384" s="575"/>
      <c r="S384" s="989"/>
      <c r="T384" s="575"/>
      <c r="U384" s="575"/>
      <c r="V384" s="575"/>
      <c r="W384" s="575"/>
      <c r="X384" s="575"/>
      <c r="Y384" s="575"/>
      <c r="Z384" s="989"/>
      <c r="AA384" s="575"/>
      <c r="AB384" s="575"/>
      <c r="AC384" s="575"/>
      <c r="AD384" s="575"/>
      <c r="AE384" s="827"/>
      <c r="AF384" s="575"/>
      <c r="AG384" s="960"/>
      <c r="AH384" s="842"/>
      <c r="AI384" s="839">
        <f t="shared" si="19"/>
        <v>0</v>
      </c>
      <c r="AJ384" s="949">
        <v>0</v>
      </c>
      <c r="AK384" s="581">
        <f t="shared" si="17"/>
        <v>0</v>
      </c>
      <c r="AL384" s="750" t="s">
        <v>1634</v>
      </c>
      <c r="AM384" s="743">
        <f t="shared" si="18"/>
        <v>99.99</v>
      </c>
    </row>
    <row r="385" spans="1:39" s="560" customFormat="1" hidden="1">
      <c r="A385" s="604" t="s">
        <v>864</v>
      </c>
      <c r="B385" s="604" t="s">
        <v>1261</v>
      </c>
      <c r="C385" s="614" t="s">
        <v>36</v>
      </c>
      <c r="D385" s="580"/>
      <c r="E385" s="981"/>
      <c r="F385" s="581"/>
      <c r="G385" s="581"/>
      <c r="H385" s="581"/>
      <c r="I385" s="949"/>
      <c r="J385" s="949"/>
      <c r="K385" s="949"/>
      <c r="L385" s="989"/>
      <c r="M385" s="575"/>
      <c r="N385" s="575"/>
      <c r="O385" s="575"/>
      <c r="P385" s="575"/>
      <c r="Q385" s="575"/>
      <c r="R385" s="575"/>
      <c r="S385" s="989"/>
      <c r="T385" s="575"/>
      <c r="U385" s="575"/>
      <c r="V385" s="575"/>
      <c r="W385" s="575"/>
      <c r="X385" s="575"/>
      <c r="Y385" s="575"/>
      <c r="Z385" s="989"/>
      <c r="AA385" s="575"/>
      <c r="AB385" s="575"/>
      <c r="AC385" s="575"/>
      <c r="AD385" s="575"/>
      <c r="AE385" s="827"/>
      <c r="AF385" s="575"/>
      <c r="AG385" s="960"/>
      <c r="AH385" s="842"/>
      <c r="AI385" s="839">
        <f t="shared" si="19"/>
        <v>0</v>
      </c>
      <c r="AJ385" s="949">
        <v>0</v>
      </c>
      <c r="AK385" s="581">
        <f t="shared" si="17"/>
        <v>0</v>
      </c>
      <c r="AL385" s="750" t="s">
        <v>1635</v>
      </c>
      <c r="AM385" s="743">
        <f t="shared" si="18"/>
        <v>60.07</v>
      </c>
    </row>
    <row r="386" spans="1:39" s="560" customFormat="1" hidden="1">
      <c r="A386" s="604" t="s">
        <v>865</v>
      </c>
      <c r="B386" s="604" t="s">
        <v>1262</v>
      </c>
      <c r="C386" s="614" t="s">
        <v>36</v>
      </c>
      <c r="D386" s="580"/>
      <c r="E386" s="981"/>
      <c r="F386" s="581"/>
      <c r="G386" s="581"/>
      <c r="H386" s="581"/>
      <c r="I386" s="949"/>
      <c r="J386" s="949"/>
      <c r="K386" s="949"/>
      <c r="L386" s="989"/>
      <c r="M386" s="575"/>
      <c r="N386" s="575"/>
      <c r="O386" s="575"/>
      <c r="P386" s="575"/>
      <c r="Q386" s="575"/>
      <c r="R386" s="575"/>
      <c r="S386" s="989"/>
      <c r="T386" s="575"/>
      <c r="U386" s="575"/>
      <c r="V386" s="575"/>
      <c r="W386" s="575"/>
      <c r="X386" s="575"/>
      <c r="Y386" s="575"/>
      <c r="Z386" s="989"/>
      <c r="AA386" s="575"/>
      <c r="AB386" s="575"/>
      <c r="AC386" s="575"/>
      <c r="AD386" s="575"/>
      <c r="AE386" s="827"/>
      <c r="AF386" s="575"/>
      <c r="AG386" s="960"/>
      <c r="AH386" s="842"/>
      <c r="AI386" s="839">
        <f t="shared" si="19"/>
        <v>0</v>
      </c>
      <c r="AJ386" s="949">
        <v>0</v>
      </c>
      <c r="AK386" s="581">
        <f t="shared" si="17"/>
        <v>0</v>
      </c>
      <c r="AL386" s="750" t="s">
        <v>1636</v>
      </c>
      <c r="AM386" s="743">
        <f t="shared" si="18"/>
        <v>33.6</v>
      </c>
    </row>
    <row r="387" spans="1:39" s="560" customFormat="1" hidden="1">
      <c r="A387" s="604" t="s">
        <v>866</v>
      </c>
      <c r="B387" s="604" t="s">
        <v>1263</v>
      </c>
      <c r="C387" s="614" t="s">
        <v>36</v>
      </c>
      <c r="D387" s="580"/>
      <c r="E387" s="981"/>
      <c r="F387" s="581"/>
      <c r="G387" s="581"/>
      <c r="H387" s="581"/>
      <c r="I387" s="949"/>
      <c r="J387" s="949"/>
      <c r="K387" s="949"/>
      <c r="L387" s="989"/>
      <c r="M387" s="575"/>
      <c r="N387" s="575"/>
      <c r="O387" s="575"/>
      <c r="P387" s="575"/>
      <c r="Q387" s="575"/>
      <c r="R387" s="575"/>
      <c r="S387" s="989"/>
      <c r="T387" s="575"/>
      <c r="U387" s="575"/>
      <c r="V387" s="575"/>
      <c r="W387" s="575"/>
      <c r="X387" s="575"/>
      <c r="Y387" s="575"/>
      <c r="Z387" s="989"/>
      <c r="AA387" s="575"/>
      <c r="AB387" s="575"/>
      <c r="AC387" s="575"/>
      <c r="AD387" s="575"/>
      <c r="AE387" s="827"/>
      <c r="AF387" s="575"/>
      <c r="AG387" s="960"/>
      <c r="AH387" s="842"/>
      <c r="AI387" s="839">
        <f t="shared" si="19"/>
        <v>0</v>
      </c>
      <c r="AJ387" s="949">
        <v>0</v>
      </c>
      <c r="AK387" s="581">
        <f t="shared" si="17"/>
        <v>0</v>
      </c>
      <c r="AL387" s="750" t="s">
        <v>1637</v>
      </c>
      <c r="AM387" s="743">
        <f t="shared" si="18"/>
        <v>27.42</v>
      </c>
    </row>
    <row r="388" spans="1:39" s="560" customFormat="1" hidden="1">
      <c r="A388" s="604" t="s">
        <v>867</v>
      </c>
      <c r="B388" s="604" t="s">
        <v>1264</v>
      </c>
      <c r="C388" s="614" t="s">
        <v>36</v>
      </c>
      <c r="D388" s="580"/>
      <c r="E388" s="981"/>
      <c r="F388" s="581"/>
      <c r="G388" s="581"/>
      <c r="H388" s="581"/>
      <c r="I388" s="949"/>
      <c r="J388" s="949"/>
      <c r="K388" s="949"/>
      <c r="L388" s="989"/>
      <c r="M388" s="575"/>
      <c r="N388" s="575"/>
      <c r="O388" s="575"/>
      <c r="P388" s="575"/>
      <c r="Q388" s="575"/>
      <c r="R388" s="575"/>
      <c r="S388" s="989"/>
      <c r="T388" s="575"/>
      <c r="U388" s="575"/>
      <c r="V388" s="575"/>
      <c r="W388" s="575"/>
      <c r="X388" s="575"/>
      <c r="Y388" s="575"/>
      <c r="Z388" s="989"/>
      <c r="AA388" s="575"/>
      <c r="AB388" s="575"/>
      <c r="AC388" s="575"/>
      <c r="AD388" s="575"/>
      <c r="AE388" s="827"/>
      <c r="AF388" s="575"/>
      <c r="AG388" s="960"/>
      <c r="AH388" s="842"/>
      <c r="AI388" s="839">
        <f t="shared" si="19"/>
        <v>0</v>
      </c>
      <c r="AJ388" s="949">
        <v>0</v>
      </c>
      <c r="AK388" s="581">
        <f t="shared" si="17"/>
        <v>0</v>
      </c>
      <c r="AL388" s="750" t="s">
        <v>1621</v>
      </c>
      <c r="AM388" s="743">
        <f t="shared" si="18"/>
        <v>15.8</v>
      </c>
    </row>
    <row r="389" spans="1:39" s="560" customFormat="1" hidden="1">
      <c r="A389" s="604" t="s">
        <v>868</v>
      </c>
      <c r="B389" s="604" t="s">
        <v>1265</v>
      </c>
      <c r="C389" s="614" t="s">
        <v>36</v>
      </c>
      <c r="D389" s="580"/>
      <c r="E389" s="981"/>
      <c r="F389" s="581"/>
      <c r="G389" s="581"/>
      <c r="H389" s="581"/>
      <c r="I389" s="949"/>
      <c r="J389" s="949"/>
      <c r="K389" s="949"/>
      <c r="L389" s="989"/>
      <c r="M389" s="575"/>
      <c r="N389" s="575"/>
      <c r="O389" s="575"/>
      <c r="P389" s="575"/>
      <c r="Q389" s="575"/>
      <c r="R389" s="575"/>
      <c r="S389" s="989"/>
      <c r="T389" s="575"/>
      <c r="U389" s="575"/>
      <c r="V389" s="575"/>
      <c r="W389" s="575"/>
      <c r="X389" s="575"/>
      <c r="Y389" s="575"/>
      <c r="Z389" s="989"/>
      <c r="AA389" s="575"/>
      <c r="AB389" s="575"/>
      <c r="AC389" s="575"/>
      <c r="AD389" s="575"/>
      <c r="AE389" s="827"/>
      <c r="AF389" s="575"/>
      <c r="AG389" s="960"/>
      <c r="AH389" s="842"/>
      <c r="AI389" s="839">
        <f t="shared" si="19"/>
        <v>0</v>
      </c>
      <c r="AJ389" s="949">
        <v>0</v>
      </c>
      <c r="AK389" s="581">
        <f t="shared" si="17"/>
        <v>0</v>
      </c>
      <c r="AL389" s="750" t="s">
        <v>1660</v>
      </c>
      <c r="AM389" s="743">
        <f t="shared" si="18"/>
        <v>14.7</v>
      </c>
    </row>
    <row r="390" spans="1:39" s="560" customFormat="1" hidden="1">
      <c r="A390" s="607" t="s">
        <v>869</v>
      </c>
      <c r="B390" s="607" t="s">
        <v>1266</v>
      </c>
      <c r="C390" s="690"/>
      <c r="D390" s="580"/>
      <c r="E390" s="981"/>
      <c r="F390" s="581"/>
      <c r="G390" s="581"/>
      <c r="H390" s="581"/>
      <c r="I390" s="949"/>
      <c r="J390" s="949"/>
      <c r="K390" s="949"/>
      <c r="L390" s="989"/>
      <c r="M390" s="575"/>
      <c r="N390" s="575"/>
      <c r="O390" s="575"/>
      <c r="P390" s="575"/>
      <c r="Q390" s="575"/>
      <c r="R390" s="575"/>
      <c r="S390" s="989"/>
      <c r="T390" s="575"/>
      <c r="U390" s="575"/>
      <c r="V390" s="575"/>
      <c r="W390" s="575"/>
      <c r="X390" s="575"/>
      <c r="Y390" s="575"/>
      <c r="Z390" s="989"/>
      <c r="AA390" s="575"/>
      <c r="AB390" s="575"/>
      <c r="AC390" s="575"/>
      <c r="AD390" s="575"/>
      <c r="AE390" s="827"/>
      <c r="AF390" s="575"/>
      <c r="AG390" s="960"/>
      <c r="AH390" s="842"/>
      <c r="AI390" s="839">
        <f t="shared" si="19"/>
        <v>0</v>
      </c>
      <c r="AJ390" s="949">
        <v>0</v>
      </c>
      <c r="AK390" s="581">
        <f t="shared" si="17"/>
        <v>0</v>
      </c>
      <c r="AL390" s="750"/>
      <c r="AM390" s="743">
        <f t="shared" si="18"/>
        <v>0</v>
      </c>
    </row>
    <row r="391" spans="1:39" s="560" customFormat="1" hidden="1">
      <c r="A391" s="604" t="s">
        <v>870</v>
      </c>
      <c r="B391" s="604" t="s">
        <v>1267</v>
      </c>
      <c r="C391" s="614" t="s">
        <v>1436</v>
      </c>
      <c r="D391" s="580"/>
      <c r="E391" s="981"/>
      <c r="F391" s="581"/>
      <c r="G391" s="581"/>
      <c r="H391" s="581"/>
      <c r="I391" s="949"/>
      <c r="J391" s="949"/>
      <c r="K391" s="949"/>
      <c r="L391" s="989"/>
      <c r="M391" s="575"/>
      <c r="N391" s="575"/>
      <c r="O391" s="575"/>
      <c r="P391" s="575"/>
      <c r="Q391" s="575"/>
      <c r="R391" s="575"/>
      <c r="S391" s="989"/>
      <c r="T391" s="575"/>
      <c r="U391" s="575"/>
      <c r="V391" s="575"/>
      <c r="W391" s="575"/>
      <c r="X391" s="575"/>
      <c r="Y391" s="575"/>
      <c r="Z391" s="989"/>
      <c r="AA391" s="575"/>
      <c r="AB391" s="575"/>
      <c r="AC391" s="575"/>
      <c r="AD391" s="575"/>
      <c r="AE391" s="827"/>
      <c r="AF391" s="575"/>
      <c r="AG391" s="960"/>
      <c r="AH391" s="842"/>
      <c r="AI391" s="839">
        <f t="shared" si="19"/>
        <v>0</v>
      </c>
      <c r="AJ391" s="949">
        <v>0</v>
      </c>
      <c r="AK391" s="581">
        <f t="shared" si="17"/>
        <v>0</v>
      </c>
      <c r="AL391" s="750" t="s">
        <v>1661</v>
      </c>
      <c r="AM391" s="743">
        <f t="shared" si="18"/>
        <v>8</v>
      </c>
    </row>
    <row r="392" spans="1:39" s="560" customFormat="1" hidden="1">
      <c r="A392" s="604" t="s">
        <v>871</v>
      </c>
      <c r="B392" s="604" t="s">
        <v>1268</v>
      </c>
      <c r="C392" s="614" t="s">
        <v>63</v>
      </c>
      <c r="D392" s="580"/>
      <c r="E392" s="981"/>
      <c r="F392" s="581"/>
      <c r="G392" s="581"/>
      <c r="H392" s="581"/>
      <c r="I392" s="949"/>
      <c r="J392" s="949"/>
      <c r="K392" s="949"/>
      <c r="L392" s="989"/>
      <c r="M392" s="575"/>
      <c r="N392" s="575"/>
      <c r="O392" s="575"/>
      <c r="P392" s="575"/>
      <c r="Q392" s="575"/>
      <c r="R392" s="575"/>
      <c r="S392" s="989"/>
      <c r="T392" s="575"/>
      <c r="U392" s="575"/>
      <c r="V392" s="575"/>
      <c r="W392" s="575"/>
      <c r="X392" s="575"/>
      <c r="Y392" s="575"/>
      <c r="Z392" s="989"/>
      <c r="AA392" s="575"/>
      <c r="AB392" s="575"/>
      <c r="AC392" s="575"/>
      <c r="AD392" s="575"/>
      <c r="AE392" s="827"/>
      <c r="AF392" s="575"/>
      <c r="AG392" s="960"/>
      <c r="AH392" s="842"/>
      <c r="AI392" s="839">
        <f t="shared" si="19"/>
        <v>0</v>
      </c>
      <c r="AJ392" s="949">
        <v>0</v>
      </c>
      <c r="AK392" s="581">
        <f t="shared" si="17"/>
        <v>0</v>
      </c>
      <c r="AL392" s="750" t="s">
        <v>1441</v>
      </c>
      <c r="AM392" s="743">
        <f t="shared" si="18"/>
        <v>1</v>
      </c>
    </row>
    <row r="393" spans="1:39" s="560" customFormat="1" hidden="1">
      <c r="A393" s="604" t="s">
        <v>872</v>
      </c>
      <c r="B393" s="604" t="s">
        <v>1269</v>
      </c>
      <c r="C393" s="614" t="s">
        <v>36</v>
      </c>
      <c r="D393" s="580"/>
      <c r="E393" s="981"/>
      <c r="F393" s="581"/>
      <c r="G393" s="581"/>
      <c r="H393" s="581"/>
      <c r="I393" s="949"/>
      <c r="J393" s="949"/>
      <c r="K393" s="949"/>
      <c r="L393" s="989"/>
      <c r="M393" s="575"/>
      <c r="N393" s="575"/>
      <c r="O393" s="575"/>
      <c r="P393" s="575"/>
      <c r="Q393" s="575"/>
      <c r="R393" s="575"/>
      <c r="S393" s="989"/>
      <c r="T393" s="575"/>
      <c r="U393" s="575"/>
      <c r="V393" s="575"/>
      <c r="W393" s="575"/>
      <c r="X393" s="575"/>
      <c r="Y393" s="575"/>
      <c r="Z393" s="989"/>
      <c r="AA393" s="575"/>
      <c r="AB393" s="575"/>
      <c r="AC393" s="575"/>
      <c r="AD393" s="575"/>
      <c r="AE393" s="827"/>
      <c r="AF393" s="575"/>
      <c r="AG393" s="960"/>
      <c r="AH393" s="842"/>
      <c r="AI393" s="839">
        <f t="shared" si="19"/>
        <v>0</v>
      </c>
      <c r="AJ393" s="949">
        <v>0</v>
      </c>
      <c r="AK393" s="581">
        <f t="shared" si="17"/>
        <v>0</v>
      </c>
      <c r="AL393" s="750" t="s">
        <v>1662</v>
      </c>
      <c r="AM393" s="743">
        <f t="shared" si="18"/>
        <v>19.84</v>
      </c>
    </row>
    <row r="394" spans="1:39" s="560" customFormat="1" hidden="1">
      <c r="A394" s="492" t="s">
        <v>470</v>
      </c>
      <c r="B394" s="608" t="s">
        <v>1141</v>
      </c>
      <c r="C394" s="690"/>
      <c r="D394" s="580"/>
      <c r="E394" s="981"/>
      <c r="F394" s="581"/>
      <c r="G394" s="581"/>
      <c r="H394" s="581"/>
      <c r="I394" s="949"/>
      <c r="J394" s="949"/>
      <c r="K394" s="949"/>
      <c r="L394" s="989"/>
      <c r="M394" s="575"/>
      <c r="N394" s="575"/>
      <c r="O394" s="575"/>
      <c r="P394" s="575"/>
      <c r="Q394" s="575"/>
      <c r="R394" s="575"/>
      <c r="S394" s="989"/>
      <c r="T394" s="575"/>
      <c r="U394" s="575"/>
      <c r="V394" s="575"/>
      <c r="W394" s="575"/>
      <c r="X394" s="575"/>
      <c r="Y394" s="575"/>
      <c r="Z394" s="989"/>
      <c r="AA394" s="575"/>
      <c r="AB394" s="575"/>
      <c r="AC394" s="575"/>
      <c r="AD394" s="575"/>
      <c r="AE394" s="827"/>
      <c r="AF394" s="575"/>
      <c r="AG394" s="960"/>
      <c r="AH394" s="842"/>
      <c r="AI394" s="839">
        <f t="shared" si="19"/>
        <v>0</v>
      </c>
      <c r="AJ394" s="949">
        <v>0</v>
      </c>
      <c r="AK394" s="581">
        <f t="shared" si="17"/>
        <v>0</v>
      </c>
      <c r="AL394" s="750"/>
      <c r="AM394" s="743">
        <f t="shared" si="18"/>
        <v>0</v>
      </c>
    </row>
    <row r="395" spans="1:39" s="560" customFormat="1" hidden="1">
      <c r="A395" s="607" t="s">
        <v>471</v>
      </c>
      <c r="B395" s="607" t="s">
        <v>1222</v>
      </c>
      <c r="C395" s="690"/>
      <c r="D395" s="580"/>
      <c r="E395" s="981"/>
      <c r="F395" s="581"/>
      <c r="G395" s="581"/>
      <c r="H395" s="581"/>
      <c r="I395" s="949"/>
      <c r="J395" s="949"/>
      <c r="K395" s="949"/>
      <c r="L395" s="989"/>
      <c r="M395" s="575"/>
      <c r="N395" s="575"/>
      <c r="O395" s="575"/>
      <c r="P395" s="575"/>
      <c r="Q395" s="575"/>
      <c r="R395" s="575"/>
      <c r="S395" s="989"/>
      <c r="T395" s="575"/>
      <c r="U395" s="575"/>
      <c r="V395" s="575"/>
      <c r="W395" s="575"/>
      <c r="X395" s="575"/>
      <c r="Y395" s="575"/>
      <c r="Z395" s="989"/>
      <c r="AA395" s="575"/>
      <c r="AB395" s="575"/>
      <c r="AC395" s="575"/>
      <c r="AD395" s="575"/>
      <c r="AE395" s="827"/>
      <c r="AF395" s="575"/>
      <c r="AG395" s="960"/>
      <c r="AH395" s="842"/>
      <c r="AI395" s="839">
        <f t="shared" si="19"/>
        <v>0</v>
      </c>
      <c r="AJ395" s="949">
        <v>0</v>
      </c>
      <c r="AK395" s="581">
        <f t="shared" si="17"/>
        <v>0</v>
      </c>
      <c r="AL395" s="750"/>
      <c r="AM395" s="743">
        <f t="shared" si="18"/>
        <v>0</v>
      </c>
    </row>
    <row r="396" spans="1:39" s="560" customFormat="1" hidden="1">
      <c r="A396" s="604" t="s">
        <v>873</v>
      </c>
      <c r="B396" s="604" t="s">
        <v>1223</v>
      </c>
      <c r="C396" s="614" t="s">
        <v>36</v>
      </c>
      <c r="D396" s="580"/>
      <c r="E396" s="981"/>
      <c r="F396" s="581"/>
      <c r="G396" s="581"/>
      <c r="H396" s="581"/>
      <c r="I396" s="949"/>
      <c r="J396" s="949"/>
      <c r="K396" s="949"/>
      <c r="L396" s="989"/>
      <c r="M396" s="575"/>
      <c r="N396" s="575"/>
      <c r="O396" s="575"/>
      <c r="P396" s="575"/>
      <c r="Q396" s="575"/>
      <c r="R396" s="575"/>
      <c r="S396" s="989"/>
      <c r="T396" s="575"/>
      <c r="U396" s="575"/>
      <c r="V396" s="575"/>
      <c r="W396" s="575"/>
      <c r="X396" s="575"/>
      <c r="Y396" s="575"/>
      <c r="Z396" s="989"/>
      <c r="AA396" s="575"/>
      <c r="AB396" s="575"/>
      <c r="AC396" s="575"/>
      <c r="AD396" s="575"/>
      <c r="AE396" s="827"/>
      <c r="AF396" s="575"/>
      <c r="AG396" s="960"/>
      <c r="AH396" s="842"/>
      <c r="AI396" s="839">
        <f t="shared" si="19"/>
        <v>0</v>
      </c>
      <c r="AJ396" s="949">
        <v>0</v>
      </c>
      <c r="AK396" s="581">
        <f t="shared" si="17"/>
        <v>0</v>
      </c>
      <c r="AL396" s="750" t="s">
        <v>1663</v>
      </c>
      <c r="AM396" s="743">
        <f t="shared" si="18"/>
        <v>45.75</v>
      </c>
    </row>
    <row r="397" spans="1:39" s="560" customFormat="1" hidden="1">
      <c r="A397" s="604" t="s">
        <v>874</v>
      </c>
      <c r="B397" s="604" t="s">
        <v>1224</v>
      </c>
      <c r="C397" s="614" t="s">
        <v>36</v>
      </c>
      <c r="D397" s="580"/>
      <c r="E397" s="981"/>
      <c r="F397" s="581"/>
      <c r="G397" s="581"/>
      <c r="H397" s="581"/>
      <c r="I397" s="949"/>
      <c r="J397" s="949"/>
      <c r="K397" s="949"/>
      <c r="L397" s="989"/>
      <c r="M397" s="575"/>
      <c r="N397" s="575"/>
      <c r="O397" s="575"/>
      <c r="P397" s="575"/>
      <c r="Q397" s="575"/>
      <c r="R397" s="575"/>
      <c r="S397" s="989"/>
      <c r="T397" s="575"/>
      <c r="U397" s="575"/>
      <c r="V397" s="575"/>
      <c r="W397" s="575"/>
      <c r="X397" s="575"/>
      <c r="Y397" s="575"/>
      <c r="Z397" s="989"/>
      <c r="AA397" s="575"/>
      <c r="AB397" s="575"/>
      <c r="AC397" s="575"/>
      <c r="AD397" s="575"/>
      <c r="AE397" s="827"/>
      <c r="AF397" s="575"/>
      <c r="AG397" s="960"/>
      <c r="AH397" s="842"/>
      <c r="AI397" s="839">
        <f t="shared" si="19"/>
        <v>0</v>
      </c>
      <c r="AJ397" s="949">
        <v>0</v>
      </c>
      <c r="AK397" s="581">
        <f t="shared" si="17"/>
        <v>0</v>
      </c>
      <c r="AL397" s="750" t="s">
        <v>1664</v>
      </c>
      <c r="AM397" s="743">
        <f t="shared" si="18"/>
        <v>18.920000000000002</v>
      </c>
    </row>
    <row r="398" spans="1:39" s="560" customFormat="1" hidden="1">
      <c r="A398" s="607" t="s">
        <v>472</v>
      </c>
      <c r="B398" s="607" t="s">
        <v>1225</v>
      </c>
      <c r="C398" s="690"/>
      <c r="D398" s="580"/>
      <c r="E398" s="981"/>
      <c r="F398" s="581"/>
      <c r="G398" s="581"/>
      <c r="H398" s="581"/>
      <c r="I398" s="949"/>
      <c r="J398" s="949"/>
      <c r="K398" s="949"/>
      <c r="L398" s="989"/>
      <c r="M398" s="575"/>
      <c r="N398" s="575"/>
      <c r="O398" s="575"/>
      <c r="P398" s="575"/>
      <c r="Q398" s="575"/>
      <c r="R398" s="575"/>
      <c r="S398" s="989"/>
      <c r="T398" s="575"/>
      <c r="U398" s="575"/>
      <c r="V398" s="575"/>
      <c r="W398" s="575"/>
      <c r="X398" s="575"/>
      <c r="Y398" s="575"/>
      <c r="Z398" s="989"/>
      <c r="AA398" s="575"/>
      <c r="AB398" s="575"/>
      <c r="AC398" s="575"/>
      <c r="AD398" s="575"/>
      <c r="AE398" s="827"/>
      <c r="AF398" s="575"/>
      <c r="AG398" s="960"/>
      <c r="AH398" s="842"/>
      <c r="AI398" s="839">
        <f t="shared" si="19"/>
        <v>0</v>
      </c>
      <c r="AJ398" s="949">
        <v>0</v>
      </c>
      <c r="AK398" s="581">
        <f t="shared" ref="AK398:AK461" si="20">AI398+AJ398</f>
        <v>0</v>
      </c>
      <c r="AL398" s="750"/>
      <c r="AM398" s="743">
        <f t="shared" ref="AM398:AM461" si="21">AL398-AK398</f>
        <v>0</v>
      </c>
    </row>
    <row r="399" spans="1:39" s="560" customFormat="1" hidden="1">
      <c r="A399" s="604" t="s">
        <v>875</v>
      </c>
      <c r="B399" s="604" t="s">
        <v>1226</v>
      </c>
      <c r="C399" s="614" t="s">
        <v>36</v>
      </c>
      <c r="D399" s="580"/>
      <c r="E399" s="981"/>
      <c r="F399" s="581"/>
      <c r="G399" s="581"/>
      <c r="H399" s="581"/>
      <c r="I399" s="949"/>
      <c r="J399" s="949"/>
      <c r="K399" s="949"/>
      <c r="L399" s="989"/>
      <c r="M399" s="575"/>
      <c r="N399" s="575"/>
      <c r="O399" s="575"/>
      <c r="P399" s="575"/>
      <c r="Q399" s="575"/>
      <c r="R399" s="575"/>
      <c r="S399" s="989"/>
      <c r="T399" s="575"/>
      <c r="U399" s="575"/>
      <c r="V399" s="575"/>
      <c r="W399" s="575"/>
      <c r="X399" s="575"/>
      <c r="Y399" s="575"/>
      <c r="Z399" s="989"/>
      <c r="AA399" s="575"/>
      <c r="AB399" s="575"/>
      <c r="AC399" s="575"/>
      <c r="AD399" s="575"/>
      <c r="AE399" s="827"/>
      <c r="AF399" s="575"/>
      <c r="AG399" s="960"/>
      <c r="AH399" s="842"/>
      <c r="AI399" s="839">
        <f t="shared" ref="AI399:AI462" si="22">ROUND((SUM(D399:AH399)),2)</f>
        <v>0</v>
      </c>
      <c r="AJ399" s="949">
        <v>0</v>
      </c>
      <c r="AK399" s="581">
        <f t="shared" si="20"/>
        <v>0</v>
      </c>
      <c r="AL399" s="750" t="s">
        <v>1665</v>
      </c>
      <c r="AM399" s="743">
        <f t="shared" si="21"/>
        <v>83.58</v>
      </c>
    </row>
    <row r="400" spans="1:39" s="560" customFormat="1" hidden="1">
      <c r="A400" s="604" t="s">
        <v>876</v>
      </c>
      <c r="B400" s="604" t="s">
        <v>1227</v>
      </c>
      <c r="C400" s="614" t="s">
        <v>36</v>
      </c>
      <c r="D400" s="580"/>
      <c r="E400" s="981"/>
      <c r="F400" s="581"/>
      <c r="G400" s="581"/>
      <c r="H400" s="581"/>
      <c r="I400" s="949"/>
      <c r="J400" s="949"/>
      <c r="K400" s="949"/>
      <c r="L400" s="989"/>
      <c r="M400" s="575"/>
      <c r="N400" s="575"/>
      <c r="O400" s="575"/>
      <c r="P400" s="575"/>
      <c r="Q400" s="575"/>
      <c r="R400" s="575"/>
      <c r="S400" s="989"/>
      <c r="T400" s="575"/>
      <c r="U400" s="575"/>
      <c r="V400" s="575"/>
      <c r="W400" s="575"/>
      <c r="X400" s="575"/>
      <c r="Y400" s="575"/>
      <c r="Z400" s="989"/>
      <c r="AA400" s="575"/>
      <c r="AB400" s="575"/>
      <c r="AC400" s="575"/>
      <c r="AD400" s="575"/>
      <c r="AE400" s="827"/>
      <c r="AF400" s="575"/>
      <c r="AG400" s="960"/>
      <c r="AH400" s="842"/>
      <c r="AI400" s="839">
        <f t="shared" si="22"/>
        <v>0</v>
      </c>
      <c r="AJ400" s="949">
        <v>0</v>
      </c>
      <c r="AK400" s="581">
        <f t="shared" si="20"/>
        <v>0</v>
      </c>
      <c r="AL400" s="750" t="s">
        <v>1663</v>
      </c>
      <c r="AM400" s="743">
        <f t="shared" si="21"/>
        <v>45.75</v>
      </c>
    </row>
    <row r="401" spans="1:39" s="560" customFormat="1" hidden="1">
      <c r="A401" s="604" t="s">
        <v>877</v>
      </c>
      <c r="B401" s="604" t="s">
        <v>1228</v>
      </c>
      <c r="C401" s="614" t="s">
        <v>36</v>
      </c>
      <c r="D401" s="580"/>
      <c r="E401" s="981"/>
      <c r="F401" s="581"/>
      <c r="G401" s="581"/>
      <c r="H401" s="581"/>
      <c r="I401" s="949"/>
      <c r="J401" s="949"/>
      <c r="K401" s="949"/>
      <c r="L401" s="989"/>
      <c r="M401" s="575"/>
      <c r="N401" s="575"/>
      <c r="O401" s="575"/>
      <c r="P401" s="575"/>
      <c r="Q401" s="575"/>
      <c r="R401" s="575"/>
      <c r="S401" s="989"/>
      <c r="T401" s="575"/>
      <c r="U401" s="575"/>
      <c r="V401" s="575"/>
      <c r="W401" s="575"/>
      <c r="X401" s="575"/>
      <c r="Y401" s="575"/>
      <c r="Z401" s="989"/>
      <c r="AA401" s="575"/>
      <c r="AB401" s="575"/>
      <c r="AC401" s="575"/>
      <c r="AD401" s="575"/>
      <c r="AE401" s="827"/>
      <c r="AF401" s="575"/>
      <c r="AG401" s="960"/>
      <c r="AH401" s="842"/>
      <c r="AI401" s="839">
        <f t="shared" si="22"/>
        <v>0</v>
      </c>
      <c r="AJ401" s="949">
        <v>0</v>
      </c>
      <c r="AK401" s="581">
        <f t="shared" si="20"/>
        <v>0</v>
      </c>
      <c r="AL401" s="750" t="s">
        <v>1666</v>
      </c>
      <c r="AM401" s="743">
        <f t="shared" si="21"/>
        <v>12.95</v>
      </c>
    </row>
    <row r="402" spans="1:39" s="560" customFormat="1" hidden="1">
      <c r="A402" s="604" t="s">
        <v>878</v>
      </c>
      <c r="B402" s="604" t="s">
        <v>1229</v>
      </c>
      <c r="C402" s="614" t="s">
        <v>36</v>
      </c>
      <c r="D402" s="580"/>
      <c r="E402" s="981"/>
      <c r="F402" s="581"/>
      <c r="G402" s="581"/>
      <c r="H402" s="581"/>
      <c r="I402" s="949"/>
      <c r="J402" s="949"/>
      <c r="K402" s="949"/>
      <c r="L402" s="989"/>
      <c r="M402" s="575"/>
      <c r="N402" s="575"/>
      <c r="O402" s="575"/>
      <c r="P402" s="575"/>
      <c r="Q402" s="575"/>
      <c r="R402" s="575"/>
      <c r="S402" s="989"/>
      <c r="T402" s="575"/>
      <c r="U402" s="575"/>
      <c r="V402" s="575"/>
      <c r="W402" s="575"/>
      <c r="X402" s="575"/>
      <c r="Y402" s="575"/>
      <c r="Z402" s="989"/>
      <c r="AA402" s="575"/>
      <c r="AB402" s="575"/>
      <c r="AC402" s="575"/>
      <c r="AD402" s="575"/>
      <c r="AE402" s="827"/>
      <c r="AF402" s="575"/>
      <c r="AG402" s="960"/>
      <c r="AH402" s="842"/>
      <c r="AI402" s="839">
        <f t="shared" si="22"/>
        <v>0</v>
      </c>
      <c r="AJ402" s="949">
        <v>0</v>
      </c>
      <c r="AK402" s="581">
        <f t="shared" si="20"/>
        <v>0</v>
      </c>
      <c r="AL402" s="750" t="s">
        <v>1667</v>
      </c>
      <c r="AM402" s="743">
        <f t="shared" si="21"/>
        <v>24.87</v>
      </c>
    </row>
    <row r="403" spans="1:39" s="560" customFormat="1" hidden="1">
      <c r="A403" s="604" t="s">
        <v>879</v>
      </c>
      <c r="B403" s="604" t="s">
        <v>1230</v>
      </c>
      <c r="C403" s="614" t="s">
        <v>36</v>
      </c>
      <c r="D403" s="580"/>
      <c r="E403" s="981"/>
      <c r="F403" s="581"/>
      <c r="G403" s="581"/>
      <c r="H403" s="581"/>
      <c r="I403" s="949"/>
      <c r="J403" s="949"/>
      <c r="K403" s="949"/>
      <c r="L403" s="989"/>
      <c r="M403" s="575"/>
      <c r="N403" s="575"/>
      <c r="O403" s="575"/>
      <c r="P403" s="575"/>
      <c r="Q403" s="575"/>
      <c r="R403" s="575"/>
      <c r="S403" s="989"/>
      <c r="T403" s="575"/>
      <c r="U403" s="575"/>
      <c r="V403" s="575"/>
      <c r="W403" s="575"/>
      <c r="X403" s="575"/>
      <c r="Y403" s="575"/>
      <c r="Z403" s="989"/>
      <c r="AA403" s="575"/>
      <c r="AB403" s="575"/>
      <c r="AC403" s="575"/>
      <c r="AD403" s="575"/>
      <c r="AE403" s="827"/>
      <c r="AF403" s="575"/>
      <c r="AG403" s="960"/>
      <c r="AH403" s="842"/>
      <c r="AI403" s="839">
        <f t="shared" si="22"/>
        <v>0</v>
      </c>
      <c r="AJ403" s="949">
        <v>0</v>
      </c>
      <c r="AK403" s="581">
        <f t="shared" si="20"/>
        <v>0</v>
      </c>
      <c r="AL403" s="750" t="s">
        <v>1668</v>
      </c>
      <c r="AM403" s="743">
        <f t="shared" si="21"/>
        <v>17.22</v>
      </c>
    </row>
    <row r="404" spans="1:39" s="560" customFormat="1" hidden="1">
      <c r="A404" s="604" t="s">
        <v>880</v>
      </c>
      <c r="B404" s="604" t="s">
        <v>1231</v>
      </c>
      <c r="C404" s="614" t="s">
        <v>37</v>
      </c>
      <c r="D404" s="580"/>
      <c r="E404" s="981"/>
      <c r="F404" s="581"/>
      <c r="G404" s="581"/>
      <c r="H404" s="581"/>
      <c r="I404" s="949"/>
      <c r="J404" s="949"/>
      <c r="K404" s="949"/>
      <c r="L404" s="989"/>
      <c r="M404" s="575"/>
      <c r="N404" s="575"/>
      <c r="O404" s="575"/>
      <c r="P404" s="575"/>
      <c r="Q404" s="575"/>
      <c r="R404" s="575"/>
      <c r="S404" s="989"/>
      <c r="T404" s="575"/>
      <c r="U404" s="575"/>
      <c r="V404" s="575"/>
      <c r="W404" s="575"/>
      <c r="X404" s="575"/>
      <c r="Y404" s="575"/>
      <c r="Z404" s="989"/>
      <c r="AA404" s="575"/>
      <c r="AB404" s="575"/>
      <c r="AC404" s="575"/>
      <c r="AD404" s="575"/>
      <c r="AE404" s="827"/>
      <c r="AF404" s="575"/>
      <c r="AG404" s="960"/>
      <c r="AH404" s="842"/>
      <c r="AI404" s="839">
        <f t="shared" si="22"/>
        <v>0</v>
      </c>
      <c r="AJ404" s="949">
        <v>0</v>
      </c>
      <c r="AK404" s="581">
        <f t="shared" si="20"/>
        <v>0</v>
      </c>
      <c r="AL404" s="750" t="s">
        <v>1669</v>
      </c>
      <c r="AM404" s="743">
        <f t="shared" si="21"/>
        <v>48.7</v>
      </c>
    </row>
    <row r="405" spans="1:39" s="560" customFormat="1" hidden="1">
      <c r="A405" s="604" t="s">
        <v>881</v>
      </c>
      <c r="B405" s="604" t="s">
        <v>1232</v>
      </c>
      <c r="C405" s="614" t="s">
        <v>37</v>
      </c>
      <c r="D405" s="580"/>
      <c r="E405" s="981"/>
      <c r="F405" s="581"/>
      <c r="G405" s="581"/>
      <c r="H405" s="581"/>
      <c r="I405" s="949"/>
      <c r="J405" s="949"/>
      <c r="K405" s="949"/>
      <c r="L405" s="989"/>
      <c r="M405" s="575"/>
      <c r="N405" s="575"/>
      <c r="O405" s="575"/>
      <c r="P405" s="575"/>
      <c r="Q405" s="575"/>
      <c r="R405" s="575"/>
      <c r="S405" s="989"/>
      <c r="T405" s="575"/>
      <c r="U405" s="575"/>
      <c r="V405" s="575"/>
      <c r="W405" s="575"/>
      <c r="X405" s="575"/>
      <c r="Y405" s="575"/>
      <c r="Z405" s="989"/>
      <c r="AA405" s="575"/>
      <c r="AB405" s="575"/>
      <c r="AC405" s="575"/>
      <c r="AD405" s="575"/>
      <c r="AE405" s="827"/>
      <c r="AF405" s="575"/>
      <c r="AG405" s="960"/>
      <c r="AH405" s="842"/>
      <c r="AI405" s="839">
        <f t="shared" si="22"/>
        <v>0</v>
      </c>
      <c r="AJ405" s="949">
        <v>0</v>
      </c>
      <c r="AK405" s="581">
        <f t="shared" si="20"/>
        <v>0</v>
      </c>
      <c r="AL405" s="750" t="s">
        <v>1670</v>
      </c>
      <c r="AM405" s="743">
        <f t="shared" si="21"/>
        <v>172.48</v>
      </c>
    </row>
    <row r="406" spans="1:39" s="560" customFormat="1" hidden="1">
      <c r="A406" s="607" t="s">
        <v>473</v>
      </c>
      <c r="B406" s="607" t="s">
        <v>1233</v>
      </c>
      <c r="C406" s="690"/>
      <c r="D406" s="580"/>
      <c r="E406" s="981"/>
      <c r="F406" s="581"/>
      <c r="G406" s="581"/>
      <c r="H406" s="581"/>
      <c r="I406" s="949"/>
      <c r="J406" s="949"/>
      <c r="K406" s="949"/>
      <c r="L406" s="989"/>
      <c r="M406" s="575"/>
      <c r="N406" s="575"/>
      <c r="O406" s="575"/>
      <c r="P406" s="575"/>
      <c r="Q406" s="575"/>
      <c r="R406" s="575"/>
      <c r="S406" s="989"/>
      <c r="T406" s="575"/>
      <c r="U406" s="575"/>
      <c r="V406" s="575"/>
      <c r="W406" s="575"/>
      <c r="X406" s="575"/>
      <c r="Y406" s="575"/>
      <c r="Z406" s="989"/>
      <c r="AA406" s="575"/>
      <c r="AB406" s="575"/>
      <c r="AC406" s="575"/>
      <c r="AD406" s="575"/>
      <c r="AE406" s="827"/>
      <c r="AF406" s="575"/>
      <c r="AG406" s="960"/>
      <c r="AH406" s="842"/>
      <c r="AI406" s="839">
        <f t="shared" si="22"/>
        <v>0</v>
      </c>
      <c r="AJ406" s="949">
        <v>0</v>
      </c>
      <c r="AK406" s="581">
        <f t="shared" si="20"/>
        <v>0</v>
      </c>
      <c r="AL406" s="750"/>
      <c r="AM406" s="743">
        <f t="shared" si="21"/>
        <v>0</v>
      </c>
    </row>
    <row r="407" spans="1:39" s="560" customFormat="1" hidden="1">
      <c r="A407" s="604" t="s">
        <v>882</v>
      </c>
      <c r="B407" s="604" t="s">
        <v>1234</v>
      </c>
      <c r="C407" s="614" t="s">
        <v>36</v>
      </c>
      <c r="D407" s="580"/>
      <c r="E407" s="981"/>
      <c r="F407" s="581"/>
      <c r="G407" s="581"/>
      <c r="H407" s="581"/>
      <c r="I407" s="949"/>
      <c r="J407" s="949"/>
      <c r="K407" s="949"/>
      <c r="L407" s="989"/>
      <c r="M407" s="575"/>
      <c r="N407" s="575"/>
      <c r="O407" s="575"/>
      <c r="P407" s="575"/>
      <c r="Q407" s="575"/>
      <c r="R407" s="575"/>
      <c r="S407" s="989"/>
      <c r="T407" s="575"/>
      <c r="U407" s="575"/>
      <c r="V407" s="575"/>
      <c r="W407" s="575"/>
      <c r="X407" s="575"/>
      <c r="Y407" s="575"/>
      <c r="Z407" s="989"/>
      <c r="AA407" s="575"/>
      <c r="AB407" s="575"/>
      <c r="AC407" s="575"/>
      <c r="AD407" s="575"/>
      <c r="AE407" s="827"/>
      <c r="AF407" s="575"/>
      <c r="AG407" s="960"/>
      <c r="AH407" s="842"/>
      <c r="AI407" s="839">
        <f t="shared" si="22"/>
        <v>0</v>
      </c>
      <c r="AJ407" s="949">
        <v>0</v>
      </c>
      <c r="AK407" s="581">
        <f t="shared" si="20"/>
        <v>0</v>
      </c>
      <c r="AL407" s="750" t="s">
        <v>1671</v>
      </c>
      <c r="AM407" s="743">
        <f t="shared" si="21"/>
        <v>38.24</v>
      </c>
    </row>
    <row r="408" spans="1:39" s="560" customFormat="1" hidden="1">
      <c r="A408" s="607" t="s">
        <v>883</v>
      </c>
      <c r="B408" s="607" t="s">
        <v>1235</v>
      </c>
      <c r="C408" s="690"/>
      <c r="D408" s="580"/>
      <c r="E408" s="981"/>
      <c r="F408" s="581"/>
      <c r="G408" s="581"/>
      <c r="H408" s="581"/>
      <c r="I408" s="949"/>
      <c r="J408" s="949"/>
      <c r="K408" s="949"/>
      <c r="L408" s="989"/>
      <c r="M408" s="575"/>
      <c r="N408" s="575"/>
      <c r="O408" s="575"/>
      <c r="P408" s="575"/>
      <c r="Q408" s="575"/>
      <c r="R408" s="575"/>
      <c r="S408" s="989"/>
      <c r="T408" s="575"/>
      <c r="U408" s="575"/>
      <c r="V408" s="575"/>
      <c r="W408" s="575"/>
      <c r="X408" s="575"/>
      <c r="Y408" s="575"/>
      <c r="Z408" s="989"/>
      <c r="AA408" s="575"/>
      <c r="AB408" s="575"/>
      <c r="AC408" s="575"/>
      <c r="AD408" s="575"/>
      <c r="AE408" s="827"/>
      <c r="AF408" s="575"/>
      <c r="AG408" s="960"/>
      <c r="AH408" s="842"/>
      <c r="AI408" s="839">
        <f t="shared" si="22"/>
        <v>0</v>
      </c>
      <c r="AJ408" s="949">
        <v>0</v>
      </c>
      <c r="AK408" s="581">
        <f t="shared" si="20"/>
        <v>0</v>
      </c>
      <c r="AL408" s="750"/>
      <c r="AM408" s="743">
        <f t="shared" si="21"/>
        <v>0</v>
      </c>
    </row>
    <row r="409" spans="1:39" s="560" customFormat="1" hidden="1">
      <c r="A409" s="604" t="s">
        <v>884</v>
      </c>
      <c r="B409" s="604" t="s">
        <v>1236</v>
      </c>
      <c r="C409" s="614" t="s">
        <v>36</v>
      </c>
      <c r="D409" s="580"/>
      <c r="E409" s="981"/>
      <c r="F409" s="581"/>
      <c r="G409" s="581"/>
      <c r="H409" s="581"/>
      <c r="I409" s="949"/>
      <c r="J409" s="949"/>
      <c r="K409" s="949"/>
      <c r="L409" s="989"/>
      <c r="M409" s="575"/>
      <c r="N409" s="575"/>
      <c r="O409" s="575"/>
      <c r="P409" s="575"/>
      <c r="Q409" s="575"/>
      <c r="R409" s="575"/>
      <c r="S409" s="989"/>
      <c r="T409" s="575"/>
      <c r="U409" s="575"/>
      <c r="V409" s="575"/>
      <c r="W409" s="575"/>
      <c r="X409" s="575"/>
      <c r="Y409" s="575"/>
      <c r="Z409" s="989"/>
      <c r="AA409" s="575"/>
      <c r="AB409" s="575"/>
      <c r="AC409" s="575"/>
      <c r="AD409" s="575"/>
      <c r="AE409" s="827"/>
      <c r="AF409" s="575"/>
      <c r="AG409" s="960"/>
      <c r="AH409" s="842"/>
      <c r="AI409" s="839">
        <f t="shared" si="22"/>
        <v>0</v>
      </c>
      <c r="AJ409" s="949">
        <v>0</v>
      </c>
      <c r="AK409" s="581">
        <f t="shared" si="20"/>
        <v>0</v>
      </c>
      <c r="AL409" s="750" t="s">
        <v>1672</v>
      </c>
      <c r="AM409" s="743">
        <f t="shared" si="21"/>
        <v>33.03</v>
      </c>
    </row>
    <row r="410" spans="1:39" s="560" customFormat="1" hidden="1">
      <c r="A410" s="604" t="s">
        <v>885</v>
      </c>
      <c r="B410" s="604" t="s">
        <v>1237</v>
      </c>
      <c r="C410" s="614" t="s">
        <v>36</v>
      </c>
      <c r="D410" s="580"/>
      <c r="E410" s="981"/>
      <c r="F410" s="581"/>
      <c r="G410" s="581"/>
      <c r="H410" s="581"/>
      <c r="I410" s="949"/>
      <c r="J410" s="949"/>
      <c r="K410" s="949"/>
      <c r="L410" s="989"/>
      <c r="M410" s="575"/>
      <c r="N410" s="575"/>
      <c r="O410" s="575"/>
      <c r="P410" s="575"/>
      <c r="Q410" s="575"/>
      <c r="R410" s="575"/>
      <c r="S410" s="989"/>
      <c r="T410" s="575"/>
      <c r="U410" s="575"/>
      <c r="V410" s="575"/>
      <c r="W410" s="575"/>
      <c r="X410" s="575"/>
      <c r="Y410" s="575"/>
      <c r="Z410" s="989"/>
      <c r="AA410" s="575"/>
      <c r="AB410" s="575"/>
      <c r="AC410" s="575"/>
      <c r="AD410" s="575"/>
      <c r="AE410" s="827"/>
      <c r="AF410" s="575"/>
      <c r="AG410" s="960"/>
      <c r="AH410" s="842"/>
      <c r="AI410" s="839">
        <f t="shared" si="22"/>
        <v>0</v>
      </c>
      <c r="AJ410" s="949">
        <v>0</v>
      </c>
      <c r="AK410" s="581">
        <f t="shared" si="20"/>
        <v>0</v>
      </c>
      <c r="AL410" s="750" t="s">
        <v>1673</v>
      </c>
      <c r="AM410" s="743">
        <f t="shared" si="21"/>
        <v>30.08</v>
      </c>
    </row>
    <row r="411" spans="1:39" s="560" customFormat="1" hidden="1">
      <c r="A411" s="604" t="s">
        <v>886</v>
      </c>
      <c r="B411" s="604" t="s">
        <v>1238</v>
      </c>
      <c r="C411" s="614" t="s">
        <v>36</v>
      </c>
      <c r="D411" s="580"/>
      <c r="E411" s="981"/>
      <c r="F411" s="581"/>
      <c r="G411" s="581"/>
      <c r="H411" s="581"/>
      <c r="I411" s="949"/>
      <c r="J411" s="949"/>
      <c r="K411" s="949"/>
      <c r="L411" s="989"/>
      <c r="M411" s="575"/>
      <c r="N411" s="575"/>
      <c r="O411" s="575"/>
      <c r="P411" s="575"/>
      <c r="Q411" s="575"/>
      <c r="R411" s="575"/>
      <c r="S411" s="989"/>
      <c r="T411" s="575"/>
      <c r="U411" s="575"/>
      <c r="V411" s="575"/>
      <c r="W411" s="575"/>
      <c r="X411" s="575"/>
      <c r="Y411" s="575"/>
      <c r="Z411" s="989"/>
      <c r="AA411" s="575"/>
      <c r="AB411" s="575"/>
      <c r="AC411" s="575"/>
      <c r="AD411" s="575"/>
      <c r="AE411" s="827"/>
      <c r="AF411" s="575"/>
      <c r="AG411" s="960"/>
      <c r="AH411" s="842"/>
      <c r="AI411" s="839">
        <f t="shared" si="22"/>
        <v>0</v>
      </c>
      <c r="AJ411" s="949">
        <v>0</v>
      </c>
      <c r="AK411" s="581">
        <f t="shared" si="20"/>
        <v>0</v>
      </c>
      <c r="AL411" s="750" t="s">
        <v>1674</v>
      </c>
      <c r="AM411" s="743">
        <f t="shared" si="21"/>
        <v>2.95</v>
      </c>
    </row>
    <row r="412" spans="1:39" s="560" customFormat="1" hidden="1">
      <c r="A412" s="607" t="s">
        <v>887</v>
      </c>
      <c r="B412" s="607" t="s">
        <v>1239</v>
      </c>
      <c r="C412" s="690"/>
      <c r="D412" s="580"/>
      <c r="E412" s="981"/>
      <c r="F412" s="581"/>
      <c r="G412" s="581"/>
      <c r="H412" s="581"/>
      <c r="I412" s="949"/>
      <c r="J412" s="949"/>
      <c r="K412" s="949"/>
      <c r="L412" s="989"/>
      <c r="M412" s="575"/>
      <c r="N412" s="575"/>
      <c r="O412" s="575"/>
      <c r="P412" s="575"/>
      <c r="Q412" s="575"/>
      <c r="R412" s="575"/>
      <c r="S412" s="989"/>
      <c r="T412" s="575"/>
      <c r="U412" s="575"/>
      <c r="V412" s="575"/>
      <c r="W412" s="575"/>
      <c r="X412" s="575"/>
      <c r="Y412" s="575"/>
      <c r="Z412" s="989"/>
      <c r="AA412" s="575"/>
      <c r="AB412" s="575"/>
      <c r="AC412" s="575"/>
      <c r="AD412" s="575"/>
      <c r="AE412" s="827"/>
      <c r="AF412" s="575"/>
      <c r="AG412" s="960"/>
      <c r="AH412" s="842"/>
      <c r="AI412" s="839">
        <f t="shared" si="22"/>
        <v>0</v>
      </c>
      <c r="AJ412" s="949">
        <v>0</v>
      </c>
      <c r="AK412" s="581">
        <f t="shared" si="20"/>
        <v>0</v>
      </c>
      <c r="AL412" s="750"/>
      <c r="AM412" s="743">
        <f t="shared" si="21"/>
        <v>0</v>
      </c>
    </row>
    <row r="413" spans="1:39" s="560" customFormat="1" hidden="1">
      <c r="A413" s="604" t="s">
        <v>888</v>
      </c>
      <c r="B413" s="604" t="s">
        <v>1280</v>
      </c>
      <c r="C413" s="614" t="s">
        <v>37</v>
      </c>
      <c r="D413" s="580"/>
      <c r="E413" s="981"/>
      <c r="F413" s="581"/>
      <c r="G413" s="581"/>
      <c r="H413" s="581"/>
      <c r="I413" s="949"/>
      <c r="J413" s="949"/>
      <c r="K413" s="949"/>
      <c r="L413" s="989"/>
      <c r="M413" s="575"/>
      <c r="N413" s="575"/>
      <c r="O413" s="575"/>
      <c r="P413" s="575"/>
      <c r="Q413" s="575"/>
      <c r="R413" s="575"/>
      <c r="S413" s="989"/>
      <c r="T413" s="575"/>
      <c r="U413" s="575"/>
      <c r="V413" s="575"/>
      <c r="W413" s="575"/>
      <c r="X413" s="575"/>
      <c r="Y413" s="575"/>
      <c r="Z413" s="989"/>
      <c r="AA413" s="575"/>
      <c r="AB413" s="575"/>
      <c r="AC413" s="575"/>
      <c r="AD413" s="575"/>
      <c r="AE413" s="827"/>
      <c r="AF413" s="575"/>
      <c r="AG413" s="960"/>
      <c r="AH413" s="842"/>
      <c r="AI413" s="839">
        <f t="shared" si="22"/>
        <v>0</v>
      </c>
      <c r="AJ413" s="949">
        <v>0</v>
      </c>
      <c r="AK413" s="581">
        <f t="shared" si="20"/>
        <v>0</v>
      </c>
      <c r="AL413" s="750" t="s">
        <v>1675</v>
      </c>
      <c r="AM413" s="743">
        <f t="shared" si="21"/>
        <v>6.15</v>
      </c>
    </row>
    <row r="414" spans="1:39" s="560" customFormat="1" hidden="1">
      <c r="A414" s="604" t="s">
        <v>889</v>
      </c>
      <c r="B414" s="604" t="s">
        <v>1241</v>
      </c>
      <c r="C414" s="614" t="s">
        <v>36</v>
      </c>
      <c r="D414" s="580"/>
      <c r="E414" s="981"/>
      <c r="F414" s="581"/>
      <c r="G414" s="581"/>
      <c r="H414" s="581"/>
      <c r="I414" s="949"/>
      <c r="J414" s="949"/>
      <c r="K414" s="949"/>
      <c r="L414" s="989"/>
      <c r="M414" s="575"/>
      <c r="N414" s="575"/>
      <c r="O414" s="575"/>
      <c r="P414" s="575"/>
      <c r="Q414" s="575"/>
      <c r="R414" s="575"/>
      <c r="S414" s="989"/>
      <c r="T414" s="575"/>
      <c r="U414" s="575"/>
      <c r="V414" s="575"/>
      <c r="W414" s="575"/>
      <c r="X414" s="575"/>
      <c r="Y414" s="575"/>
      <c r="Z414" s="989"/>
      <c r="AA414" s="575"/>
      <c r="AB414" s="575"/>
      <c r="AC414" s="575"/>
      <c r="AD414" s="575"/>
      <c r="AE414" s="827"/>
      <c r="AF414" s="575"/>
      <c r="AG414" s="960"/>
      <c r="AH414" s="842"/>
      <c r="AI414" s="839">
        <f t="shared" si="22"/>
        <v>0</v>
      </c>
      <c r="AJ414" s="949">
        <v>0</v>
      </c>
      <c r="AK414" s="581">
        <f t="shared" si="20"/>
        <v>0</v>
      </c>
      <c r="AL414" s="750" t="s">
        <v>1676</v>
      </c>
      <c r="AM414" s="743">
        <f t="shared" si="21"/>
        <v>2.77</v>
      </c>
    </row>
    <row r="415" spans="1:39" s="560" customFormat="1" hidden="1">
      <c r="A415" s="607" t="s">
        <v>890</v>
      </c>
      <c r="B415" s="607" t="s">
        <v>1242</v>
      </c>
      <c r="C415" s="690"/>
      <c r="D415" s="580"/>
      <c r="E415" s="981"/>
      <c r="F415" s="581"/>
      <c r="G415" s="581"/>
      <c r="H415" s="581"/>
      <c r="I415" s="949"/>
      <c r="J415" s="949"/>
      <c r="K415" s="949"/>
      <c r="L415" s="989"/>
      <c r="M415" s="575"/>
      <c r="N415" s="575"/>
      <c r="O415" s="575"/>
      <c r="P415" s="575"/>
      <c r="Q415" s="575"/>
      <c r="R415" s="575"/>
      <c r="S415" s="989"/>
      <c r="T415" s="575"/>
      <c r="U415" s="575"/>
      <c r="V415" s="575"/>
      <c r="W415" s="575"/>
      <c r="X415" s="575"/>
      <c r="Y415" s="575"/>
      <c r="Z415" s="989"/>
      <c r="AA415" s="575"/>
      <c r="AB415" s="575"/>
      <c r="AC415" s="575"/>
      <c r="AD415" s="575"/>
      <c r="AE415" s="827"/>
      <c r="AF415" s="575"/>
      <c r="AG415" s="960"/>
      <c r="AH415" s="842"/>
      <c r="AI415" s="839">
        <f t="shared" si="22"/>
        <v>0</v>
      </c>
      <c r="AJ415" s="949">
        <v>0</v>
      </c>
      <c r="AK415" s="581">
        <f t="shared" si="20"/>
        <v>0</v>
      </c>
      <c r="AL415" s="750"/>
      <c r="AM415" s="743">
        <f t="shared" si="21"/>
        <v>0</v>
      </c>
    </row>
    <row r="416" spans="1:39" s="560" customFormat="1" hidden="1">
      <c r="A416" s="604" t="s">
        <v>891</v>
      </c>
      <c r="B416" s="604" t="s">
        <v>1243</v>
      </c>
      <c r="C416" s="614" t="s">
        <v>36</v>
      </c>
      <c r="D416" s="580"/>
      <c r="E416" s="981"/>
      <c r="F416" s="581"/>
      <c r="G416" s="581"/>
      <c r="H416" s="581"/>
      <c r="I416" s="949"/>
      <c r="J416" s="949"/>
      <c r="K416" s="949"/>
      <c r="L416" s="989"/>
      <c r="M416" s="575"/>
      <c r="N416" s="575"/>
      <c r="O416" s="575"/>
      <c r="P416" s="575"/>
      <c r="Q416" s="575"/>
      <c r="R416" s="575"/>
      <c r="S416" s="989"/>
      <c r="T416" s="575"/>
      <c r="U416" s="575"/>
      <c r="V416" s="575"/>
      <c r="W416" s="575"/>
      <c r="X416" s="575"/>
      <c r="Y416" s="575"/>
      <c r="Z416" s="989"/>
      <c r="AA416" s="575"/>
      <c r="AB416" s="575"/>
      <c r="AC416" s="575"/>
      <c r="AD416" s="575"/>
      <c r="AE416" s="827"/>
      <c r="AF416" s="575"/>
      <c r="AG416" s="960"/>
      <c r="AH416" s="842"/>
      <c r="AI416" s="839">
        <f t="shared" si="22"/>
        <v>0</v>
      </c>
      <c r="AJ416" s="949">
        <v>0</v>
      </c>
      <c r="AK416" s="581">
        <f t="shared" si="20"/>
        <v>0</v>
      </c>
      <c r="AL416" s="750" t="s">
        <v>1677</v>
      </c>
      <c r="AM416" s="743">
        <f t="shared" si="21"/>
        <v>8.3000000000000007</v>
      </c>
    </row>
    <row r="417" spans="1:39" s="560" customFormat="1" hidden="1">
      <c r="A417" s="604" t="s">
        <v>892</v>
      </c>
      <c r="B417" s="604" t="s">
        <v>1244</v>
      </c>
      <c r="C417" s="690"/>
      <c r="D417" s="580"/>
      <c r="E417" s="981"/>
      <c r="F417" s="581"/>
      <c r="G417" s="581"/>
      <c r="H417" s="581"/>
      <c r="I417" s="949"/>
      <c r="J417" s="949"/>
      <c r="K417" s="949"/>
      <c r="L417" s="989"/>
      <c r="M417" s="575"/>
      <c r="N417" s="575"/>
      <c r="O417" s="575"/>
      <c r="P417" s="575"/>
      <c r="Q417" s="575"/>
      <c r="R417" s="575"/>
      <c r="S417" s="989"/>
      <c r="T417" s="575"/>
      <c r="U417" s="575"/>
      <c r="V417" s="575"/>
      <c r="W417" s="575"/>
      <c r="X417" s="575"/>
      <c r="Y417" s="575"/>
      <c r="Z417" s="989"/>
      <c r="AA417" s="575"/>
      <c r="AB417" s="575"/>
      <c r="AC417" s="575"/>
      <c r="AD417" s="575"/>
      <c r="AE417" s="827"/>
      <c r="AF417" s="575"/>
      <c r="AG417" s="960"/>
      <c r="AH417" s="842"/>
      <c r="AI417" s="839">
        <f t="shared" si="22"/>
        <v>0</v>
      </c>
      <c r="AJ417" s="949">
        <v>0</v>
      </c>
      <c r="AK417" s="581">
        <f t="shared" si="20"/>
        <v>0</v>
      </c>
      <c r="AL417" s="750"/>
      <c r="AM417" s="743">
        <f t="shared" si="21"/>
        <v>0</v>
      </c>
    </row>
    <row r="418" spans="1:39" s="560" customFormat="1" hidden="1">
      <c r="A418" s="604" t="s">
        <v>893</v>
      </c>
      <c r="B418" s="604" t="s">
        <v>1245</v>
      </c>
      <c r="C418" s="614" t="s">
        <v>36</v>
      </c>
      <c r="D418" s="580"/>
      <c r="E418" s="981"/>
      <c r="F418" s="581"/>
      <c r="G418" s="581"/>
      <c r="H418" s="581"/>
      <c r="I418" s="949"/>
      <c r="J418" s="949"/>
      <c r="K418" s="949"/>
      <c r="L418" s="989"/>
      <c r="M418" s="575"/>
      <c r="N418" s="575"/>
      <c r="O418" s="575"/>
      <c r="P418" s="575"/>
      <c r="Q418" s="575"/>
      <c r="R418" s="575"/>
      <c r="S418" s="989"/>
      <c r="T418" s="575"/>
      <c r="U418" s="575"/>
      <c r="V418" s="575"/>
      <c r="W418" s="575"/>
      <c r="X418" s="575"/>
      <c r="Y418" s="575"/>
      <c r="Z418" s="989"/>
      <c r="AA418" s="575"/>
      <c r="AB418" s="575"/>
      <c r="AC418" s="575"/>
      <c r="AD418" s="575"/>
      <c r="AE418" s="827"/>
      <c r="AF418" s="575"/>
      <c r="AG418" s="960"/>
      <c r="AH418" s="842"/>
      <c r="AI418" s="839">
        <f t="shared" si="22"/>
        <v>0</v>
      </c>
      <c r="AJ418" s="949">
        <v>0</v>
      </c>
      <c r="AK418" s="581">
        <f t="shared" si="20"/>
        <v>0</v>
      </c>
      <c r="AL418" s="750" t="s">
        <v>1678</v>
      </c>
      <c r="AM418" s="743">
        <f t="shared" si="21"/>
        <v>6.66</v>
      </c>
    </row>
    <row r="419" spans="1:39" s="560" customFormat="1" hidden="1">
      <c r="A419" s="604" t="s">
        <v>894</v>
      </c>
      <c r="B419" s="604" t="s">
        <v>1272</v>
      </c>
      <c r="C419" s="614" t="s">
        <v>36</v>
      </c>
      <c r="D419" s="580"/>
      <c r="E419" s="981"/>
      <c r="F419" s="581"/>
      <c r="G419" s="581"/>
      <c r="H419" s="581"/>
      <c r="I419" s="949"/>
      <c r="J419" s="949"/>
      <c r="K419" s="949"/>
      <c r="L419" s="989"/>
      <c r="M419" s="575"/>
      <c r="N419" s="575"/>
      <c r="O419" s="575"/>
      <c r="P419" s="575"/>
      <c r="Q419" s="575"/>
      <c r="R419" s="575"/>
      <c r="S419" s="989"/>
      <c r="T419" s="575"/>
      <c r="U419" s="575"/>
      <c r="V419" s="575"/>
      <c r="W419" s="575"/>
      <c r="X419" s="575"/>
      <c r="Y419" s="575"/>
      <c r="Z419" s="989"/>
      <c r="AA419" s="575"/>
      <c r="AB419" s="575"/>
      <c r="AC419" s="575"/>
      <c r="AD419" s="575"/>
      <c r="AE419" s="827"/>
      <c r="AF419" s="575"/>
      <c r="AG419" s="960"/>
      <c r="AH419" s="842"/>
      <c r="AI419" s="839">
        <f t="shared" si="22"/>
        <v>0</v>
      </c>
      <c r="AJ419" s="949">
        <v>0</v>
      </c>
      <c r="AK419" s="581">
        <f t="shared" si="20"/>
        <v>0</v>
      </c>
      <c r="AL419" s="750" t="s">
        <v>1679</v>
      </c>
      <c r="AM419" s="743">
        <f t="shared" si="21"/>
        <v>7.76</v>
      </c>
    </row>
    <row r="420" spans="1:39" s="560" customFormat="1" hidden="1">
      <c r="A420" s="604" t="s">
        <v>895</v>
      </c>
      <c r="B420" s="604" t="s">
        <v>1247</v>
      </c>
      <c r="C420" s="614" t="s">
        <v>37</v>
      </c>
      <c r="D420" s="580"/>
      <c r="E420" s="981"/>
      <c r="F420" s="581"/>
      <c r="G420" s="581"/>
      <c r="H420" s="581"/>
      <c r="I420" s="949"/>
      <c r="J420" s="949"/>
      <c r="K420" s="949"/>
      <c r="L420" s="989"/>
      <c r="M420" s="575"/>
      <c r="N420" s="575"/>
      <c r="O420" s="575"/>
      <c r="P420" s="575"/>
      <c r="Q420" s="575"/>
      <c r="R420" s="575"/>
      <c r="S420" s="989"/>
      <c r="T420" s="575"/>
      <c r="U420" s="575"/>
      <c r="V420" s="575"/>
      <c r="W420" s="575"/>
      <c r="X420" s="575"/>
      <c r="Y420" s="575"/>
      <c r="Z420" s="989"/>
      <c r="AA420" s="575"/>
      <c r="AB420" s="575"/>
      <c r="AC420" s="575"/>
      <c r="AD420" s="575"/>
      <c r="AE420" s="827"/>
      <c r="AF420" s="575"/>
      <c r="AG420" s="960"/>
      <c r="AH420" s="842"/>
      <c r="AI420" s="839">
        <f t="shared" si="22"/>
        <v>0</v>
      </c>
      <c r="AJ420" s="949">
        <v>0</v>
      </c>
      <c r="AK420" s="581">
        <f t="shared" si="20"/>
        <v>0</v>
      </c>
      <c r="AL420" s="750" t="s">
        <v>1680</v>
      </c>
      <c r="AM420" s="743">
        <f t="shared" si="21"/>
        <v>25.31</v>
      </c>
    </row>
    <row r="421" spans="1:39" s="560" customFormat="1" hidden="1">
      <c r="A421" s="607" t="s">
        <v>896</v>
      </c>
      <c r="B421" s="607" t="s">
        <v>1184</v>
      </c>
      <c r="C421" s="690"/>
      <c r="D421" s="580"/>
      <c r="E421" s="981"/>
      <c r="F421" s="581"/>
      <c r="G421" s="581"/>
      <c r="H421" s="581"/>
      <c r="I421" s="949"/>
      <c r="J421" s="949"/>
      <c r="K421" s="949"/>
      <c r="L421" s="989"/>
      <c r="M421" s="575"/>
      <c r="N421" s="575"/>
      <c r="O421" s="575"/>
      <c r="P421" s="575"/>
      <c r="Q421" s="575"/>
      <c r="R421" s="575"/>
      <c r="S421" s="989"/>
      <c r="T421" s="575"/>
      <c r="U421" s="575"/>
      <c r="V421" s="575"/>
      <c r="W421" s="575"/>
      <c r="X421" s="575"/>
      <c r="Y421" s="575"/>
      <c r="Z421" s="989"/>
      <c r="AA421" s="575"/>
      <c r="AB421" s="575"/>
      <c r="AC421" s="575"/>
      <c r="AD421" s="575"/>
      <c r="AE421" s="827"/>
      <c r="AF421" s="575"/>
      <c r="AG421" s="960"/>
      <c r="AH421" s="842"/>
      <c r="AI421" s="839">
        <f t="shared" si="22"/>
        <v>0</v>
      </c>
      <c r="AJ421" s="949">
        <v>0</v>
      </c>
      <c r="AK421" s="581">
        <f t="shared" si="20"/>
        <v>0</v>
      </c>
      <c r="AL421" s="750"/>
      <c r="AM421" s="743">
        <f t="shared" si="21"/>
        <v>0</v>
      </c>
    </row>
    <row r="422" spans="1:39" s="560" customFormat="1" hidden="1">
      <c r="A422" s="604" t="s">
        <v>897</v>
      </c>
      <c r="B422" s="604" t="s">
        <v>1248</v>
      </c>
      <c r="C422" s="614" t="s">
        <v>36</v>
      </c>
      <c r="D422" s="580"/>
      <c r="E422" s="981"/>
      <c r="F422" s="581"/>
      <c r="G422" s="581"/>
      <c r="H422" s="581"/>
      <c r="I422" s="949"/>
      <c r="J422" s="949"/>
      <c r="K422" s="949"/>
      <c r="L422" s="989"/>
      <c r="M422" s="575"/>
      <c r="N422" s="575"/>
      <c r="O422" s="575"/>
      <c r="P422" s="575"/>
      <c r="Q422" s="575"/>
      <c r="R422" s="575"/>
      <c r="S422" s="989"/>
      <c r="T422" s="575"/>
      <c r="U422" s="575"/>
      <c r="V422" s="575"/>
      <c r="W422" s="575"/>
      <c r="X422" s="575"/>
      <c r="Y422" s="575"/>
      <c r="Z422" s="989"/>
      <c r="AA422" s="575"/>
      <c r="AB422" s="575"/>
      <c r="AC422" s="575"/>
      <c r="AD422" s="575"/>
      <c r="AE422" s="827"/>
      <c r="AF422" s="575"/>
      <c r="AG422" s="960"/>
      <c r="AH422" s="842"/>
      <c r="AI422" s="839">
        <f t="shared" si="22"/>
        <v>0</v>
      </c>
      <c r="AJ422" s="949">
        <v>0</v>
      </c>
      <c r="AK422" s="581">
        <f t="shared" si="20"/>
        <v>0</v>
      </c>
      <c r="AL422" s="750" t="s">
        <v>1681</v>
      </c>
      <c r="AM422" s="743">
        <f t="shared" si="21"/>
        <v>34.93</v>
      </c>
    </row>
    <row r="423" spans="1:39" s="560" customFormat="1" hidden="1">
      <c r="A423" s="604" t="s">
        <v>898</v>
      </c>
      <c r="B423" s="604" t="s">
        <v>1249</v>
      </c>
      <c r="C423" s="614" t="s">
        <v>37</v>
      </c>
      <c r="D423" s="580"/>
      <c r="E423" s="981"/>
      <c r="F423" s="581"/>
      <c r="G423" s="581"/>
      <c r="H423" s="581"/>
      <c r="I423" s="949"/>
      <c r="J423" s="949"/>
      <c r="K423" s="949"/>
      <c r="L423" s="989"/>
      <c r="M423" s="575"/>
      <c r="N423" s="575"/>
      <c r="O423" s="575"/>
      <c r="P423" s="575"/>
      <c r="Q423" s="575"/>
      <c r="R423" s="575"/>
      <c r="S423" s="989"/>
      <c r="T423" s="575"/>
      <c r="U423" s="575"/>
      <c r="V423" s="575"/>
      <c r="W423" s="575"/>
      <c r="X423" s="575"/>
      <c r="Y423" s="575"/>
      <c r="Z423" s="989"/>
      <c r="AA423" s="575"/>
      <c r="AB423" s="575"/>
      <c r="AC423" s="575"/>
      <c r="AD423" s="575"/>
      <c r="AE423" s="827"/>
      <c r="AF423" s="575"/>
      <c r="AG423" s="960"/>
      <c r="AH423" s="842"/>
      <c r="AI423" s="839">
        <f t="shared" si="22"/>
        <v>0</v>
      </c>
      <c r="AJ423" s="949">
        <v>0</v>
      </c>
      <c r="AK423" s="581">
        <f t="shared" si="20"/>
        <v>0</v>
      </c>
      <c r="AL423" s="750" t="s">
        <v>1675</v>
      </c>
      <c r="AM423" s="743">
        <f t="shared" si="21"/>
        <v>6.15</v>
      </c>
    </row>
    <row r="424" spans="1:39" s="560" customFormat="1" hidden="1">
      <c r="A424" s="607" t="s">
        <v>899</v>
      </c>
      <c r="B424" s="607" t="s">
        <v>1250</v>
      </c>
      <c r="C424" s="690"/>
      <c r="D424" s="580"/>
      <c r="E424" s="981"/>
      <c r="F424" s="581"/>
      <c r="G424" s="581"/>
      <c r="H424" s="581"/>
      <c r="I424" s="949"/>
      <c r="J424" s="949"/>
      <c r="K424" s="949"/>
      <c r="L424" s="989"/>
      <c r="M424" s="575"/>
      <c r="N424" s="575"/>
      <c r="O424" s="575"/>
      <c r="P424" s="575"/>
      <c r="Q424" s="575"/>
      <c r="R424" s="575"/>
      <c r="S424" s="989"/>
      <c r="T424" s="575"/>
      <c r="U424" s="575"/>
      <c r="V424" s="575"/>
      <c r="W424" s="575"/>
      <c r="X424" s="575"/>
      <c r="Y424" s="575"/>
      <c r="Z424" s="989"/>
      <c r="AA424" s="575"/>
      <c r="AB424" s="575"/>
      <c r="AC424" s="575"/>
      <c r="AD424" s="575"/>
      <c r="AE424" s="827"/>
      <c r="AF424" s="575"/>
      <c r="AG424" s="960"/>
      <c r="AH424" s="842"/>
      <c r="AI424" s="839">
        <f t="shared" si="22"/>
        <v>0</v>
      </c>
      <c r="AJ424" s="949">
        <v>0</v>
      </c>
      <c r="AK424" s="581">
        <f t="shared" si="20"/>
        <v>0</v>
      </c>
      <c r="AL424" s="750"/>
      <c r="AM424" s="743">
        <f t="shared" si="21"/>
        <v>0</v>
      </c>
    </row>
    <row r="425" spans="1:39" s="560" customFormat="1" hidden="1">
      <c r="A425" s="604" t="s">
        <v>900</v>
      </c>
      <c r="B425" s="604" t="s">
        <v>1251</v>
      </c>
      <c r="C425" s="614" t="s">
        <v>36</v>
      </c>
      <c r="D425" s="580"/>
      <c r="E425" s="981"/>
      <c r="F425" s="581"/>
      <c r="G425" s="581"/>
      <c r="H425" s="581"/>
      <c r="I425" s="949"/>
      <c r="J425" s="949"/>
      <c r="K425" s="949"/>
      <c r="L425" s="989"/>
      <c r="M425" s="575"/>
      <c r="N425" s="575"/>
      <c r="O425" s="575"/>
      <c r="P425" s="575"/>
      <c r="Q425" s="575"/>
      <c r="R425" s="575"/>
      <c r="S425" s="989"/>
      <c r="T425" s="575"/>
      <c r="U425" s="575"/>
      <c r="V425" s="575"/>
      <c r="W425" s="575"/>
      <c r="X425" s="575"/>
      <c r="Y425" s="575"/>
      <c r="Z425" s="989"/>
      <c r="AA425" s="575"/>
      <c r="AB425" s="575"/>
      <c r="AC425" s="575"/>
      <c r="AD425" s="575"/>
      <c r="AE425" s="827"/>
      <c r="AF425" s="575"/>
      <c r="AG425" s="960"/>
      <c r="AH425" s="842"/>
      <c r="AI425" s="839">
        <f t="shared" si="22"/>
        <v>0</v>
      </c>
      <c r="AJ425" s="949">
        <v>0</v>
      </c>
      <c r="AK425" s="581">
        <f t="shared" si="20"/>
        <v>0</v>
      </c>
      <c r="AL425" s="750" t="s">
        <v>1682</v>
      </c>
      <c r="AM425" s="743">
        <f t="shared" si="21"/>
        <v>3.78</v>
      </c>
    </row>
    <row r="426" spans="1:39" s="560" customFormat="1" hidden="1">
      <c r="A426" s="604" t="s">
        <v>901</v>
      </c>
      <c r="B426" s="604" t="s">
        <v>1281</v>
      </c>
      <c r="C426" s="614" t="s">
        <v>36</v>
      </c>
      <c r="D426" s="580"/>
      <c r="E426" s="981"/>
      <c r="F426" s="581"/>
      <c r="G426" s="581"/>
      <c r="H426" s="581"/>
      <c r="I426" s="949"/>
      <c r="J426" s="949"/>
      <c r="K426" s="949"/>
      <c r="L426" s="989"/>
      <c r="M426" s="575"/>
      <c r="N426" s="575"/>
      <c r="O426" s="575"/>
      <c r="P426" s="575"/>
      <c r="Q426" s="575"/>
      <c r="R426" s="575"/>
      <c r="S426" s="989"/>
      <c r="T426" s="575"/>
      <c r="U426" s="575"/>
      <c r="V426" s="575"/>
      <c r="W426" s="575"/>
      <c r="X426" s="575"/>
      <c r="Y426" s="575"/>
      <c r="Z426" s="989"/>
      <c r="AA426" s="575"/>
      <c r="AB426" s="575"/>
      <c r="AC426" s="575"/>
      <c r="AD426" s="575"/>
      <c r="AE426" s="827"/>
      <c r="AF426" s="575"/>
      <c r="AG426" s="960"/>
      <c r="AH426" s="842"/>
      <c r="AI426" s="839">
        <f t="shared" si="22"/>
        <v>0</v>
      </c>
      <c r="AJ426" s="949">
        <v>0</v>
      </c>
      <c r="AK426" s="581">
        <f t="shared" si="20"/>
        <v>0</v>
      </c>
      <c r="AL426" s="750" t="s">
        <v>1683</v>
      </c>
      <c r="AM426" s="743">
        <f t="shared" si="21"/>
        <v>1.47</v>
      </c>
    </row>
    <row r="427" spans="1:39" s="560" customFormat="1" hidden="1">
      <c r="A427" s="607" t="s">
        <v>902</v>
      </c>
      <c r="B427" s="607" t="s">
        <v>1252</v>
      </c>
      <c r="C427" s="690"/>
      <c r="D427" s="580"/>
      <c r="E427" s="981"/>
      <c r="F427" s="581"/>
      <c r="G427" s="581"/>
      <c r="H427" s="581"/>
      <c r="I427" s="949"/>
      <c r="J427" s="949"/>
      <c r="K427" s="949"/>
      <c r="L427" s="989"/>
      <c r="M427" s="575"/>
      <c r="N427" s="575"/>
      <c r="O427" s="575"/>
      <c r="P427" s="575"/>
      <c r="Q427" s="575"/>
      <c r="R427" s="575"/>
      <c r="S427" s="989"/>
      <c r="T427" s="575"/>
      <c r="U427" s="575"/>
      <c r="V427" s="575"/>
      <c r="W427" s="575"/>
      <c r="X427" s="575"/>
      <c r="Y427" s="575"/>
      <c r="Z427" s="989"/>
      <c r="AA427" s="575"/>
      <c r="AB427" s="575"/>
      <c r="AC427" s="575"/>
      <c r="AD427" s="575"/>
      <c r="AE427" s="827"/>
      <c r="AF427" s="575"/>
      <c r="AG427" s="960"/>
      <c r="AH427" s="842"/>
      <c r="AI427" s="839">
        <f t="shared" si="22"/>
        <v>0</v>
      </c>
      <c r="AJ427" s="949">
        <v>0</v>
      </c>
      <c r="AK427" s="581">
        <f t="shared" si="20"/>
        <v>0</v>
      </c>
      <c r="AL427" s="750"/>
      <c r="AM427" s="743">
        <f t="shared" si="21"/>
        <v>0</v>
      </c>
    </row>
    <row r="428" spans="1:39" s="560" customFormat="1" hidden="1">
      <c r="A428" s="604" t="s">
        <v>903</v>
      </c>
      <c r="B428" s="604" t="s">
        <v>1253</v>
      </c>
      <c r="C428" s="614" t="s">
        <v>1437</v>
      </c>
      <c r="D428" s="580"/>
      <c r="E428" s="981"/>
      <c r="F428" s="581"/>
      <c r="G428" s="581"/>
      <c r="H428" s="581"/>
      <c r="I428" s="949"/>
      <c r="J428" s="949"/>
      <c r="K428" s="949"/>
      <c r="L428" s="989"/>
      <c r="M428" s="575"/>
      <c r="N428" s="575"/>
      <c r="O428" s="575"/>
      <c r="P428" s="575"/>
      <c r="Q428" s="575"/>
      <c r="R428" s="575"/>
      <c r="S428" s="989"/>
      <c r="T428" s="575"/>
      <c r="U428" s="575"/>
      <c r="V428" s="575"/>
      <c r="W428" s="575"/>
      <c r="X428" s="575"/>
      <c r="Y428" s="575"/>
      <c r="Z428" s="989"/>
      <c r="AA428" s="575"/>
      <c r="AB428" s="575"/>
      <c r="AC428" s="575"/>
      <c r="AD428" s="575"/>
      <c r="AE428" s="827"/>
      <c r="AF428" s="575"/>
      <c r="AG428" s="960"/>
      <c r="AH428" s="842"/>
      <c r="AI428" s="839">
        <f t="shared" si="22"/>
        <v>0</v>
      </c>
      <c r="AJ428" s="949">
        <v>0</v>
      </c>
      <c r="AK428" s="581">
        <f t="shared" si="20"/>
        <v>0</v>
      </c>
      <c r="AL428" s="750" t="s">
        <v>1627</v>
      </c>
      <c r="AM428" s="743">
        <f t="shared" si="21"/>
        <v>9</v>
      </c>
    </row>
    <row r="429" spans="1:39" s="560" customFormat="1" hidden="1">
      <c r="A429" s="604" t="s">
        <v>904</v>
      </c>
      <c r="B429" s="604" t="s">
        <v>1254</v>
      </c>
      <c r="C429" s="614" t="s">
        <v>35</v>
      </c>
      <c r="D429" s="580"/>
      <c r="E429" s="981"/>
      <c r="F429" s="581"/>
      <c r="G429" s="581"/>
      <c r="H429" s="581"/>
      <c r="I429" s="949"/>
      <c r="J429" s="949"/>
      <c r="K429" s="949"/>
      <c r="L429" s="989"/>
      <c r="M429" s="575"/>
      <c r="N429" s="575"/>
      <c r="O429" s="575"/>
      <c r="P429" s="575"/>
      <c r="Q429" s="575"/>
      <c r="R429" s="575"/>
      <c r="S429" s="989"/>
      <c r="T429" s="575"/>
      <c r="U429" s="575"/>
      <c r="V429" s="575"/>
      <c r="W429" s="575"/>
      <c r="X429" s="575"/>
      <c r="Y429" s="575"/>
      <c r="Z429" s="989"/>
      <c r="AA429" s="575"/>
      <c r="AB429" s="575"/>
      <c r="AC429" s="575"/>
      <c r="AD429" s="575"/>
      <c r="AE429" s="827"/>
      <c r="AF429" s="575"/>
      <c r="AG429" s="960"/>
      <c r="AH429" s="842"/>
      <c r="AI429" s="839">
        <f t="shared" si="22"/>
        <v>0</v>
      </c>
      <c r="AJ429" s="949">
        <v>0</v>
      </c>
      <c r="AK429" s="581">
        <f t="shared" si="20"/>
        <v>0</v>
      </c>
      <c r="AL429" s="750" t="s">
        <v>1684</v>
      </c>
      <c r="AM429" s="743">
        <f t="shared" si="21"/>
        <v>2</v>
      </c>
    </row>
    <row r="430" spans="1:39" s="560" customFormat="1" hidden="1">
      <c r="A430" s="604" t="s">
        <v>905</v>
      </c>
      <c r="B430" s="604" t="s">
        <v>1282</v>
      </c>
      <c r="C430" s="614" t="s">
        <v>35</v>
      </c>
      <c r="D430" s="580"/>
      <c r="E430" s="981"/>
      <c r="F430" s="581"/>
      <c r="G430" s="581"/>
      <c r="H430" s="581"/>
      <c r="I430" s="949"/>
      <c r="J430" s="949"/>
      <c r="K430" s="949"/>
      <c r="L430" s="989"/>
      <c r="M430" s="575"/>
      <c r="N430" s="575"/>
      <c r="O430" s="575"/>
      <c r="P430" s="575"/>
      <c r="Q430" s="575"/>
      <c r="R430" s="575"/>
      <c r="S430" s="989"/>
      <c r="T430" s="575"/>
      <c r="U430" s="575"/>
      <c r="V430" s="575"/>
      <c r="W430" s="575"/>
      <c r="X430" s="575"/>
      <c r="Y430" s="575"/>
      <c r="Z430" s="989"/>
      <c r="AA430" s="575"/>
      <c r="AB430" s="575"/>
      <c r="AC430" s="575"/>
      <c r="AD430" s="575"/>
      <c r="AE430" s="827"/>
      <c r="AF430" s="575"/>
      <c r="AG430" s="960"/>
      <c r="AH430" s="842"/>
      <c r="AI430" s="839">
        <f t="shared" si="22"/>
        <v>0</v>
      </c>
      <c r="AJ430" s="949">
        <v>0</v>
      </c>
      <c r="AK430" s="581">
        <f t="shared" si="20"/>
        <v>0</v>
      </c>
      <c r="AL430" s="750" t="s">
        <v>1441</v>
      </c>
      <c r="AM430" s="743">
        <f t="shared" si="21"/>
        <v>1</v>
      </c>
    </row>
    <row r="431" spans="1:39" s="560" customFormat="1" hidden="1">
      <c r="A431" s="607" t="s">
        <v>906</v>
      </c>
      <c r="B431" s="607" t="s">
        <v>1255</v>
      </c>
      <c r="C431" s="690"/>
      <c r="D431" s="580"/>
      <c r="E431" s="981"/>
      <c r="F431" s="581"/>
      <c r="G431" s="581"/>
      <c r="H431" s="581"/>
      <c r="I431" s="949"/>
      <c r="J431" s="949"/>
      <c r="K431" s="949"/>
      <c r="L431" s="989"/>
      <c r="M431" s="575"/>
      <c r="N431" s="575"/>
      <c r="O431" s="575"/>
      <c r="P431" s="575"/>
      <c r="Q431" s="575"/>
      <c r="R431" s="575"/>
      <c r="S431" s="989"/>
      <c r="T431" s="575"/>
      <c r="U431" s="575"/>
      <c r="V431" s="575"/>
      <c r="W431" s="575"/>
      <c r="X431" s="575"/>
      <c r="Y431" s="575"/>
      <c r="Z431" s="989"/>
      <c r="AA431" s="575"/>
      <c r="AB431" s="575"/>
      <c r="AC431" s="575"/>
      <c r="AD431" s="575"/>
      <c r="AE431" s="827"/>
      <c r="AF431" s="575"/>
      <c r="AG431" s="960"/>
      <c r="AH431" s="842"/>
      <c r="AI431" s="839">
        <f t="shared" si="22"/>
        <v>0</v>
      </c>
      <c r="AJ431" s="949">
        <v>0</v>
      </c>
      <c r="AK431" s="581">
        <f t="shared" si="20"/>
        <v>0</v>
      </c>
      <c r="AL431" s="750"/>
      <c r="AM431" s="743">
        <f t="shared" si="21"/>
        <v>0</v>
      </c>
    </row>
    <row r="432" spans="1:39" s="560" customFormat="1" hidden="1">
      <c r="A432" s="604" t="s">
        <v>907</v>
      </c>
      <c r="B432" s="604" t="s">
        <v>1256</v>
      </c>
      <c r="C432" s="614" t="s">
        <v>36</v>
      </c>
      <c r="D432" s="580"/>
      <c r="E432" s="981"/>
      <c r="F432" s="581"/>
      <c r="G432" s="581"/>
      <c r="H432" s="581"/>
      <c r="I432" s="949"/>
      <c r="J432" s="949"/>
      <c r="K432" s="949"/>
      <c r="L432" s="989"/>
      <c r="M432" s="575"/>
      <c r="N432" s="575"/>
      <c r="O432" s="575"/>
      <c r="P432" s="575"/>
      <c r="Q432" s="575"/>
      <c r="R432" s="575"/>
      <c r="S432" s="989"/>
      <c r="T432" s="575"/>
      <c r="U432" s="575"/>
      <c r="V432" s="575"/>
      <c r="W432" s="575"/>
      <c r="X432" s="575"/>
      <c r="Y432" s="575"/>
      <c r="Z432" s="989"/>
      <c r="AA432" s="575"/>
      <c r="AB432" s="575"/>
      <c r="AC432" s="575"/>
      <c r="AD432" s="575"/>
      <c r="AE432" s="827"/>
      <c r="AF432" s="575"/>
      <c r="AG432" s="960"/>
      <c r="AH432" s="842"/>
      <c r="AI432" s="839">
        <f t="shared" si="22"/>
        <v>0</v>
      </c>
      <c r="AJ432" s="949">
        <v>0</v>
      </c>
      <c r="AK432" s="581">
        <f t="shared" si="20"/>
        <v>0</v>
      </c>
      <c r="AL432" s="750" t="s">
        <v>1685</v>
      </c>
      <c r="AM432" s="743">
        <f t="shared" si="21"/>
        <v>7.54</v>
      </c>
    </row>
    <row r="433" spans="1:39" s="560" customFormat="1" hidden="1">
      <c r="A433" s="604" t="s">
        <v>908</v>
      </c>
      <c r="B433" s="604" t="s">
        <v>1257</v>
      </c>
      <c r="C433" s="614" t="s">
        <v>36</v>
      </c>
      <c r="D433" s="580"/>
      <c r="E433" s="981"/>
      <c r="F433" s="581"/>
      <c r="G433" s="581"/>
      <c r="H433" s="581"/>
      <c r="I433" s="949"/>
      <c r="J433" s="949"/>
      <c r="K433" s="949"/>
      <c r="L433" s="989"/>
      <c r="M433" s="575"/>
      <c r="N433" s="575"/>
      <c r="O433" s="575"/>
      <c r="P433" s="575"/>
      <c r="Q433" s="575"/>
      <c r="R433" s="575"/>
      <c r="S433" s="989"/>
      <c r="T433" s="575"/>
      <c r="U433" s="575"/>
      <c r="V433" s="575"/>
      <c r="W433" s="575"/>
      <c r="X433" s="575"/>
      <c r="Y433" s="575"/>
      <c r="Z433" s="989"/>
      <c r="AA433" s="575"/>
      <c r="AB433" s="575"/>
      <c r="AC433" s="575"/>
      <c r="AD433" s="575"/>
      <c r="AE433" s="827"/>
      <c r="AF433" s="575"/>
      <c r="AG433" s="960"/>
      <c r="AH433" s="842"/>
      <c r="AI433" s="839">
        <f t="shared" si="22"/>
        <v>0</v>
      </c>
      <c r="AJ433" s="949">
        <v>0</v>
      </c>
      <c r="AK433" s="581">
        <f t="shared" si="20"/>
        <v>0</v>
      </c>
      <c r="AL433" s="750" t="s">
        <v>1686</v>
      </c>
      <c r="AM433" s="743">
        <f t="shared" si="21"/>
        <v>1.25</v>
      </c>
    </row>
    <row r="434" spans="1:39" s="560" customFormat="1" hidden="1">
      <c r="A434" s="607" t="s">
        <v>909</v>
      </c>
      <c r="B434" s="607" t="s">
        <v>1258</v>
      </c>
      <c r="C434" s="690"/>
      <c r="D434" s="580"/>
      <c r="E434" s="981"/>
      <c r="F434" s="581"/>
      <c r="G434" s="581"/>
      <c r="H434" s="581"/>
      <c r="I434" s="949"/>
      <c r="J434" s="949"/>
      <c r="K434" s="949"/>
      <c r="L434" s="989"/>
      <c r="M434" s="575"/>
      <c r="N434" s="575"/>
      <c r="O434" s="575"/>
      <c r="P434" s="575"/>
      <c r="Q434" s="575"/>
      <c r="R434" s="575"/>
      <c r="S434" s="989"/>
      <c r="T434" s="575"/>
      <c r="U434" s="575"/>
      <c r="V434" s="575"/>
      <c r="W434" s="575"/>
      <c r="X434" s="575"/>
      <c r="Y434" s="575"/>
      <c r="Z434" s="989"/>
      <c r="AA434" s="575"/>
      <c r="AB434" s="575"/>
      <c r="AC434" s="575"/>
      <c r="AD434" s="575"/>
      <c r="AE434" s="827"/>
      <c r="AF434" s="575"/>
      <c r="AG434" s="960"/>
      <c r="AH434" s="842"/>
      <c r="AI434" s="839">
        <f t="shared" si="22"/>
        <v>0</v>
      </c>
      <c r="AJ434" s="949">
        <v>0</v>
      </c>
      <c r="AK434" s="581">
        <f t="shared" si="20"/>
        <v>0</v>
      </c>
      <c r="AL434" s="750"/>
      <c r="AM434" s="743">
        <f t="shared" si="21"/>
        <v>0</v>
      </c>
    </row>
    <row r="435" spans="1:39" s="560" customFormat="1" hidden="1">
      <c r="A435" s="604" t="s">
        <v>910</v>
      </c>
      <c r="B435" s="604" t="s">
        <v>1259</v>
      </c>
      <c r="C435" s="614" t="s">
        <v>36</v>
      </c>
      <c r="D435" s="580"/>
      <c r="E435" s="981"/>
      <c r="F435" s="581"/>
      <c r="G435" s="581"/>
      <c r="H435" s="581"/>
      <c r="I435" s="949"/>
      <c r="J435" s="949"/>
      <c r="K435" s="949"/>
      <c r="L435" s="989"/>
      <c r="M435" s="575"/>
      <c r="N435" s="575"/>
      <c r="O435" s="575"/>
      <c r="P435" s="575"/>
      <c r="Q435" s="575"/>
      <c r="R435" s="575"/>
      <c r="S435" s="989"/>
      <c r="T435" s="575"/>
      <c r="U435" s="575"/>
      <c r="V435" s="575"/>
      <c r="W435" s="575"/>
      <c r="X435" s="575"/>
      <c r="Y435" s="575"/>
      <c r="Z435" s="989"/>
      <c r="AA435" s="575"/>
      <c r="AB435" s="575"/>
      <c r="AC435" s="575"/>
      <c r="AD435" s="575"/>
      <c r="AE435" s="827"/>
      <c r="AF435" s="575"/>
      <c r="AG435" s="960"/>
      <c r="AH435" s="842"/>
      <c r="AI435" s="839">
        <f t="shared" si="22"/>
        <v>0</v>
      </c>
      <c r="AJ435" s="949">
        <v>0</v>
      </c>
      <c r="AK435" s="581">
        <f t="shared" si="20"/>
        <v>0</v>
      </c>
      <c r="AL435" s="750" t="s">
        <v>1671</v>
      </c>
      <c r="AM435" s="743">
        <f t="shared" si="21"/>
        <v>38.24</v>
      </c>
    </row>
    <row r="436" spans="1:39" s="560" customFormat="1" hidden="1">
      <c r="A436" s="604" t="s">
        <v>911</v>
      </c>
      <c r="B436" s="604" t="s">
        <v>1260</v>
      </c>
      <c r="C436" s="614" t="s">
        <v>36</v>
      </c>
      <c r="D436" s="580"/>
      <c r="E436" s="981"/>
      <c r="F436" s="581"/>
      <c r="G436" s="581"/>
      <c r="H436" s="581"/>
      <c r="I436" s="949"/>
      <c r="J436" s="949"/>
      <c r="K436" s="949"/>
      <c r="L436" s="989"/>
      <c r="M436" s="575"/>
      <c r="N436" s="575"/>
      <c r="O436" s="575"/>
      <c r="P436" s="575"/>
      <c r="Q436" s="575"/>
      <c r="R436" s="575"/>
      <c r="S436" s="989"/>
      <c r="T436" s="575"/>
      <c r="U436" s="575"/>
      <c r="V436" s="575"/>
      <c r="W436" s="575"/>
      <c r="X436" s="575"/>
      <c r="Y436" s="575"/>
      <c r="Z436" s="989"/>
      <c r="AA436" s="575"/>
      <c r="AB436" s="575"/>
      <c r="AC436" s="575"/>
      <c r="AD436" s="575"/>
      <c r="AE436" s="827"/>
      <c r="AF436" s="575"/>
      <c r="AG436" s="960"/>
      <c r="AH436" s="842"/>
      <c r="AI436" s="839">
        <f t="shared" si="22"/>
        <v>0</v>
      </c>
      <c r="AJ436" s="949">
        <v>0</v>
      </c>
      <c r="AK436" s="581">
        <f t="shared" si="20"/>
        <v>0</v>
      </c>
      <c r="AL436" s="750" t="s">
        <v>1665</v>
      </c>
      <c r="AM436" s="743">
        <f t="shared" si="21"/>
        <v>83.58</v>
      </c>
    </row>
    <row r="437" spans="1:39" s="560" customFormat="1" hidden="1">
      <c r="A437" s="604" t="s">
        <v>912</v>
      </c>
      <c r="B437" s="604" t="s">
        <v>1261</v>
      </c>
      <c r="C437" s="614" t="s">
        <v>36</v>
      </c>
      <c r="D437" s="580"/>
      <c r="E437" s="981"/>
      <c r="F437" s="581"/>
      <c r="G437" s="581"/>
      <c r="H437" s="581"/>
      <c r="I437" s="949"/>
      <c r="J437" s="949"/>
      <c r="K437" s="949"/>
      <c r="L437" s="989"/>
      <c r="M437" s="575"/>
      <c r="N437" s="575"/>
      <c r="O437" s="575"/>
      <c r="P437" s="575"/>
      <c r="Q437" s="575"/>
      <c r="R437" s="575"/>
      <c r="S437" s="989"/>
      <c r="T437" s="575"/>
      <c r="U437" s="575"/>
      <c r="V437" s="575"/>
      <c r="W437" s="575"/>
      <c r="X437" s="575"/>
      <c r="Y437" s="575"/>
      <c r="Z437" s="989"/>
      <c r="AA437" s="575"/>
      <c r="AB437" s="575"/>
      <c r="AC437" s="575"/>
      <c r="AD437" s="575"/>
      <c r="AE437" s="827"/>
      <c r="AF437" s="575"/>
      <c r="AG437" s="960"/>
      <c r="AH437" s="842"/>
      <c r="AI437" s="839">
        <f t="shared" si="22"/>
        <v>0</v>
      </c>
      <c r="AJ437" s="949">
        <v>0</v>
      </c>
      <c r="AK437" s="581">
        <f t="shared" si="20"/>
        <v>0</v>
      </c>
      <c r="AL437" s="750" t="s">
        <v>1663</v>
      </c>
      <c r="AM437" s="743">
        <f t="shared" si="21"/>
        <v>45.75</v>
      </c>
    </row>
    <row r="438" spans="1:39" s="560" customFormat="1" hidden="1">
      <c r="A438" s="604" t="s">
        <v>913</v>
      </c>
      <c r="B438" s="604" t="s">
        <v>1262</v>
      </c>
      <c r="C438" s="614" t="s">
        <v>36</v>
      </c>
      <c r="D438" s="580"/>
      <c r="E438" s="981"/>
      <c r="F438" s="581"/>
      <c r="G438" s="581"/>
      <c r="H438" s="581"/>
      <c r="I438" s="949"/>
      <c r="J438" s="949"/>
      <c r="K438" s="949"/>
      <c r="L438" s="989"/>
      <c r="M438" s="575"/>
      <c r="N438" s="575"/>
      <c r="O438" s="575"/>
      <c r="P438" s="575"/>
      <c r="Q438" s="575"/>
      <c r="R438" s="575"/>
      <c r="S438" s="989"/>
      <c r="T438" s="575"/>
      <c r="U438" s="575"/>
      <c r="V438" s="575"/>
      <c r="W438" s="575"/>
      <c r="X438" s="575"/>
      <c r="Y438" s="575"/>
      <c r="Z438" s="989"/>
      <c r="AA438" s="575"/>
      <c r="AB438" s="575"/>
      <c r="AC438" s="575"/>
      <c r="AD438" s="575"/>
      <c r="AE438" s="827"/>
      <c r="AF438" s="575"/>
      <c r="AG438" s="960"/>
      <c r="AH438" s="842"/>
      <c r="AI438" s="839">
        <f t="shared" si="22"/>
        <v>0</v>
      </c>
      <c r="AJ438" s="949">
        <v>0</v>
      </c>
      <c r="AK438" s="581">
        <f t="shared" si="20"/>
        <v>0</v>
      </c>
      <c r="AL438" s="750" t="s">
        <v>1666</v>
      </c>
      <c r="AM438" s="743">
        <f t="shared" si="21"/>
        <v>12.95</v>
      </c>
    </row>
    <row r="439" spans="1:39" s="560" customFormat="1" hidden="1">
      <c r="A439" s="604" t="s">
        <v>914</v>
      </c>
      <c r="B439" s="604" t="s">
        <v>1263</v>
      </c>
      <c r="C439" s="614" t="s">
        <v>36</v>
      </c>
      <c r="D439" s="580"/>
      <c r="E439" s="981"/>
      <c r="F439" s="581"/>
      <c r="G439" s="581"/>
      <c r="H439" s="581"/>
      <c r="I439" s="949"/>
      <c r="J439" s="949"/>
      <c r="K439" s="949"/>
      <c r="L439" s="989"/>
      <c r="M439" s="575"/>
      <c r="N439" s="575"/>
      <c r="O439" s="575"/>
      <c r="P439" s="575"/>
      <c r="Q439" s="575"/>
      <c r="R439" s="575"/>
      <c r="S439" s="989"/>
      <c r="T439" s="575"/>
      <c r="U439" s="575"/>
      <c r="V439" s="575"/>
      <c r="W439" s="575"/>
      <c r="X439" s="575"/>
      <c r="Y439" s="575"/>
      <c r="Z439" s="989"/>
      <c r="AA439" s="575"/>
      <c r="AB439" s="575"/>
      <c r="AC439" s="575"/>
      <c r="AD439" s="575"/>
      <c r="AE439" s="827"/>
      <c r="AF439" s="575"/>
      <c r="AG439" s="960"/>
      <c r="AH439" s="842"/>
      <c r="AI439" s="839">
        <f t="shared" si="22"/>
        <v>0</v>
      </c>
      <c r="AJ439" s="949">
        <v>0</v>
      </c>
      <c r="AK439" s="581">
        <f t="shared" si="20"/>
        <v>0</v>
      </c>
      <c r="AL439" s="750" t="s">
        <v>1667</v>
      </c>
      <c r="AM439" s="743">
        <f t="shared" si="21"/>
        <v>24.87</v>
      </c>
    </row>
    <row r="440" spans="1:39" s="560" customFormat="1" hidden="1">
      <c r="A440" s="604" t="s">
        <v>915</v>
      </c>
      <c r="B440" s="604" t="s">
        <v>1264</v>
      </c>
      <c r="C440" s="614" t="s">
        <v>36</v>
      </c>
      <c r="D440" s="580"/>
      <c r="E440" s="981"/>
      <c r="F440" s="581"/>
      <c r="G440" s="581"/>
      <c r="H440" s="581"/>
      <c r="I440" s="949"/>
      <c r="J440" s="949"/>
      <c r="K440" s="949"/>
      <c r="L440" s="989"/>
      <c r="M440" s="575"/>
      <c r="N440" s="575"/>
      <c r="O440" s="575"/>
      <c r="P440" s="575"/>
      <c r="Q440" s="575"/>
      <c r="R440" s="575"/>
      <c r="S440" s="989"/>
      <c r="T440" s="575"/>
      <c r="U440" s="575"/>
      <c r="V440" s="575"/>
      <c r="W440" s="575"/>
      <c r="X440" s="575"/>
      <c r="Y440" s="575"/>
      <c r="Z440" s="989"/>
      <c r="AA440" s="575"/>
      <c r="AB440" s="575"/>
      <c r="AC440" s="575"/>
      <c r="AD440" s="575"/>
      <c r="AE440" s="827"/>
      <c r="AF440" s="575"/>
      <c r="AG440" s="960"/>
      <c r="AH440" s="842"/>
      <c r="AI440" s="839">
        <f t="shared" si="22"/>
        <v>0</v>
      </c>
      <c r="AJ440" s="949">
        <v>0</v>
      </c>
      <c r="AK440" s="581">
        <f t="shared" si="20"/>
        <v>0</v>
      </c>
      <c r="AL440" s="750" t="s">
        <v>1678</v>
      </c>
      <c r="AM440" s="743">
        <f t="shared" si="21"/>
        <v>6.66</v>
      </c>
    </row>
    <row r="441" spans="1:39" s="560" customFormat="1" hidden="1">
      <c r="A441" s="604" t="s">
        <v>916</v>
      </c>
      <c r="B441" s="604" t="s">
        <v>1265</v>
      </c>
      <c r="C441" s="614" t="s">
        <v>36</v>
      </c>
      <c r="D441" s="580"/>
      <c r="E441" s="981"/>
      <c r="F441" s="581"/>
      <c r="G441" s="581"/>
      <c r="H441" s="581"/>
      <c r="I441" s="949"/>
      <c r="J441" s="949"/>
      <c r="K441" s="949"/>
      <c r="L441" s="989"/>
      <c r="M441" s="575"/>
      <c r="N441" s="575"/>
      <c r="O441" s="575"/>
      <c r="P441" s="575"/>
      <c r="Q441" s="575"/>
      <c r="R441" s="575"/>
      <c r="S441" s="989"/>
      <c r="T441" s="575"/>
      <c r="U441" s="575"/>
      <c r="V441" s="575"/>
      <c r="W441" s="575"/>
      <c r="X441" s="575"/>
      <c r="Y441" s="575"/>
      <c r="Z441" s="989"/>
      <c r="AA441" s="575"/>
      <c r="AB441" s="575"/>
      <c r="AC441" s="575"/>
      <c r="AD441" s="575"/>
      <c r="AE441" s="827"/>
      <c r="AF441" s="575"/>
      <c r="AG441" s="960"/>
      <c r="AH441" s="842"/>
      <c r="AI441" s="839">
        <f t="shared" si="22"/>
        <v>0</v>
      </c>
      <c r="AJ441" s="949">
        <v>0</v>
      </c>
      <c r="AK441" s="581">
        <f t="shared" si="20"/>
        <v>0</v>
      </c>
      <c r="AL441" s="750" t="s">
        <v>1687</v>
      </c>
      <c r="AM441" s="743">
        <f t="shared" si="21"/>
        <v>12.48</v>
      </c>
    </row>
    <row r="442" spans="1:39" s="560" customFormat="1" hidden="1">
      <c r="A442" s="607" t="s">
        <v>917</v>
      </c>
      <c r="B442" s="607" t="s">
        <v>1266</v>
      </c>
      <c r="C442" s="690"/>
      <c r="D442" s="580"/>
      <c r="E442" s="981"/>
      <c r="F442" s="581"/>
      <c r="G442" s="581"/>
      <c r="H442" s="581"/>
      <c r="I442" s="949"/>
      <c r="J442" s="949"/>
      <c r="K442" s="949"/>
      <c r="L442" s="989"/>
      <c r="M442" s="575"/>
      <c r="N442" s="575"/>
      <c r="O442" s="575"/>
      <c r="P442" s="575"/>
      <c r="Q442" s="575"/>
      <c r="R442" s="575"/>
      <c r="S442" s="989"/>
      <c r="T442" s="575"/>
      <c r="U442" s="575"/>
      <c r="V442" s="575"/>
      <c r="W442" s="575"/>
      <c r="X442" s="575"/>
      <c r="Y442" s="575"/>
      <c r="Z442" s="989"/>
      <c r="AA442" s="575"/>
      <c r="AB442" s="575"/>
      <c r="AC442" s="575"/>
      <c r="AD442" s="575"/>
      <c r="AE442" s="827"/>
      <c r="AF442" s="575"/>
      <c r="AG442" s="960"/>
      <c r="AH442" s="842"/>
      <c r="AI442" s="839">
        <f t="shared" si="22"/>
        <v>0</v>
      </c>
      <c r="AJ442" s="949">
        <v>0</v>
      </c>
      <c r="AK442" s="581">
        <f t="shared" si="20"/>
        <v>0</v>
      </c>
      <c r="AL442" s="750"/>
      <c r="AM442" s="743">
        <f t="shared" si="21"/>
        <v>0</v>
      </c>
    </row>
    <row r="443" spans="1:39" s="560" customFormat="1" hidden="1">
      <c r="A443" s="604" t="s">
        <v>918</v>
      </c>
      <c r="B443" s="604" t="s">
        <v>1267</v>
      </c>
      <c r="C443" s="614" t="s">
        <v>1436</v>
      </c>
      <c r="D443" s="580"/>
      <c r="E443" s="981"/>
      <c r="F443" s="581"/>
      <c r="G443" s="581"/>
      <c r="H443" s="581"/>
      <c r="I443" s="949"/>
      <c r="J443" s="949"/>
      <c r="K443" s="949"/>
      <c r="L443" s="989"/>
      <c r="M443" s="575"/>
      <c r="N443" s="575"/>
      <c r="O443" s="575"/>
      <c r="P443" s="575"/>
      <c r="Q443" s="575"/>
      <c r="R443" s="575"/>
      <c r="S443" s="989"/>
      <c r="T443" s="575"/>
      <c r="U443" s="575"/>
      <c r="V443" s="575"/>
      <c r="W443" s="575"/>
      <c r="X443" s="575"/>
      <c r="Y443" s="575"/>
      <c r="Z443" s="989"/>
      <c r="AA443" s="575"/>
      <c r="AB443" s="575"/>
      <c r="AC443" s="575"/>
      <c r="AD443" s="575"/>
      <c r="AE443" s="827"/>
      <c r="AF443" s="575"/>
      <c r="AG443" s="960"/>
      <c r="AH443" s="842"/>
      <c r="AI443" s="839">
        <f t="shared" si="22"/>
        <v>0</v>
      </c>
      <c r="AJ443" s="949">
        <v>0</v>
      </c>
      <c r="AK443" s="581">
        <f t="shared" si="20"/>
        <v>0</v>
      </c>
      <c r="AL443" s="750" t="s">
        <v>1441</v>
      </c>
      <c r="AM443" s="743">
        <f t="shared" si="21"/>
        <v>1</v>
      </c>
    </row>
    <row r="444" spans="1:39" s="560" customFormat="1" hidden="1">
      <c r="A444" s="604" t="s">
        <v>919</v>
      </c>
      <c r="B444" s="604" t="s">
        <v>1268</v>
      </c>
      <c r="C444" s="614" t="s">
        <v>63</v>
      </c>
      <c r="D444" s="580"/>
      <c r="E444" s="981"/>
      <c r="F444" s="581"/>
      <c r="G444" s="581"/>
      <c r="H444" s="581"/>
      <c r="I444" s="949"/>
      <c r="J444" s="949"/>
      <c r="K444" s="949"/>
      <c r="L444" s="989"/>
      <c r="M444" s="575"/>
      <c r="N444" s="575"/>
      <c r="O444" s="575"/>
      <c r="P444" s="575"/>
      <c r="Q444" s="575"/>
      <c r="R444" s="575"/>
      <c r="S444" s="989"/>
      <c r="T444" s="575"/>
      <c r="U444" s="575"/>
      <c r="V444" s="575"/>
      <c r="W444" s="575"/>
      <c r="X444" s="575"/>
      <c r="Y444" s="575"/>
      <c r="Z444" s="989"/>
      <c r="AA444" s="575"/>
      <c r="AB444" s="575"/>
      <c r="AC444" s="575"/>
      <c r="AD444" s="575"/>
      <c r="AE444" s="827"/>
      <c r="AF444" s="575"/>
      <c r="AG444" s="960"/>
      <c r="AH444" s="842"/>
      <c r="AI444" s="839">
        <f t="shared" si="22"/>
        <v>0</v>
      </c>
      <c r="AJ444" s="949">
        <v>0</v>
      </c>
      <c r="AK444" s="581">
        <f t="shared" si="20"/>
        <v>0</v>
      </c>
      <c r="AL444" s="750" t="s">
        <v>1441</v>
      </c>
      <c r="AM444" s="743">
        <f t="shared" si="21"/>
        <v>1</v>
      </c>
    </row>
    <row r="445" spans="1:39" s="560" customFormat="1" hidden="1">
      <c r="A445" s="604" t="s">
        <v>920</v>
      </c>
      <c r="B445" s="604" t="s">
        <v>1269</v>
      </c>
      <c r="C445" s="614" t="s">
        <v>36</v>
      </c>
      <c r="D445" s="580"/>
      <c r="E445" s="981"/>
      <c r="F445" s="581"/>
      <c r="G445" s="581"/>
      <c r="H445" s="581"/>
      <c r="I445" s="949"/>
      <c r="J445" s="949"/>
      <c r="K445" s="949"/>
      <c r="L445" s="989"/>
      <c r="M445" s="575"/>
      <c r="N445" s="575"/>
      <c r="O445" s="575"/>
      <c r="P445" s="575"/>
      <c r="Q445" s="575"/>
      <c r="R445" s="575"/>
      <c r="S445" s="989"/>
      <c r="T445" s="575"/>
      <c r="U445" s="575"/>
      <c r="V445" s="575"/>
      <c r="W445" s="575"/>
      <c r="X445" s="575"/>
      <c r="Y445" s="575"/>
      <c r="Z445" s="989"/>
      <c r="AA445" s="575"/>
      <c r="AB445" s="575"/>
      <c r="AC445" s="575"/>
      <c r="AD445" s="575"/>
      <c r="AE445" s="827"/>
      <c r="AF445" s="575"/>
      <c r="AG445" s="960"/>
      <c r="AH445" s="842"/>
      <c r="AI445" s="839">
        <f t="shared" si="22"/>
        <v>0</v>
      </c>
      <c r="AJ445" s="949">
        <v>0</v>
      </c>
      <c r="AK445" s="581">
        <f t="shared" si="20"/>
        <v>0</v>
      </c>
      <c r="AL445" s="750" t="s">
        <v>1688</v>
      </c>
      <c r="AM445" s="743">
        <f t="shared" si="21"/>
        <v>6.79</v>
      </c>
    </row>
    <row r="446" spans="1:39" s="560" customFormat="1" hidden="1">
      <c r="A446" s="492" t="s">
        <v>504</v>
      </c>
      <c r="B446" s="608" t="s">
        <v>1283</v>
      </c>
      <c r="C446" s="690"/>
      <c r="D446" s="580"/>
      <c r="E446" s="981"/>
      <c r="F446" s="581"/>
      <c r="G446" s="581"/>
      <c r="H446" s="581"/>
      <c r="I446" s="949"/>
      <c r="J446" s="949"/>
      <c r="K446" s="949"/>
      <c r="L446" s="989"/>
      <c r="M446" s="575"/>
      <c r="N446" s="575"/>
      <c r="O446" s="575"/>
      <c r="P446" s="575"/>
      <c r="Q446" s="575"/>
      <c r="R446" s="575"/>
      <c r="S446" s="989"/>
      <c r="T446" s="575"/>
      <c r="U446" s="575"/>
      <c r="V446" s="575"/>
      <c r="W446" s="575"/>
      <c r="X446" s="575"/>
      <c r="Y446" s="575"/>
      <c r="Z446" s="989"/>
      <c r="AA446" s="575"/>
      <c r="AB446" s="575"/>
      <c r="AC446" s="575"/>
      <c r="AD446" s="575"/>
      <c r="AE446" s="827"/>
      <c r="AF446" s="575"/>
      <c r="AG446" s="960"/>
      <c r="AH446" s="842"/>
      <c r="AI446" s="839">
        <f t="shared" si="22"/>
        <v>0</v>
      </c>
      <c r="AJ446" s="949">
        <v>0</v>
      </c>
      <c r="AK446" s="581">
        <f t="shared" si="20"/>
        <v>0</v>
      </c>
      <c r="AL446" s="750"/>
      <c r="AM446" s="743">
        <f t="shared" si="21"/>
        <v>0</v>
      </c>
    </row>
    <row r="447" spans="1:39" s="560" customFormat="1" hidden="1">
      <c r="A447" s="607" t="s">
        <v>505</v>
      </c>
      <c r="B447" s="607" t="s">
        <v>1222</v>
      </c>
      <c r="C447" s="690"/>
      <c r="D447" s="580"/>
      <c r="E447" s="981"/>
      <c r="F447" s="581"/>
      <c r="G447" s="581"/>
      <c r="H447" s="581"/>
      <c r="I447" s="949"/>
      <c r="J447" s="949"/>
      <c r="K447" s="949"/>
      <c r="L447" s="989"/>
      <c r="M447" s="575"/>
      <c r="N447" s="575"/>
      <c r="O447" s="575"/>
      <c r="P447" s="575"/>
      <c r="Q447" s="575"/>
      <c r="R447" s="575"/>
      <c r="S447" s="989"/>
      <c r="T447" s="575"/>
      <c r="U447" s="575"/>
      <c r="V447" s="575"/>
      <c r="W447" s="575"/>
      <c r="X447" s="575"/>
      <c r="Y447" s="575"/>
      <c r="Z447" s="989"/>
      <c r="AA447" s="575"/>
      <c r="AB447" s="575"/>
      <c r="AC447" s="575"/>
      <c r="AD447" s="575"/>
      <c r="AE447" s="827"/>
      <c r="AF447" s="575"/>
      <c r="AG447" s="960"/>
      <c r="AH447" s="842"/>
      <c r="AI447" s="839">
        <f t="shared" si="22"/>
        <v>0</v>
      </c>
      <c r="AJ447" s="949">
        <v>0</v>
      </c>
      <c r="AK447" s="581">
        <f t="shared" si="20"/>
        <v>0</v>
      </c>
      <c r="AL447" s="750"/>
      <c r="AM447" s="743">
        <f t="shared" si="21"/>
        <v>0</v>
      </c>
    </row>
    <row r="448" spans="1:39" s="560" customFormat="1" hidden="1">
      <c r="A448" s="604" t="s">
        <v>506</v>
      </c>
      <c r="B448" s="604" t="s">
        <v>1223</v>
      </c>
      <c r="C448" s="614" t="s">
        <v>36</v>
      </c>
      <c r="D448" s="580"/>
      <c r="E448" s="981"/>
      <c r="F448" s="581"/>
      <c r="G448" s="581"/>
      <c r="H448" s="581"/>
      <c r="I448" s="949"/>
      <c r="J448" s="949"/>
      <c r="K448" s="949"/>
      <c r="L448" s="989"/>
      <c r="M448" s="575"/>
      <c r="N448" s="575"/>
      <c r="O448" s="575"/>
      <c r="P448" s="575"/>
      <c r="Q448" s="575"/>
      <c r="R448" s="575"/>
      <c r="S448" s="989"/>
      <c r="T448" s="575"/>
      <c r="U448" s="575"/>
      <c r="V448" s="575"/>
      <c r="W448" s="575"/>
      <c r="X448" s="575"/>
      <c r="Y448" s="575"/>
      <c r="Z448" s="989"/>
      <c r="AA448" s="575"/>
      <c r="AB448" s="575"/>
      <c r="AC448" s="575"/>
      <c r="AD448" s="575"/>
      <c r="AE448" s="827"/>
      <c r="AF448" s="575"/>
      <c r="AG448" s="960"/>
      <c r="AH448" s="842"/>
      <c r="AI448" s="839">
        <f t="shared" si="22"/>
        <v>0</v>
      </c>
      <c r="AJ448" s="949">
        <v>0</v>
      </c>
      <c r="AK448" s="581">
        <f t="shared" si="20"/>
        <v>0</v>
      </c>
      <c r="AL448" s="750" t="s">
        <v>1689</v>
      </c>
      <c r="AM448" s="743">
        <f t="shared" si="21"/>
        <v>56.66</v>
      </c>
    </row>
    <row r="449" spans="1:39" s="560" customFormat="1" hidden="1">
      <c r="A449" s="604" t="s">
        <v>507</v>
      </c>
      <c r="B449" s="604" t="s">
        <v>1224</v>
      </c>
      <c r="C449" s="614" t="s">
        <v>36</v>
      </c>
      <c r="D449" s="580"/>
      <c r="E449" s="981"/>
      <c r="F449" s="581"/>
      <c r="G449" s="581"/>
      <c r="H449" s="581"/>
      <c r="I449" s="949"/>
      <c r="J449" s="949"/>
      <c r="K449" s="949"/>
      <c r="L449" s="989"/>
      <c r="M449" s="575"/>
      <c r="N449" s="575"/>
      <c r="O449" s="575"/>
      <c r="P449" s="575"/>
      <c r="Q449" s="575"/>
      <c r="R449" s="575"/>
      <c r="S449" s="989"/>
      <c r="T449" s="575"/>
      <c r="U449" s="575"/>
      <c r="V449" s="575"/>
      <c r="W449" s="575"/>
      <c r="X449" s="575"/>
      <c r="Y449" s="575"/>
      <c r="Z449" s="989"/>
      <c r="AA449" s="575"/>
      <c r="AB449" s="575"/>
      <c r="AC449" s="575"/>
      <c r="AD449" s="575"/>
      <c r="AE449" s="827"/>
      <c r="AF449" s="575"/>
      <c r="AG449" s="960"/>
      <c r="AH449" s="842"/>
      <c r="AI449" s="839">
        <f t="shared" si="22"/>
        <v>0</v>
      </c>
      <c r="AJ449" s="949">
        <v>0</v>
      </c>
      <c r="AK449" s="581">
        <f t="shared" si="20"/>
        <v>0</v>
      </c>
      <c r="AL449" s="750" t="s">
        <v>1690</v>
      </c>
      <c r="AM449" s="743">
        <f t="shared" si="21"/>
        <v>8.17</v>
      </c>
    </row>
    <row r="450" spans="1:39" s="560" customFormat="1" hidden="1">
      <c r="A450" s="607" t="s">
        <v>508</v>
      </c>
      <c r="B450" s="607" t="s">
        <v>1225</v>
      </c>
      <c r="C450" s="690"/>
      <c r="D450" s="580"/>
      <c r="E450" s="981"/>
      <c r="F450" s="581"/>
      <c r="G450" s="581"/>
      <c r="H450" s="581"/>
      <c r="I450" s="949"/>
      <c r="J450" s="949"/>
      <c r="K450" s="949"/>
      <c r="L450" s="989"/>
      <c r="M450" s="575"/>
      <c r="N450" s="575"/>
      <c r="O450" s="575"/>
      <c r="P450" s="575"/>
      <c r="Q450" s="575"/>
      <c r="R450" s="575"/>
      <c r="S450" s="989"/>
      <c r="T450" s="575"/>
      <c r="U450" s="575"/>
      <c r="V450" s="575"/>
      <c r="W450" s="575"/>
      <c r="X450" s="575"/>
      <c r="Y450" s="575"/>
      <c r="Z450" s="989"/>
      <c r="AA450" s="575"/>
      <c r="AB450" s="575"/>
      <c r="AC450" s="575"/>
      <c r="AD450" s="575"/>
      <c r="AE450" s="827"/>
      <c r="AF450" s="575"/>
      <c r="AG450" s="960"/>
      <c r="AH450" s="842"/>
      <c r="AI450" s="839">
        <f t="shared" si="22"/>
        <v>0</v>
      </c>
      <c r="AJ450" s="949">
        <v>0</v>
      </c>
      <c r="AK450" s="581">
        <f t="shared" si="20"/>
        <v>0</v>
      </c>
      <c r="AL450" s="750"/>
      <c r="AM450" s="743">
        <f t="shared" si="21"/>
        <v>0</v>
      </c>
    </row>
    <row r="451" spans="1:39" s="560" customFormat="1" hidden="1">
      <c r="A451" s="604" t="s">
        <v>509</v>
      </c>
      <c r="B451" s="604" t="s">
        <v>1226</v>
      </c>
      <c r="C451" s="614" t="s">
        <v>36</v>
      </c>
      <c r="D451" s="580"/>
      <c r="E451" s="981"/>
      <c r="F451" s="581"/>
      <c r="G451" s="581"/>
      <c r="H451" s="581"/>
      <c r="I451" s="949"/>
      <c r="J451" s="949"/>
      <c r="K451" s="949"/>
      <c r="L451" s="989"/>
      <c r="M451" s="575"/>
      <c r="N451" s="575"/>
      <c r="O451" s="575"/>
      <c r="P451" s="575"/>
      <c r="Q451" s="575"/>
      <c r="R451" s="575"/>
      <c r="S451" s="989"/>
      <c r="T451" s="575"/>
      <c r="U451" s="575"/>
      <c r="V451" s="575"/>
      <c r="W451" s="575"/>
      <c r="X451" s="575"/>
      <c r="Y451" s="575"/>
      <c r="Z451" s="989"/>
      <c r="AA451" s="575"/>
      <c r="AB451" s="575"/>
      <c r="AC451" s="575"/>
      <c r="AD451" s="575"/>
      <c r="AE451" s="827"/>
      <c r="AF451" s="575"/>
      <c r="AG451" s="960"/>
      <c r="AH451" s="842"/>
      <c r="AI451" s="839">
        <f t="shared" si="22"/>
        <v>0</v>
      </c>
      <c r="AJ451" s="949">
        <v>0</v>
      </c>
      <c r="AK451" s="581">
        <f t="shared" si="20"/>
        <v>0</v>
      </c>
      <c r="AL451" s="750" t="s">
        <v>1691</v>
      </c>
      <c r="AM451" s="743">
        <f t="shared" si="21"/>
        <v>77.680000000000007</v>
      </c>
    </row>
    <row r="452" spans="1:39" s="560" customFormat="1" hidden="1">
      <c r="A452" s="604" t="s">
        <v>921</v>
      </c>
      <c r="B452" s="604" t="s">
        <v>1227</v>
      </c>
      <c r="C452" s="614" t="s">
        <v>36</v>
      </c>
      <c r="D452" s="580"/>
      <c r="E452" s="981"/>
      <c r="F452" s="581"/>
      <c r="G452" s="581"/>
      <c r="H452" s="581"/>
      <c r="I452" s="949"/>
      <c r="J452" s="949"/>
      <c r="K452" s="949"/>
      <c r="L452" s="989"/>
      <c r="M452" s="575"/>
      <c r="N452" s="575"/>
      <c r="O452" s="575"/>
      <c r="P452" s="575"/>
      <c r="Q452" s="575"/>
      <c r="R452" s="575"/>
      <c r="S452" s="989"/>
      <c r="T452" s="575"/>
      <c r="U452" s="575"/>
      <c r="V452" s="575"/>
      <c r="W452" s="575"/>
      <c r="X452" s="575"/>
      <c r="Y452" s="575"/>
      <c r="Z452" s="989"/>
      <c r="AA452" s="575"/>
      <c r="AB452" s="575"/>
      <c r="AC452" s="575"/>
      <c r="AD452" s="575"/>
      <c r="AE452" s="827"/>
      <c r="AF452" s="575"/>
      <c r="AG452" s="960"/>
      <c r="AH452" s="842"/>
      <c r="AI452" s="839">
        <f t="shared" si="22"/>
        <v>0</v>
      </c>
      <c r="AJ452" s="949">
        <v>0</v>
      </c>
      <c r="AK452" s="581">
        <f t="shared" si="20"/>
        <v>0</v>
      </c>
      <c r="AL452" s="750" t="s">
        <v>1692</v>
      </c>
      <c r="AM452" s="743">
        <f t="shared" si="21"/>
        <v>51.98</v>
      </c>
    </row>
    <row r="453" spans="1:39" s="560" customFormat="1" hidden="1">
      <c r="A453" s="604" t="s">
        <v>922</v>
      </c>
      <c r="B453" s="604" t="s">
        <v>1228</v>
      </c>
      <c r="C453" s="614" t="s">
        <v>36</v>
      </c>
      <c r="D453" s="580"/>
      <c r="E453" s="981"/>
      <c r="F453" s="581"/>
      <c r="G453" s="581"/>
      <c r="H453" s="581"/>
      <c r="I453" s="949"/>
      <c r="J453" s="949"/>
      <c r="K453" s="949"/>
      <c r="L453" s="989"/>
      <c r="M453" s="575"/>
      <c r="N453" s="575"/>
      <c r="O453" s="575"/>
      <c r="P453" s="575"/>
      <c r="Q453" s="575"/>
      <c r="R453" s="575"/>
      <c r="S453" s="989"/>
      <c r="T453" s="575"/>
      <c r="U453" s="575"/>
      <c r="V453" s="575"/>
      <c r="W453" s="575"/>
      <c r="X453" s="575"/>
      <c r="Y453" s="575"/>
      <c r="Z453" s="989"/>
      <c r="AA453" s="575"/>
      <c r="AB453" s="575"/>
      <c r="AC453" s="575"/>
      <c r="AD453" s="575"/>
      <c r="AE453" s="827"/>
      <c r="AF453" s="575"/>
      <c r="AG453" s="960"/>
      <c r="AH453" s="842"/>
      <c r="AI453" s="839">
        <f t="shared" si="22"/>
        <v>0</v>
      </c>
      <c r="AJ453" s="949">
        <v>0</v>
      </c>
      <c r="AK453" s="581">
        <f t="shared" si="20"/>
        <v>0</v>
      </c>
      <c r="AL453" s="750" t="s">
        <v>1693</v>
      </c>
      <c r="AM453" s="743">
        <f t="shared" si="21"/>
        <v>12</v>
      </c>
    </row>
    <row r="454" spans="1:39" s="560" customFormat="1" hidden="1">
      <c r="A454" s="604" t="s">
        <v>923</v>
      </c>
      <c r="B454" s="604" t="s">
        <v>1229</v>
      </c>
      <c r="C454" s="614" t="s">
        <v>36</v>
      </c>
      <c r="D454" s="580"/>
      <c r="E454" s="981"/>
      <c r="F454" s="581"/>
      <c r="G454" s="581"/>
      <c r="H454" s="581"/>
      <c r="I454" s="949"/>
      <c r="J454" s="949"/>
      <c r="K454" s="949"/>
      <c r="L454" s="989"/>
      <c r="M454" s="575"/>
      <c r="N454" s="575"/>
      <c r="O454" s="575"/>
      <c r="P454" s="575"/>
      <c r="Q454" s="575"/>
      <c r="R454" s="575"/>
      <c r="S454" s="989"/>
      <c r="T454" s="575"/>
      <c r="U454" s="575"/>
      <c r="V454" s="575"/>
      <c r="W454" s="575"/>
      <c r="X454" s="575"/>
      <c r="Y454" s="575"/>
      <c r="Z454" s="989"/>
      <c r="AA454" s="575"/>
      <c r="AB454" s="575"/>
      <c r="AC454" s="575"/>
      <c r="AD454" s="575"/>
      <c r="AE454" s="827"/>
      <c r="AF454" s="575"/>
      <c r="AG454" s="960"/>
      <c r="AH454" s="842"/>
      <c r="AI454" s="839">
        <f t="shared" si="22"/>
        <v>0</v>
      </c>
      <c r="AJ454" s="949">
        <v>0</v>
      </c>
      <c r="AK454" s="581">
        <f t="shared" si="20"/>
        <v>0</v>
      </c>
      <c r="AL454" s="750" t="s">
        <v>1694</v>
      </c>
      <c r="AM454" s="743">
        <f t="shared" si="21"/>
        <v>19.97</v>
      </c>
    </row>
    <row r="455" spans="1:39" s="560" customFormat="1" hidden="1">
      <c r="A455" s="604" t="s">
        <v>924</v>
      </c>
      <c r="B455" s="604" t="s">
        <v>1230</v>
      </c>
      <c r="C455" s="614" t="s">
        <v>36</v>
      </c>
      <c r="D455" s="580"/>
      <c r="E455" s="981"/>
      <c r="F455" s="581"/>
      <c r="G455" s="581"/>
      <c r="H455" s="581"/>
      <c r="I455" s="949"/>
      <c r="J455" s="949"/>
      <c r="K455" s="949"/>
      <c r="L455" s="989"/>
      <c r="M455" s="575"/>
      <c r="N455" s="575"/>
      <c r="O455" s="575"/>
      <c r="P455" s="575"/>
      <c r="Q455" s="575"/>
      <c r="R455" s="575"/>
      <c r="S455" s="989"/>
      <c r="T455" s="575"/>
      <c r="U455" s="575"/>
      <c r="V455" s="575"/>
      <c r="W455" s="575"/>
      <c r="X455" s="575"/>
      <c r="Y455" s="575"/>
      <c r="Z455" s="989"/>
      <c r="AA455" s="575"/>
      <c r="AB455" s="575"/>
      <c r="AC455" s="575"/>
      <c r="AD455" s="575"/>
      <c r="AE455" s="827"/>
      <c r="AF455" s="575"/>
      <c r="AG455" s="960"/>
      <c r="AH455" s="842"/>
      <c r="AI455" s="839">
        <f t="shared" si="22"/>
        <v>0</v>
      </c>
      <c r="AJ455" s="949">
        <v>0</v>
      </c>
      <c r="AK455" s="581">
        <f t="shared" si="20"/>
        <v>0</v>
      </c>
      <c r="AL455" s="750" t="s">
        <v>1695</v>
      </c>
      <c r="AM455" s="743">
        <f t="shared" si="21"/>
        <v>35.729999999999997</v>
      </c>
    </row>
    <row r="456" spans="1:39" s="560" customFormat="1" hidden="1">
      <c r="A456" s="604" t="s">
        <v>925</v>
      </c>
      <c r="B456" s="604" t="s">
        <v>1231</v>
      </c>
      <c r="C456" s="614" t="s">
        <v>37</v>
      </c>
      <c r="D456" s="580"/>
      <c r="E456" s="981"/>
      <c r="F456" s="581"/>
      <c r="G456" s="581"/>
      <c r="H456" s="581"/>
      <c r="I456" s="949"/>
      <c r="J456" s="949"/>
      <c r="K456" s="949"/>
      <c r="L456" s="989"/>
      <c r="M456" s="575"/>
      <c r="N456" s="575"/>
      <c r="O456" s="575"/>
      <c r="P456" s="575"/>
      <c r="Q456" s="575"/>
      <c r="R456" s="575"/>
      <c r="S456" s="989"/>
      <c r="T456" s="575"/>
      <c r="U456" s="575"/>
      <c r="V456" s="575"/>
      <c r="W456" s="575"/>
      <c r="X456" s="575"/>
      <c r="Y456" s="575"/>
      <c r="Z456" s="989"/>
      <c r="AA456" s="575"/>
      <c r="AB456" s="575"/>
      <c r="AC456" s="575"/>
      <c r="AD456" s="575"/>
      <c r="AE456" s="827"/>
      <c r="AF456" s="575"/>
      <c r="AG456" s="960"/>
      <c r="AH456" s="842"/>
      <c r="AI456" s="839">
        <f t="shared" si="22"/>
        <v>0</v>
      </c>
      <c r="AJ456" s="949">
        <v>0</v>
      </c>
      <c r="AK456" s="581">
        <f t="shared" si="20"/>
        <v>0</v>
      </c>
      <c r="AL456" s="750" t="s">
        <v>1696</v>
      </c>
      <c r="AM456" s="743">
        <f t="shared" si="21"/>
        <v>35.9</v>
      </c>
    </row>
    <row r="457" spans="1:39" s="560" customFormat="1" hidden="1">
      <c r="A457" s="604" t="s">
        <v>926</v>
      </c>
      <c r="B457" s="604" t="s">
        <v>1232</v>
      </c>
      <c r="C457" s="614" t="s">
        <v>37</v>
      </c>
      <c r="D457" s="580"/>
      <c r="E457" s="981"/>
      <c r="F457" s="581"/>
      <c r="G457" s="581"/>
      <c r="H457" s="581"/>
      <c r="I457" s="949"/>
      <c r="J457" s="949"/>
      <c r="K457" s="949"/>
      <c r="L457" s="989"/>
      <c r="M457" s="575"/>
      <c r="N457" s="575"/>
      <c r="O457" s="575"/>
      <c r="P457" s="575"/>
      <c r="Q457" s="575"/>
      <c r="R457" s="575"/>
      <c r="S457" s="989"/>
      <c r="T457" s="575"/>
      <c r="U457" s="575"/>
      <c r="V457" s="575"/>
      <c r="W457" s="575"/>
      <c r="X457" s="575"/>
      <c r="Y457" s="575"/>
      <c r="Z457" s="989"/>
      <c r="AA457" s="575"/>
      <c r="AB457" s="575"/>
      <c r="AC457" s="575"/>
      <c r="AD457" s="575"/>
      <c r="AE457" s="827"/>
      <c r="AF457" s="575"/>
      <c r="AG457" s="960"/>
      <c r="AH457" s="842"/>
      <c r="AI457" s="839">
        <f t="shared" si="22"/>
        <v>0</v>
      </c>
      <c r="AJ457" s="949">
        <v>0</v>
      </c>
      <c r="AK457" s="581">
        <f t="shared" si="20"/>
        <v>0</v>
      </c>
      <c r="AL457" s="750" t="s">
        <v>1697</v>
      </c>
      <c r="AM457" s="743">
        <f t="shared" si="21"/>
        <v>151.28</v>
      </c>
    </row>
    <row r="458" spans="1:39" s="560" customFormat="1" hidden="1">
      <c r="A458" s="607" t="s">
        <v>510</v>
      </c>
      <c r="B458" s="607" t="s">
        <v>1233</v>
      </c>
      <c r="C458" s="690"/>
      <c r="D458" s="580"/>
      <c r="E458" s="981"/>
      <c r="F458" s="581"/>
      <c r="G458" s="581"/>
      <c r="H458" s="581"/>
      <c r="I458" s="949"/>
      <c r="J458" s="949"/>
      <c r="K458" s="949"/>
      <c r="L458" s="989"/>
      <c r="M458" s="575"/>
      <c r="N458" s="575"/>
      <c r="O458" s="575"/>
      <c r="P458" s="575"/>
      <c r="Q458" s="575"/>
      <c r="R458" s="575"/>
      <c r="S458" s="989"/>
      <c r="T458" s="575"/>
      <c r="U458" s="575"/>
      <c r="V458" s="575"/>
      <c r="W458" s="575"/>
      <c r="X458" s="575"/>
      <c r="Y458" s="575"/>
      <c r="Z458" s="989"/>
      <c r="AA458" s="575"/>
      <c r="AB458" s="575"/>
      <c r="AC458" s="575"/>
      <c r="AD458" s="575"/>
      <c r="AE458" s="827"/>
      <c r="AF458" s="575"/>
      <c r="AG458" s="960"/>
      <c r="AH458" s="842"/>
      <c r="AI458" s="839">
        <f t="shared" si="22"/>
        <v>0</v>
      </c>
      <c r="AJ458" s="949">
        <v>0</v>
      </c>
      <c r="AK458" s="581">
        <f t="shared" si="20"/>
        <v>0</v>
      </c>
      <c r="AL458" s="750"/>
      <c r="AM458" s="743">
        <f t="shared" si="21"/>
        <v>0</v>
      </c>
    </row>
    <row r="459" spans="1:39" s="560" customFormat="1" hidden="1">
      <c r="A459" s="604" t="s">
        <v>511</v>
      </c>
      <c r="B459" s="604" t="s">
        <v>1234</v>
      </c>
      <c r="C459" s="614" t="s">
        <v>36</v>
      </c>
      <c r="D459" s="580"/>
      <c r="E459" s="981"/>
      <c r="F459" s="581"/>
      <c r="G459" s="581"/>
      <c r="H459" s="581"/>
      <c r="I459" s="949"/>
      <c r="J459" s="949"/>
      <c r="K459" s="949"/>
      <c r="L459" s="989"/>
      <c r="M459" s="575"/>
      <c r="N459" s="575"/>
      <c r="O459" s="575"/>
      <c r="P459" s="575"/>
      <c r="Q459" s="575"/>
      <c r="R459" s="575"/>
      <c r="S459" s="989"/>
      <c r="T459" s="575"/>
      <c r="U459" s="575"/>
      <c r="V459" s="575"/>
      <c r="W459" s="575"/>
      <c r="X459" s="575"/>
      <c r="Y459" s="575"/>
      <c r="Z459" s="989"/>
      <c r="AA459" s="575"/>
      <c r="AB459" s="575"/>
      <c r="AC459" s="575"/>
      <c r="AD459" s="575"/>
      <c r="AE459" s="827"/>
      <c r="AF459" s="575"/>
      <c r="AG459" s="960"/>
      <c r="AH459" s="842"/>
      <c r="AI459" s="839">
        <f t="shared" si="22"/>
        <v>0</v>
      </c>
      <c r="AJ459" s="949">
        <v>0</v>
      </c>
      <c r="AK459" s="581">
        <f t="shared" si="20"/>
        <v>0</v>
      </c>
      <c r="AL459" s="750" t="s">
        <v>1698</v>
      </c>
      <c r="AM459" s="743">
        <f t="shared" si="21"/>
        <v>33.950000000000003</v>
      </c>
    </row>
    <row r="460" spans="1:39" s="560" customFormat="1" hidden="1">
      <c r="A460" s="607" t="s">
        <v>927</v>
      </c>
      <c r="B460" s="607" t="s">
        <v>1235</v>
      </c>
      <c r="C460" s="690"/>
      <c r="D460" s="580"/>
      <c r="E460" s="981"/>
      <c r="F460" s="581"/>
      <c r="G460" s="581"/>
      <c r="H460" s="581"/>
      <c r="I460" s="949"/>
      <c r="J460" s="949"/>
      <c r="K460" s="949"/>
      <c r="L460" s="989"/>
      <c r="M460" s="575"/>
      <c r="N460" s="575"/>
      <c r="O460" s="575"/>
      <c r="P460" s="575"/>
      <c r="Q460" s="575"/>
      <c r="R460" s="575"/>
      <c r="S460" s="989"/>
      <c r="T460" s="575"/>
      <c r="U460" s="575"/>
      <c r="V460" s="575"/>
      <c r="W460" s="575"/>
      <c r="X460" s="575"/>
      <c r="Y460" s="575"/>
      <c r="Z460" s="989"/>
      <c r="AA460" s="575"/>
      <c r="AB460" s="575"/>
      <c r="AC460" s="575"/>
      <c r="AD460" s="575"/>
      <c r="AE460" s="827"/>
      <c r="AF460" s="575"/>
      <c r="AG460" s="960"/>
      <c r="AH460" s="842"/>
      <c r="AI460" s="839">
        <f t="shared" si="22"/>
        <v>0</v>
      </c>
      <c r="AJ460" s="949">
        <v>0</v>
      </c>
      <c r="AK460" s="581">
        <f t="shared" si="20"/>
        <v>0</v>
      </c>
      <c r="AL460" s="750"/>
      <c r="AM460" s="743">
        <f t="shared" si="21"/>
        <v>0</v>
      </c>
    </row>
    <row r="461" spans="1:39" s="560" customFormat="1" hidden="1">
      <c r="A461" s="604" t="s">
        <v>928</v>
      </c>
      <c r="B461" s="604" t="s">
        <v>1236</v>
      </c>
      <c r="C461" s="614" t="s">
        <v>36</v>
      </c>
      <c r="D461" s="580"/>
      <c r="E461" s="981"/>
      <c r="F461" s="581"/>
      <c r="G461" s="581"/>
      <c r="H461" s="581"/>
      <c r="I461" s="949"/>
      <c r="J461" s="949"/>
      <c r="K461" s="949"/>
      <c r="L461" s="989"/>
      <c r="M461" s="575"/>
      <c r="N461" s="575"/>
      <c r="O461" s="575"/>
      <c r="P461" s="575"/>
      <c r="Q461" s="575"/>
      <c r="R461" s="575"/>
      <c r="S461" s="989"/>
      <c r="T461" s="575"/>
      <c r="U461" s="575"/>
      <c r="V461" s="575"/>
      <c r="W461" s="575"/>
      <c r="X461" s="575"/>
      <c r="Y461" s="575"/>
      <c r="Z461" s="989"/>
      <c r="AA461" s="575"/>
      <c r="AB461" s="575"/>
      <c r="AC461" s="575"/>
      <c r="AD461" s="575"/>
      <c r="AE461" s="827"/>
      <c r="AF461" s="575"/>
      <c r="AG461" s="960"/>
      <c r="AH461" s="842"/>
      <c r="AI461" s="839">
        <f t="shared" si="22"/>
        <v>0</v>
      </c>
      <c r="AJ461" s="949">
        <v>0</v>
      </c>
      <c r="AK461" s="581">
        <f t="shared" si="20"/>
        <v>0</v>
      </c>
      <c r="AL461" s="750" t="s">
        <v>1699</v>
      </c>
      <c r="AM461" s="743">
        <f t="shared" si="21"/>
        <v>22.08</v>
      </c>
    </row>
    <row r="462" spans="1:39" s="560" customFormat="1" hidden="1">
      <c r="A462" s="604" t="s">
        <v>929</v>
      </c>
      <c r="B462" s="604" t="s">
        <v>1237</v>
      </c>
      <c r="C462" s="614" t="s">
        <v>36</v>
      </c>
      <c r="D462" s="580"/>
      <c r="E462" s="981"/>
      <c r="F462" s="581"/>
      <c r="G462" s="581"/>
      <c r="H462" s="581"/>
      <c r="I462" s="949"/>
      <c r="J462" s="949"/>
      <c r="K462" s="949"/>
      <c r="L462" s="989"/>
      <c r="M462" s="575"/>
      <c r="N462" s="575"/>
      <c r="O462" s="575"/>
      <c r="P462" s="575"/>
      <c r="Q462" s="575"/>
      <c r="R462" s="575"/>
      <c r="S462" s="989"/>
      <c r="T462" s="575"/>
      <c r="U462" s="575"/>
      <c r="V462" s="575"/>
      <c r="W462" s="575"/>
      <c r="X462" s="575"/>
      <c r="Y462" s="575"/>
      <c r="Z462" s="989"/>
      <c r="AA462" s="575"/>
      <c r="AB462" s="575"/>
      <c r="AC462" s="575"/>
      <c r="AD462" s="575"/>
      <c r="AE462" s="827"/>
      <c r="AF462" s="575"/>
      <c r="AG462" s="960"/>
      <c r="AH462" s="842"/>
      <c r="AI462" s="839">
        <f t="shared" si="22"/>
        <v>0</v>
      </c>
      <c r="AJ462" s="949">
        <v>0</v>
      </c>
      <c r="AK462" s="581">
        <f t="shared" ref="AK462:AK525" si="23">AI462+AJ462</f>
        <v>0</v>
      </c>
      <c r="AL462" s="750" t="s">
        <v>1700</v>
      </c>
      <c r="AM462" s="743">
        <f t="shared" ref="AM462:AM525" si="24">AL462-AK462</f>
        <v>12.13</v>
      </c>
    </row>
    <row r="463" spans="1:39" s="560" customFormat="1" hidden="1">
      <c r="A463" s="604" t="s">
        <v>930</v>
      </c>
      <c r="B463" s="604" t="s">
        <v>1238</v>
      </c>
      <c r="C463" s="614" t="s">
        <v>36</v>
      </c>
      <c r="D463" s="580"/>
      <c r="E463" s="981"/>
      <c r="F463" s="581"/>
      <c r="G463" s="581"/>
      <c r="H463" s="581"/>
      <c r="I463" s="949"/>
      <c r="J463" s="949"/>
      <c r="K463" s="949"/>
      <c r="L463" s="989"/>
      <c r="M463" s="575"/>
      <c r="N463" s="575"/>
      <c r="O463" s="575"/>
      <c r="P463" s="575"/>
      <c r="Q463" s="575"/>
      <c r="R463" s="575"/>
      <c r="S463" s="989"/>
      <c r="T463" s="575"/>
      <c r="U463" s="575"/>
      <c r="V463" s="575"/>
      <c r="W463" s="575"/>
      <c r="X463" s="575"/>
      <c r="Y463" s="575"/>
      <c r="Z463" s="989"/>
      <c r="AA463" s="575"/>
      <c r="AB463" s="575"/>
      <c r="AC463" s="575"/>
      <c r="AD463" s="575"/>
      <c r="AE463" s="827"/>
      <c r="AF463" s="575"/>
      <c r="AG463" s="960"/>
      <c r="AH463" s="842"/>
      <c r="AI463" s="839">
        <f t="shared" ref="AI463:AI526" si="25">ROUND((SUM(D463:AH463)),2)</f>
        <v>0</v>
      </c>
      <c r="AJ463" s="949">
        <v>0</v>
      </c>
      <c r="AK463" s="581">
        <f t="shared" si="23"/>
        <v>0</v>
      </c>
      <c r="AL463" s="750" t="s">
        <v>1701</v>
      </c>
      <c r="AM463" s="743">
        <f t="shared" si="24"/>
        <v>9.9499999999999993</v>
      </c>
    </row>
    <row r="464" spans="1:39" s="560" customFormat="1" hidden="1">
      <c r="A464" s="607" t="s">
        <v>931</v>
      </c>
      <c r="B464" s="607" t="s">
        <v>1242</v>
      </c>
      <c r="C464" s="690"/>
      <c r="D464" s="580"/>
      <c r="E464" s="981"/>
      <c r="F464" s="581"/>
      <c r="G464" s="581"/>
      <c r="H464" s="581"/>
      <c r="I464" s="949"/>
      <c r="J464" s="949"/>
      <c r="K464" s="949"/>
      <c r="L464" s="989"/>
      <c r="M464" s="575"/>
      <c r="N464" s="575"/>
      <c r="O464" s="575"/>
      <c r="P464" s="575"/>
      <c r="Q464" s="575"/>
      <c r="R464" s="575"/>
      <c r="S464" s="989"/>
      <c r="T464" s="575"/>
      <c r="U464" s="575"/>
      <c r="V464" s="575"/>
      <c r="W464" s="575"/>
      <c r="X464" s="575"/>
      <c r="Y464" s="575"/>
      <c r="Z464" s="989"/>
      <c r="AA464" s="575"/>
      <c r="AB464" s="575"/>
      <c r="AC464" s="575"/>
      <c r="AD464" s="575"/>
      <c r="AE464" s="827"/>
      <c r="AF464" s="575"/>
      <c r="AG464" s="960"/>
      <c r="AH464" s="842"/>
      <c r="AI464" s="839">
        <f t="shared" si="25"/>
        <v>0</v>
      </c>
      <c r="AJ464" s="949">
        <v>0</v>
      </c>
      <c r="AK464" s="581">
        <f t="shared" si="23"/>
        <v>0</v>
      </c>
      <c r="AL464" s="750"/>
      <c r="AM464" s="743">
        <f t="shared" si="24"/>
        <v>0</v>
      </c>
    </row>
    <row r="465" spans="1:39" s="560" customFormat="1" hidden="1">
      <c r="A465" s="604" t="s">
        <v>932</v>
      </c>
      <c r="B465" s="604" t="s">
        <v>1243</v>
      </c>
      <c r="C465" s="614" t="s">
        <v>36</v>
      </c>
      <c r="D465" s="580"/>
      <c r="E465" s="981"/>
      <c r="F465" s="581"/>
      <c r="G465" s="581"/>
      <c r="H465" s="581"/>
      <c r="I465" s="949"/>
      <c r="J465" s="949"/>
      <c r="K465" s="949"/>
      <c r="L465" s="989"/>
      <c r="M465" s="575"/>
      <c r="N465" s="575"/>
      <c r="O465" s="575"/>
      <c r="P465" s="575"/>
      <c r="Q465" s="575"/>
      <c r="R465" s="575"/>
      <c r="S465" s="989"/>
      <c r="T465" s="575"/>
      <c r="U465" s="575"/>
      <c r="V465" s="575"/>
      <c r="W465" s="575"/>
      <c r="X465" s="575"/>
      <c r="Y465" s="575"/>
      <c r="Z465" s="989"/>
      <c r="AA465" s="575"/>
      <c r="AB465" s="575"/>
      <c r="AC465" s="575"/>
      <c r="AD465" s="575"/>
      <c r="AE465" s="827"/>
      <c r="AF465" s="575"/>
      <c r="AG465" s="960"/>
      <c r="AH465" s="842"/>
      <c r="AI465" s="839">
        <f t="shared" si="25"/>
        <v>0</v>
      </c>
      <c r="AJ465" s="949">
        <v>0</v>
      </c>
      <c r="AK465" s="581">
        <f t="shared" si="23"/>
        <v>0</v>
      </c>
      <c r="AL465" s="750" t="s">
        <v>1702</v>
      </c>
      <c r="AM465" s="743">
        <f t="shared" si="24"/>
        <v>8.93</v>
      </c>
    </row>
    <row r="466" spans="1:39" s="560" customFormat="1" hidden="1">
      <c r="A466" s="607" t="s">
        <v>933</v>
      </c>
      <c r="B466" s="607" t="s">
        <v>1244</v>
      </c>
      <c r="C466" s="690"/>
      <c r="D466" s="580"/>
      <c r="E466" s="981"/>
      <c r="F466" s="581"/>
      <c r="G466" s="581"/>
      <c r="H466" s="581"/>
      <c r="I466" s="949"/>
      <c r="J466" s="949"/>
      <c r="K466" s="949"/>
      <c r="L466" s="989"/>
      <c r="M466" s="575"/>
      <c r="N466" s="575"/>
      <c r="O466" s="575"/>
      <c r="P466" s="575"/>
      <c r="Q466" s="575"/>
      <c r="R466" s="575"/>
      <c r="S466" s="989"/>
      <c r="T466" s="575"/>
      <c r="U466" s="575"/>
      <c r="V466" s="575"/>
      <c r="W466" s="575"/>
      <c r="X466" s="575"/>
      <c r="Y466" s="575"/>
      <c r="Z466" s="989"/>
      <c r="AA466" s="575"/>
      <c r="AB466" s="575"/>
      <c r="AC466" s="575"/>
      <c r="AD466" s="575"/>
      <c r="AE466" s="827"/>
      <c r="AF466" s="575"/>
      <c r="AG466" s="960"/>
      <c r="AH466" s="842"/>
      <c r="AI466" s="839">
        <f t="shared" si="25"/>
        <v>0</v>
      </c>
      <c r="AJ466" s="949">
        <v>0</v>
      </c>
      <c r="AK466" s="581">
        <f t="shared" si="23"/>
        <v>0</v>
      </c>
      <c r="AL466" s="750"/>
      <c r="AM466" s="743">
        <f t="shared" si="24"/>
        <v>0</v>
      </c>
    </row>
    <row r="467" spans="1:39" s="560" customFormat="1" hidden="1">
      <c r="A467" s="604" t="s">
        <v>934</v>
      </c>
      <c r="B467" s="604" t="s">
        <v>1245</v>
      </c>
      <c r="C467" s="614" t="s">
        <v>36</v>
      </c>
      <c r="D467" s="580"/>
      <c r="E467" s="981"/>
      <c r="F467" s="581"/>
      <c r="G467" s="581"/>
      <c r="H467" s="581"/>
      <c r="I467" s="949"/>
      <c r="J467" s="949"/>
      <c r="K467" s="949"/>
      <c r="L467" s="989"/>
      <c r="M467" s="575"/>
      <c r="N467" s="575"/>
      <c r="O467" s="575"/>
      <c r="P467" s="575"/>
      <c r="Q467" s="575"/>
      <c r="R467" s="575"/>
      <c r="S467" s="989"/>
      <c r="T467" s="575"/>
      <c r="U467" s="575"/>
      <c r="V467" s="575"/>
      <c r="W467" s="575"/>
      <c r="X467" s="575"/>
      <c r="Y467" s="575"/>
      <c r="Z467" s="989"/>
      <c r="AA467" s="575"/>
      <c r="AB467" s="575"/>
      <c r="AC467" s="575"/>
      <c r="AD467" s="575"/>
      <c r="AE467" s="827"/>
      <c r="AF467" s="575"/>
      <c r="AG467" s="960"/>
      <c r="AH467" s="842"/>
      <c r="AI467" s="839">
        <f t="shared" si="25"/>
        <v>0</v>
      </c>
      <c r="AJ467" s="949">
        <v>0</v>
      </c>
      <c r="AK467" s="581">
        <f t="shared" si="23"/>
        <v>0</v>
      </c>
      <c r="AL467" s="750" t="s">
        <v>1703</v>
      </c>
      <c r="AM467" s="743">
        <f t="shared" si="24"/>
        <v>6.91</v>
      </c>
    </row>
    <row r="468" spans="1:39" s="560" customFormat="1" hidden="1">
      <c r="A468" s="604" t="s">
        <v>935</v>
      </c>
      <c r="B468" s="604" t="s">
        <v>1272</v>
      </c>
      <c r="C468" s="614" t="s">
        <v>36</v>
      </c>
      <c r="D468" s="580"/>
      <c r="E468" s="981"/>
      <c r="F468" s="581"/>
      <c r="G468" s="581"/>
      <c r="H468" s="581"/>
      <c r="I468" s="949"/>
      <c r="J468" s="949"/>
      <c r="K468" s="949"/>
      <c r="L468" s="989"/>
      <c r="M468" s="575"/>
      <c r="N468" s="575"/>
      <c r="O468" s="575"/>
      <c r="P468" s="575"/>
      <c r="Q468" s="575"/>
      <c r="R468" s="575"/>
      <c r="S468" s="989"/>
      <c r="T468" s="575"/>
      <c r="U468" s="575"/>
      <c r="V468" s="575"/>
      <c r="W468" s="575"/>
      <c r="X468" s="575"/>
      <c r="Y468" s="575"/>
      <c r="Z468" s="989"/>
      <c r="AA468" s="575"/>
      <c r="AB468" s="575"/>
      <c r="AC468" s="575"/>
      <c r="AD468" s="575"/>
      <c r="AE468" s="827"/>
      <c r="AF468" s="575"/>
      <c r="AG468" s="960"/>
      <c r="AH468" s="842"/>
      <c r="AI468" s="839">
        <f t="shared" si="25"/>
        <v>0</v>
      </c>
      <c r="AJ468" s="949">
        <v>0</v>
      </c>
      <c r="AK468" s="581">
        <f t="shared" si="23"/>
        <v>0</v>
      </c>
      <c r="AL468" s="750" t="s">
        <v>1704</v>
      </c>
      <c r="AM468" s="743">
        <f t="shared" si="24"/>
        <v>8.86</v>
      </c>
    </row>
    <row r="469" spans="1:39" s="560" customFormat="1" hidden="1">
      <c r="A469" s="604" t="s">
        <v>936</v>
      </c>
      <c r="B469" s="604" t="s">
        <v>1246</v>
      </c>
      <c r="C469" s="614" t="s">
        <v>37</v>
      </c>
      <c r="D469" s="580"/>
      <c r="E469" s="981"/>
      <c r="F469" s="581"/>
      <c r="G469" s="581"/>
      <c r="H469" s="581"/>
      <c r="I469" s="949"/>
      <c r="J469" s="949"/>
      <c r="K469" s="949"/>
      <c r="L469" s="989"/>
      <c r="M469" s="575"/>
      <c r="N469" s="575"/>
      <c r="O469" s="575"/>
      <c r="P469" s="575"/>
      <c r="Q469" s="575"/>
      <c r="R469" s="575"/>
      <c r="S469" s="989"/>
      <c r="T469" s="575"/>
      <c r="U469" s="575"/>
      <c r="V469" s="575"/>
      <c r="W469" s="575"/>
      <c r="X469" s="575"/>
      <c r="Y469" s="575"/>
      <c r="Z469" s="989"/>
      <c r="AA469" s="575"/>
      <c r="AB469" s="575"/>
      <c r="AC469" s="575"/>
      <c r="AD469" s="575"/>
      <c r="AE469" s="827"/>
      <c r="AF469" s="575"/>
      <c r="AG469" s="960"/>
      <c r="AH469" s="842"/>
      <c r="AI469" s="839">
        <f t="shared" si="25"/>
        <v>0</v>
      </c>
      <c r="AJ469" s="949">
        <v>0</v>
      </c>
      <c r="AK469" s="581">
        <f t="shared" si="23"/>
        <v>0</v>
      </c>
      <c r="AL469" s="750" t="s">
        <v>1705</v>
      </c>
      <c r="AM469" s="743">
        <f t="shared" si="24"/>
        <v>10.78</v>
      </c>
    </row>
    <row r="470" spans="1:39" s="560" customFormat="1" hidden="1">
      <c r="A470" s="604" t="s">
        <v>937</v>
      </c>
      <c r="B470" s="604" t="s">
        <v>1247</v>
      </c>
      <c r="C470" s="614" t="s">
        <v>37</v>
      </c>
      <c r="D470" s="580"/>
      <c r="E470" s="981"/>
      <c r="F470" s="581"/>
      <c r="G470" s="581"/>
      <c r="H470" s="581"/>
      <c r="I470" s="949"/>
      <c r="J470" s="949"/>
      <c r="K470" s="949"/>
      <c r="L470" s="989"/>
      <c r="M470" s="575"/>
      <c r="N470" s="575"/>
      <c r="O470" s="575"/>
      <c r="P470" s="575"/>
      <c r="Q470" s="575"/>
      <c r="R470" s="575"/>
      <c r="S470" s="989"/>
      <c r="T470" s="575"/>
      <c r="U470" s="575"/>
      <c r="V470" s="575"/>
      <c r="W470" s="575"/>
      <c r="X470" s="575"/>
      <c r="Y470" s="575"/>
      <c r="Z470" s="989"/>
      <c r="AA470" s="575"/>
      <c r="AB470" s="575"/>
      <c r="AC470" s="575"/>
      <c r="AD470" s="575"/>
      <c r="AE470" s="827"/>
      <c r="AF470" s="575"/>
      <c r="AG470" s="960"/>
      <c r="AH470" s="842"/>
      <c r="AI470" s="839">
        <f t="shared" si="25"/>
        <v>0</v>
      </c>
      <c r="AJ470" s="949">
        <v>0</v>
      </c>
      <c r="AK470" s="581">
        <f t="shared" si="23"/>
        <v>0</v>
      </c>
      <c r="AL470" s="750" t="s">
        <v>1706</v>
      </c>
      <c r="AM470" s="743">
        <f t="shared" si="24"/>
        <v>14.4</v>
      </c>
    </row>
    <row r="471" spans="1:39" s="560" customFormat="1" hidden="1">
      <c r="A471" s="607" t="s">
        <v>938</v>
      </c>
      <c r="B471" s="607" t="s">
        <v>1184</v>
      </c>
      <c r="C471" s="690"/>
      <c r="D471" s="580"/>
      <c r="E471" s="981"/>
      <c r="F471" s="581"/>
      <c r="G471" s="581"/>
      <c r="H471" s="581"/>
      <c r="I471" s="949"/>
      <c r="J471" s="949"/>
      <c r="K471" s="949"/>
      <c r="L471" s="989"/>
      <c r="M471" s="575"/>
      <c r="N471" s="575"/>
      <c r="O471" s="575"/>
      <c r="P471" s="575"/>
      <c r="Q471" s="575"/>
      <c r="R471" s="575"/>
      <c r="S471" s="989"/>
      <c r="T471" s="575"/>
      <c r="U471" s="575"/>
      <c r="V471" s="575"/>
      <c r="W471" s="575"/>
      <c r="X471" s="575"/>
      <c r="Y471" s="575"/>
      <c r="Z471" s="989"/>
      <c r="AA471" s="575"/>
      <c r="AB471" s="575"/>
      <c r="AC471" s="575"/>
      <c r="AD471" s="575"/>
      <c r="AE471" s="827"/>
      <c r="AF471" s="575"/>
      <c r="AG471" s="960"/>
      <c r="AH471" s="842"/>
      <c r="AI471" s="839">
        <f t="shared" si="25"/>
        <v>0</v>
      </c>
      <c r="AJ471" s="949">
        <v>0</v>
      </c>
      <c r="AK471" s="581">
        <f t="shared" si="23"/>
        <v>0</v>
      </c>
      <c r="AL471" s="750"/>
      <c r="AM471" s="743">
        <f t="shared" si="24"/>
        <v>0</v>
      </c>
    </row>
    <row r="472" spans="1:39" s="560" customFormat="1" hidden="1">
      <c r="A472" s="604" t="s">
        <v>939</v>
      </c>
      <c r="B472" s="604" t="s">
        <v>1248</v>
      </c>
      <c r="C472" s="614" t="s">
        <v>36</v>
      </c>
      <c r="D472" s="580"/>
      <c r="E472" s="981"/>
      <c r="F472" s="581"/>
      <c r="G472" s="581"/>
      <c r="H472" s="581"/>
      <c r="I472" s="949"/>
      <c r="J472" s="949"/>
      <c r="K472" s="949"/>
      <c r="L472" s="989"/>
      <c r="M472" s="575"/>
      <c r="N472" s="575"/>
      <c r="O472" s="575"/>
      <c r="P472" s="575"/>
      <c r="Q472" s="575"/>
      <c r="R472" s="575"/>
      <c r="S472" s="989"/>
      <c r="T472" s="575"/>
      <c r="U472" s="575"/>
      <c r="V472" s="575"/>
      <c r="W472" s="575"/>
      <c r="X472" s="575"/>
      <c r="Y472" s="575"/>
      <c r="Z472" s="989"/>
      <c r="AA472" s="575"/>
      <c r="AB472" s="575"/>
      <c r="AC472" s="575"/>
      <c r="AD472" s="575"/>
      <c r="AE472" s="827"/>
      <c r="AF472" s="575"/>
      <c r="AG472" s="960"/>
      <c r="AH472" s="842"/>
      <c r="AI472" s="839">
        <f t="shared" si="25"/>
        <v>0</v>
      </c>
      <c r="AJ472" s="949">
        <v>0</v>
      </c>
      <c r="AK472" s="581">
        <f t="shared" si="23"/>
        <v>0</v>
      </c>
      <c r="AL472" s="750" t="s">
        <v>1707</v>
      </c>
      <c r="AM472" s="743">
        <f t="shared" si="24"/>
        <v>21.28</v>
      </c>
    </row>
    <row r="473" spans="1:39" s="560" customFormat="1" hidden="1">
      <c r="A473" s="604" t="s">
        <v>940</v>
      </c>
      <c r="B473" s="604" t="s">
        <v>1249</v>
      </c>
      <c r="C473" s="614" t="s">
        <v>37</v>
      </c>
      <c r="D473" s="580"/>
      <c r="E473" s="981"/>
      <c r="F473" s="581"/>
      <c r="G473" s="581"/>
      <c r="H473" s="581"/>
      <c r="I473" s="949"/>
      <c r="J473" s="949"/>
      <c r="K473" s="949"/>
      <c r="L473" s="989"/>
      <c r="M473" s="575"/>
      <c r="N473" s="575"/>
      <c r="O473" s="575"/>
      <c r="P473" s="575"/>
      <c r="Q473" s="575"/>
      <c r="R473" s="575"/>
      <c r="S473" s="989"/>
      <c r="T473" s="575"/>
      <c r="U473" s="575"/>
      <c r="V473" s="575"/>
      <c r="W473" s="575"/>
      <c r="X473" s="575"/>
      <c r="Y473" s="575"/>
      <c r="Z473" s="989"/>
      <c r="AA473" s="575"/>
      <c r="AB473" s="575"/>
      <c r="AC473" s="575"/>
      <c r="AD473" s="575"/>
      <c r="AE473" s="827"/>
      <c r="AF473" s="575"/>
      <c r="AG473" s="960"/>
      <c r="AH473" s="842"/>
      <c r="AI473" s="839">
        <f t="shared" si="25"/>
        <v>0</v>
      </c>
      <c r="AJ473" s="949">
        <v>0</v>
      </c>
      <c r="AK473" s="581">
        <f t="shared" si="23"/>
        <v>0</v>
      </c>
      <c r="AL473" s="750" t="s">
        <v>1675</v>
      </c>
      <c r="AM473" s="743">
        <f t="shared" si="24"/>
        <v>6.15</v>
      </c>
    </row>
    <row r="474" spans="1:39" s="560" customFormat="1" hidden="1">
      <c r="A474" s="607" t="s">
        <v>941</v>
      </c>
      <c r="B474" s="607" t="s">
        <v>1250</v>
      </c>
      <c r="C474" s="690"/>
      <c r="D474" s="580"/>
      <c r="E474" s="981"/>
      <c r="F474" s="581"/>
      <c r="G474" s="581"/>
      <c r="H474" s="581"/>
      <c r="I474" s="949"/>
      <c r="J474" s="949"/>
      <c r="K474" s="949"/>
      <c r="L474" s="989"/>
      <c r="M474" s="575"/>
      <c r="N474" s="575"/>
      <c r="O474" s="575"/>
      <c r="P474" s="575"/>
      <c r="Q474" s="575"/>
      <c r="R474" s="575"/>
      <c r="S474" s="989"/>
      <c r="T474" s="575"/>
      <c r="U474" s="575"/>
      <c r="V474" s="575"/>
      <c r="W474" s="575"/>
      <c r="X474" s="575"/>
      <c r="Y474" s="575"/>
      <c r="Z474" s="989"/>
      <c r="AA474" s="575"/>
      <c r="AB474" s="575"/>
      <c r="AC474" s="575"/>
      <c r="AD474" s="575"/>
      <c r="AE474" s="827"/>
      <c r="AF474" s="575"/>
      <c r="AG474" s="960"/>
      <c r="AH474" s="842"/>
      <c r="AI474" s="839">
        <f t="shared" si="25"/>
        <v>0</v>
      </c>
      <c r="AJ474" s="949">
        <v>0</v>
      </c>
      <c r="AK474" s="581">
        <f t="shared" si="23"/>
        <v>0</v>
      </c>
      <c r="AL474" s="750"/>
      <c r="AM474" s="743">
        <f t="shared" si="24"/>
        <v>0</v>
      </c>
    </row>
    <row r="475" spans="1:39" s="560" customFormat="1" hidden="1">
      <c r="A475" s="604" t="s">
        <v>942</v>
      </c>
      <c r="B475" s="604" t="s">
        <v>1251</v>
      </c>
      <c r="C475" s="614" t="s">
        <v>36</v>
      </c>
      <c r="D475" s="580"/>
      <c r="E475" s="981"/>
      <c r="F475" s="581"/>
      <c r="G475" s="581"/>
      <c r="H475" s="581"/>
      <c r="I475" s="949"/>
      <c r="J475" s="949"/>
      <c r="K475" s="949"/>
      <c r="L475" s="989"/>
      <c r="M475" s="575"/>
      <c r="N475" s="575"/>
      <c r="O475" s="575"/>
      <c r="P475" s="575"/>
      <c r="Q475" s="575"/>
      <c r="R475" s="575"/>
      <c r="S475" s="989"/>
      <c r="T475" s="575"/>
      <c r="U475" s="575"/>
      <c r="V475" s="575"/>
      <c r="W475" s="575"/>
      <c r="X475" s="575"/>
      <c r="Y475" s="575"/>
      <c r="Z475" s="989"/>
      <c r="AA475" s="575"/>
      <c r="AB475" s="575"/>
      <c r="AC475" s="575"/>
      <c r="AD475" s="575"/>
      <c r="AE475" s="827"/>
      <c r="AF475" s="575"/>
      <c r="AG475" s="960"/>
      <c r="AH475" s="842"/>
      <c r="AI475" s="839">
        <f t="shared" si="25"/>
        <v>0</v>
      </c>
      <c r="AJ475" s="949">
        <v>0</v>
      </c>
      <c r="AK475" s="581">
        <f t="shared" si="23"/>
        <v>0</v>
      </c>
      <c r="AL475" s="750" t="s">
        <v>1708</v>
      </c>
      <c r="AM475" s="743">
        <f t="shared" si="24"/>
        <v>1.89</v>
      </c>
    </row>
    <row r="476" spans="1:39" s="560" customFormat="1" hidden="1">
      <c r="A476" s="604" t="s">
        <v>943</v>
      </c>
      <c r="B476" s="604" t="s">
        <v>1281</v>
      </c>
      <c r="C476" s="614" t="s">
        <v>36</v>
      </c>
      <c r="D476" s="580"/>
      <c r="E476" s="981"/>
      <c r="F476" s="581"/>
      <c r="G476" s="581"/>
      <c r="H476" s="581"/>
      <c r="I476" s="949"/>
      <c r="J476" s="949"/>
      <c r="K476" s="949"/>
      <c r="L476" s="989"/>
      <c r="M476" s="575"/>
      <c r="N476" s="575"/>
      <c r="O476" s="575"/>
      <c r="P476" s="575"/>
      <c r="Q476" s="575"/>
      <c r="R476" s="575"/>
      <c r="S476" s="989"/>
      <c r="T476" s="575"/>
      <c r="U476" s="575"/>
      <c r="V476" s="575"/>
      <c r="W476" s="575"/>
      <c r="X476" s="575"/>
      <c r="Y476" s="575"/>
      <c r="Z476" s="989"/>
      <c r="AA476" s="575"/>
      <c r="AB476" s="575"/>
      <c r="AC476" s="575"/>
      <c r="AD476" s="575"/>
      <c r="AE476" s="827"/>
      <c r="AF476" s="575"/>
      <c r="AG476" s="960"/>
      <c r="AH476" s="842"/>
      <c r="AI476" s="839">
        <f t="shared" si="25"/>
        <v>0</v>
      </c>
      <c r="AJ476" s="949">
        <v>0</v>
      </c>
      <c r="AK476" s="581">
        <f t="shared" si="23"/>
        <v>0</v>
      </c>
      <c r="AL476" s="750" t="s">
        <v>1709</v>
      </c>
      <c r="AM476" s="743">
        <f t="shared" si="24"/>
        <v>3.15</v>
      </c>
    </row>
    <row r="477" spans="1:39" s="560" customFormat="1" hidden="1">
      <c r="A477" s="607" t="s">
        <v>944</v>
      </c>
      <c r="B477" s="607" t="s">
        <v>1252</v>
      </c>
      <c r="C477" s="690"/>
      <c r="D477" s="580"/>
      <c r="E477" s="981"/>
      <c r="F477" s="581"/>
      <c r="G477" s="581"/>
      <c r="H477" s="581"/>
      <c r="I477" s="949"/>
      <c r="J477" s="949"/>
      <c r="K477" s="949"/>
      <c r="L477" s="989"/>
      <c r="M477" s="575"/>
      <c r="N477" s="575"/>
      <c r="O477" s="575"/>
      <c r="P477" s="575"/>
      <c r="Q477" s="575"/>
      <c r="R477" s="575"/>
      <c r="S477" s="989"/>
      <c r="T477" s="575"/>
      <c r="U477" s="575"/>
      <c r="V477" s="575"/>
      <c r="W477" s="575"/>
      <c r="X477" s="575"/>
      <c r="Y477" s="575"/>
      <c r="Z477" s="989"/>
      <c r="AA477" s="575"/>
      <c r="AB477" s="575"/>
      <c r="AC477" s="575"/>
      <c r="AD477" s="575"/>
      <c r="AE477" s="827"/>
      <c r="AF477" s="575"/>
      <c r="AG477" s="960"/>
      <c r="AH477" s="842"/>
      <c r="AI477" s="839">
        <f t="shared" si="25"/>
        <v>0</v>
      </c>
      <c r="AJ477" s="949">
        <v>0</v>
      </c>
      <c r="AK477" s="581">
        <f t="shared" si="23"/>
        <v>0</v>
      </c>
      <c r="AL477" s="750"/>
      <c r="AM477" s="743">
        <f t="shared" si="24"/>
        <v>0</v>
      </c>
    </row>
    <row r="478" spans="1:39" s="560" customFormat="1" hidden="1">
      <c r="A478" s="604" t="s">
        <v>945</v>
      </c>
      <c r="B478" s="604" t="s">
        <v>1253</v>
      </c>
      <c r="C478" s="614" t="s">
        <v>1437</v>
      </c>
      <c r="D478" s="580"/>
      <c r="E478" s="981"/>
      <c r="F478" s="581"/>
      <c r="G478" s="581"/>
      <c r="H478" s="581"/>
      <c r="I478" s="949"/>
      <c r="J478" s="949"/>
      <c r="K478" s="949"/>
      <c r="L478" s="989"/>
      <c r="M478" s="575"/>
      <c r="N478" s="575"/>
      <c r="O478" s="575"/>
      <c r="P478" s="575"/>
      <c r="Q478" s="575"/>
      <c r="R478" s="575"/>
      <c r="S478" s="989"/>
      <c r="T478" s="575"/>
      <c r="U478" s="575"/>
      <c r="V478" s="575"/>
      <c r="W478" s="575"/>
      <c r="X478" s="575"/>
      <c r="Y478" s="575"/>
      <c r="Z478" s="989"/>
      <c r="AA478" s="575"/>
      <c r="AB478" s="575"/>
      <c r="AC478" s="575"/>
      <c r="AD478" s="575"/>
      <c r="AE478" s="827"/>
      <c r="AF478" s="575"/>
      <c r="AG478" s="960"/>
      <c r="AH478" s="842"/>
      <c r="AI478" s="839">
        <f t="shared" si="25"/>
        <v>0</v>
      </c>
      <c r="AJ478" s="949">
        <v>0</v>
      </c>
      <c r="AK478" s="581">
        <f t="shared" si="23"/>
        <v>0</v>
      </c>
      <c r="AL478" s="750" t="s">
        <v>1627</v>
      </c>
      <c r="AM478" s="743">
        <f t="shared" si="24"/>
        <v>9</v>
      </c>
    </row>
    <row r="479" spans="1:39" s="560" customFormat="1" hidden="1">
      <c r="A479" s="604" t="s">
        <v>946</v>
      </c>
      <c r="B479" s="604" t="s">
        <v>1254</v>
      </c>
      <c r="C479" s="614" t="s">
        <v>35</v>
      </c>
      <c r="D479" s="580"/>
      <c r="E479" s="981"/>
      <c r="F479" s="581"/>
      <c r="G479" s="581"/>
      <c r="H479" s="581"/>
      <c r="I479" s="949"/>
      <c r="J479" s="949"/>
      <c r="K479" s="949"/>
      <c r="L479" s="989"/>
      <c r="M479" s="575"/>
      <c r="N479" s="575"/>
      <c r="O479" s="575"/>
      <c r="P479" s="575"/>
      <c r="Q479" s="575"/>
      <c r="R479" s="575"/>
      <c r="S479" s="989"/>
      <c r="T479" s="575"/>
      <c r="U479" s="575"/>
      <c r="V479" s="575"/>
      <c r="W479" s="575"/>
      <c r="X479" s="575"/>
      <c r="Y479" s="575"/>
      <c r="Z479" s="989"/>
      <c r="AA479" s="575"/>
      <c r="AB479" s="575"/>
      <c r="AC479" s="575"/>
      <c r="AD479" s="575"/>
      <c r="AE479" s="827"/>
      <c r="AF479" s="575"/>
      <c r="AG479" s="960"/>
      <c r="AH479" s="842"/>
      <c r="AI479" s="839">
        <f t="shared" si="25"/>
        <v>0</v>
      </c>
      <c r="AJ479" s="949">
        <v>0</v>
      </c>
      <c r="AK479" s="581">
        <f t="shared" si="23"/>
        <v>0</v>
      </c>
      <c r="AL479" s="750" t="s">
        <v>1441</v>
      </c>
      <c r="AM479" s="743">
        <f t="shared" si="24"/>
        <v>1</v>
      </c>
    </row>
    <row r="480" spans="1:39" s="560" customFormat="1" hidden="1">
      <c r="A480" s="604" t="s">
        <v>947</v>
      </c>
      <c r="B480" s="604" t="s">
        <v>1282</v>
      </c>
      <c r="C480" s="614" t="s">
        <v>35</v>
      </c>
      <c r="D480" s="580"/>
      <c r="E480" s="981"/>
      <c r="F480" s="581"/>
      <c r="G480" s="581"/>
      <c r="H480" s="581"/>
      <c r="I480" s="949"/>
      <c r="J480" s="949"/>
      <c r="K480" s="949"/>
      <c r="L480" s="989"/>
      <c r="M480" s="575"/>
      <c r="N480" s="575"/>
      <c r="O480" s="575"/>
      <c r="P480" s="575"/>
      <c r="Q480" s="575"/>
      <c r="R480" s="575"/>
      <c r="S480" s="989"/>
      <c r="T480" s="575"/>
      <c r="U480" s="575"/>
      <c r="V480" s="575"/>
      <c r="W480" s="575"/>
      <c r="X480" s="575"/>
      <c r="Y480" s="575"/>
      <c r="Z480" s="989"/>
      <c r="AA480" s="575"/>
      <c r="AB480" s="575"/>
      <c r="AC480" s="575"/>
      <c r="AD480" s="575"/>
      <c r="AE480" s="827"/>
      <c r="AF480" s="575"/>
      <c r="AG480" s="960"/>
      <c r="AH480" s="842"/>
      <c r="AI480" s="839">
        <f t="shared" si="25"/>
        <v>0</v>
      </c>
      <c r="AJ480" s="949">
        <v>0</v>
      </c>
      <c r="AK480" s="581">
        <f t="shared" si="23"/>
        <v>0</v>
      </c>
      <c r="AL480" s="750" t="s">
        <v>1684</v>
      </c>
      <c r="AM480" s="743">
        <f t="shared" si="24"/>
        <v>2</v>
      </c>
    </row>
    <row r="481" spans="1:39" s="560" customFormat="1" hidden="1">
      <c r="A481" s="607" t="s">
        <v>948</v>
      </c>
      <c r="B481" s="607" t="s">
        <v>1255</v>
      </c>
      <c r="C481" s="690"/>
      <c r="D481" s="580"/>
      <c r="E481" s="981"/>
      <c r="F481" s="581"/>
      <c r="G481" s="581"/>
      <c r="H481" s="581"/>
      <c r="I481" s="949"/>
      <c r="J481" s="949"/>
      <c r="K481" s="949"/>
      <c r="L481" s="989"/>
      <c r="M481" s="575"/>
      <c r="N481" s="575"/>
      <c r="O481" s="575"/>
      <c r="P481" s="575"/>
      <c r="Q481" s="575"/>
      <c r="R481" s="575"/>
      <c r="S481" s="989"/>
      <c r="T481" s="575"/>
      <c r="U481" s="575"/>
      <c r="V481" s="575"/>
      <c r="W481" s="575"/>
      <c r="X481" s="575"/>
      <c r="Y481" s="575"/>
      <c r="Z481" s="989"/>
      <c r="AA481" s="575"/>
      <c r="AB481" s="575"/>
      <c r="AC481" s="575"/>
      <c r="AD481" s="575"/>
      <c r="AE481" s="827"/>
      <c r="AF481" s="575"/>
      <c r="AG481" s="960"/>
      <c r="AH481" s="842"/>
      <c r="AI481" s="839">
        <f t="shared" si="25"/>
        <v>0</v>
      </c>
      <c r="AJ481" s="949">
        <v>0</v>
      </c>
      <c r="AK481" s="581">
        <f t="shared" si="23"/>
        <v>0</v>
      </c>
      <c r="AL481" s="750"/>
      <c r="AM481" s="743">
        <f t="shared" si="24"/>
        <v>0</v>
      </c>
    </row>
    <row r="482" spans="1:39" s="560" customFormat="1" hidden="1">
      <c r="A482" s="604" t="s">
        <v>949</v>
      </c>
      <c r="B482" s="604" t="s">
        <v>1256</v>
      </c>
      <c r="C482" s="614" t="s">
        <v>36</v>
      </c>
      <c r="D482" s="580"/>
      <c r="E482" s="981"/>
      <c r="F482" s="581"/>
      <c r="G482" s="581"/>
      <c r="H482" s="581"/>
      <c r="I482" s="949"/>
      <c r="J482" s="949"/>
      <c r="K482" s="949"/>
      <c r="L482" s="989"/>
      <c r="M482" s="575"/>
      <c r="N482" s="575"/>
      <c r="O482" s="575"/>
      <c r="P482" s="575"/>
      <c r="Q482" s="575"/>
      <c r="R482" s="575"/>
      <c r="S482" s="989"/>
      <c r="T482" s="575"/>
      <c r="U482" s="575"/>
      <c r="V482" s="575"/>
      <c r="W482" s="575"/>
      <c r="X482" s="575"/>
      <c r="Y482" s="575"/>
      <c r="Z482" s="989"/>
      <c r="AA482" s="575"/>
      <c r="AB482" s="575"/>
      <c r="AC482" s="575"/>
      <c r="AD482" s="575"/>
      <c r="AE482" s="827"/>
      <c r="AF482" s="575"/>
      <c r="AG482" s="960"/>
      <c r="AH482" s="842"/>
      <c r="AI482" s="839">
        <f t="shared" si="25"/>
        <v>0</v>
      </c>
      <c r="AJ482" s="949">
        <v>0</v>
      </c>
      <c r="AK482" s="581">
        <f t="shared" si="23"/>
        <v>0</v>
      </c>
      <c r="AL482" s="750" t="s">
        <v>1710</v>
      </c>
      <c r="AM482" s="743">
        <f t="shared" si="24"/>
        <v>4.96</v>
      </c>
    </row>
    <row r="483" spans="1:39" s="560" customFormat="1" hidden="1">
      <c r="A483" s="604" t="s">
        <v>950</v>
      </c>
      <c r="B483" s="604" t="s">
        <v>1257</v>
      </c>
      <c r="C483" s="614" t="s">
        <v>36</v>
      </c>
      <c r="D483" s="580"/>
      <c r="E483" s="981"/>
      <c r="F483" s="581"/>
      <c r="G483" s="581"/>
      <c r="H483" s="581"/>
      <c r="I483" s="949"/>
      <c r="J483" s="949"/>
      <c r="K483" s="949"/>
      <c r="L483" s="989"/>
      <c r="M483" s="575"/>
      <c r="N483" s="575"/>
      <c r="O483" s="575"/>
      <c r="P483" s="575"/>
      <c r="Q483" s="575"/>
      <c r="R483" s="575"/>
      <c r="S483" s="989"/>
      <c r="T483" s="575"/>
      <c r="U483" s="575"/>
      <c r="V483" s="575"/>
      <c r="W483" s="575"/>
      <c r="X483" s="575"/>
      <c r="Y483" s="575"/>
      <c r="Z483" s="989"/>
      <c r="AA483" s="575"/>
      <c r="AB483" s="575"/>
      <c r="AC483" s="575"/>
      <c r="AD483" s="575"/>
      <c r="AE483" s="827"/>
      <c r="AF483" s="575"/>
      <c r="AG483" s="960"/>
      <c r="AH483" s="842"/>
      <c r="AI483" s="839">
        <f t="shared" si="25"/>
        <v>0</v>
      </c>
      <c r="AJ483" s="949">
        <v>0</v>
      </c>
      <c r="AK483" s="581">
        <f t="shared" si="23"/>
        <v>0</v>
      </c>
      <c r="AL483" s="750" t="s">
        <v>1474</v>
      </c>
      <c r="AM483" s="743">
        <f t="shared" si="24"/>
        <v>1.2</v>
      </c>
    </row>
    <row r="484" spans="1:39" s="560" customFormat="1" hidden="1">
      <c r="A484" s="607" t="s">
        <v>951</v>
      </c>
      <c r="B484" s="607" t="s">
        <v>1258</v>
      </c>
      <c r="C484" s="690"/>
      <c r="D484" s="580"/>
      <c r="E484" s="981"/>
      <c r="F484" s="581"/>
      <c r="G484" s="581"/>
      <c r="H484" s="581"/>
      <c r="I484" s="949"/>
      <c r="J484" s="949"/>
      <c r="K484" s="949"/>
      <c r="L484" s="989"/>
      <c r="M484" s="575"/>
      <c r="N484" s="575"/>
      <c r="O484" s="575"/>
      <c r="P484" s="575"/>
      <c r="Q484" s="575"/>
      <c r="R484" s="575"/>
      <c r="S484" s="989"/>
      <c r="T484" s="575"/>
      <c r="U484" s="575"/>
      <c r="V484" s="575"/>
      <c r="W484" s="575"/>
      <c r="X484" s="575"/>
      <c r="Y484" s="575"/>
      <c r="Z484" s="989"/>
      <c r="AA484" s="575"/>
      <c r="AB484" s="575"/>
      <c r="AC484" s="575"/>
      <c r="AD484" s="575"/>
      <c r="AE484" s="827"/>
      <c r="AF484" s="575"/>
      <c r="AG484" s="960"/>
      <c r="AH484" s="842"/>
      <c r="AI484" s="839">
        <f t="shared" si="25"/>
        <v>0</v>
      </c>
      <c r="AJ484" s="949">
        <v>0</v>
      </c>
      <c r="AK484" s="581">
        <f t="shared" si="23"/>
        <v>0</v>
      </c>
      <c r="AL484" s="750"/>
      <c r="AM484" s="743">
        <f t="shared" si="24"/>
        <v>0</v>
      </c>
    </row>
    <row r="485" spans="1:39" s="560" customFormat="1" hidden="1">
      <c r="A485" s="604" t="s">
        <v>952</v>
      </c>
      <c r="B485" s="604" t="s">
        <v>1259</v>
      </c>
      <c r="C485" s="614" t="s">
        <v>36</v>
      </c>
      <c r="D485" s="580"/>
      <c r="E485" s="981"/>
      <c r="F485" s="581"/>
      <c r="G485" s="581"/>
      <c r="H485" s="581"/>
      <c r="I485" s="949"/>
      <c r="J485" s="949"/>
      <c r="K485" s="949"/>
      <c r="L485" s="989"/>
      <c r="M485" s="575"/>
      <c r="N485" s="575"/>
      <c r="O485" s="575"/>
      <c r="P485" s="575"/>
      <c r="Q485" s="575"/>
      <c r="R485" s="575"/>
      <c r="S485" s="989"/>
      <c r="T485" s="575"/>
      <c r="U485" s="575"/>
      <c r="V485" s="575"/>
      <c r="W485" s="575"/>
      <c r="X485" s="575"/>
      <c r="Y485" s="575"/>
      <c r="Z485" s="989"/>
      <c r="AA485" s="575"/>
      <c r="AB485" s="575"/>
      <c r="AC485" s="575"/>
      <c r="AD485" s="575"/>
      <c r="AE485" s="827"/>
      <c r="AF485" s="575"/>
      <c r="AG485" s="960"/>
      <c r="AH485" s="842"/>
      <c r="AI485" s="839">
        <f t="shared" si="25"/>
        <v>0</v>
      </c>
      <c r="AJ485" s="949">
        <v>0</v>
      </c>
      <c r="AK485" s="581">
        <f t="shared" si="23"/>
        <v>0</v>
      </c>
      <c r="AL485" s="750" t="s">
        <v>1698</v>
      </c>
      <c r="AM485" s="743">
        <f t="shared" si="24"/>
        <v>33.950000000000003</v>
      </c>
    </row>
    <row r="486" spans="1:39" s="560" customFormat="1" hidden="1">
      <c r="A486" s="604" t="s">
        <v>953</v>
      </c>
      <c r="B486" s="604" t="s">
        <v>1260</v>
      </c>
      <c r="C486" s="614" t="s">
        <v>36</v>
      </c>
      <c r="D486" s="580"/>
      <c r="E486" s="981"/>
      <c r="F486" s="581"/>
      <c r="G486" s="581"/>
      <c r="H486" s="581"/>
      <c r="I486" s="949"/>
      <c r="J486" s="949"/>
      <c r="K486" s="949"/>
      <c r="L486" s="989"/>
      <c r="M486" s="575"/>
      <c r="N486" s="575"/>
      <c r="O486" s="575"/>
      <c r="P486" s="575"/>
      <c r="Q486" s="575"/>
      <c r="R486" s="575"/>
      <c r="S486" s="989"/>
      <c r="T486" s="575"/>
      <c r="U486" s="575"/>
      <c r="V486" s="575"/>
      <c r="W486" s="575"/>
      <c r="X486" s="575"/>
      <c r="Y486" s="575"/>
      <c r="Z486" s="989"/>
      <c r="AA486" s="575"/>
      <c r="AB486" s="575"/>
      <c r="AC486" s="575"/>
      <c r="AD486" s="575"/>
      <c r="AE486" s="827"/>
      <c r="AF486" s="575"/>
      <c r="AG486" s="960"/>
      <c r="AH486" s="842"/>
      <c r="AI486" s="839">
        <f t="shared" si="25"/>
        <v>0</v>
      </c>
      <c r="AJ486" s="949">
        <v>0</v>
      </c>
      <c r="AK486" s="581">
        <f t="shared" si="23"/>
        <v>0</v>
      </c>
      <c r="AL486" s="750" t="s">
        <v>1691</v>
      </c>
      <c r="AM486" s="743">
        <f t="shared" si="24"/>
        <v>77.680000000000007</v>
      </c>
    </row>
    <row r="487" spans="1:39" s="560" customFormat="1" hidden="1">
      <c r="A487" s="604" t="s">
        <v>954</v>
      </c>
      <c r="B487" s="604" t="s">
        <v>1261</v>
      </c>
      <c r="C487" s="614" t="s">
        <v>36</v>
      </c>
      <c r="D487" s="580"/>
      <c r="E487" s="981"/>
      <c r="F487" s="581"/>
      <c r="G487" s="581"/>
      <c r="H487" s="581"/>
      <c r="I487" s="949"/>
      <c r="J487" s="949"/>
      <c r="K487" s="949"/>
      <c r="L487" s="989"/>
      <c r="M487" s="575"/>
      <c r="N487" s="575"/>
      <c r="O487" s="575"/>
      <c r="P487" s="575"/>
      <c r="Q487" s="575"/>
      <c r="R487" s="575"/>
      <c r="S487" s="989"/>
      <c r="T487" s="575"/>
      <c r="U487" s="575"/>
      <c r="V487" s="575"/>
      <c r="W487" s="575"/>
      <c r="X487" s="575"/>
      <c r="Y487" s="575"/>
      <c r="Z487" s="989"/>
      <c r="AA487" s="575"/>
      <c r="AB487" s="575"/>
      <c r="AC487" s="575"/>
      <c r="AD487" s="575"/>
      <c r="AE487" s="827"/>
      <c r="AF487" s="575"/>
      <c r="AG487" s="960"/>
      <c r="AH487" s="842"/>
      <c r="AI487" s="839">
        <f t="shared" si="25"/>
        <v>0</v>
      </c>
      <c r="AJ487" s="949">
        <v>0</v>
      </c>
      <c r="AK487" s="581">
        <f t="shared" si="23"/>
        <v>0</v>
      </c>
      <c r="AL487" s="750" t="s">
        <v>1692</v>
      </c>
      <c r="AM487" s="743">
        <f t="shared" si="24"/>
        <v>51.98</v>
      </c>
    </row>
    <row r="488" spans="1:39" s="560" customFormat="1" hidden="1">
      <c r="A488" s="604" t="s">
        <v>955</v>
      </c>
      <c r="B488" s="604" t="s">
        <v>1262</v>
      </c>
      <c r="C488" s="614" t="s">
        <v>36</v>
      </c>
      <c r="D488" s="580"/>
      <c r="E488" s="981"/>
      <c r="F488" s="581"/>
      <c r="G488" s="581"/>
      <c r="H488" s="581"/>
      <c r="I488" s="949"/>
      <c r="J488" s="949"/>
      <c r="K488" s="949"/>
      <c r="L488" s="989"/>
      <c r="M488" s="575"/>
      <c r="N488" s="575"/>
      <c r="O488" s="575"/>
      <c r="P488" s="575"/>
      <c r="Q488" s="575"/>
      <c r="R488" s="575"/>
      <c r="S488" s="989"/>
      <c r="T488" s="575"/>
      <c r="U488" s="575"/>
      <c r="V488" s="575"/>
      <c r="W488" s="575"/>
      <c r="X488" s="575"/>
      <c r="Y488" s="575"/>
      <c r="Z488" s="989"/>
      <c r="AA488" s="575"/>
      <c r="AB488" s="575"/>
      <c r="AC488" s="575"/>
      <c r="AD488" s="575"/>
      <c r="AE488" s="827"/>
      <c r="AF488" s="575"/>
      <c r="AG488" s="960"/>
      <c r="AH488" s="842"/>
      <c r="AI488" s="839">
        <f t="shared" si="25"/>
        <v>0</v>
      </c>
      <c r="AJ488" s="949">
        <v>0</v>
      </c>
      <c r="AK488" s="581">
        <f t="shared" si="23"/>
        <v>0</v>
      </c>
      <c r="AL488" s="750" t="s">
        <v>1693</v>
      </c>
      <c r="AM488" s="743">
        <f t="shared" si="24"/>
        <v>12</v>
      </c>
    </row>
    <row r="489" spans="1:39" s="560" customFormat="1" hidden="1">
      <c r="A489" s="604" t="s">
        <v>956</v>
      </c>
      <c r="B489" s="604" t="s">
        <v>1263</v>
      </c>
      <c r="C489" s="614" t="s">
        <v>36</v>
      </c>
      <c r="D489" s="580"/>
      <c r="E489" s="981"/>
      <c r="F489" s="581"/>
      <c r="G489" s="581"/>
      <c r="H489" s="581"/>
      <c r="I489" s="949"/>
      <c r="J489" s="949"/>
      <c r="K489" s="949"/>
      <c r="L489" s="989"/>
      <c r="M489" s="575"/>
      <c r="N489" s="575"/>
      <c r="O489" s="575"/>
      <c r="P489" s="575"/>
      <c r="Q489" s="575"/>
      <c r="R489" s="575"/>
      <c r="S489" s="989"/>
      <c r="T489" s="575"/>
      <c r="U489" s="575"/>
      <c r="V489" s="575"/>
      <c r="W489" s="575"/>
      <c r="X489" s="575"/>
      <c r="Y489" s="575"/>
      <c r="Z489" s="989"/>
      <c r="AA489" s="575"/>
      <c r="AB489" s="575"/>
      <c r="AC489" s="575"/>
      <c r="AD489" s="575"/>
      <c r="AE489" s="827"/>
      <c r="AF489" s="575"/>
      <c r="AG489" s="960"/>
      <c r="AH489" s="842"/>
      <c r="AI489" s="839">
        <f t="shared" si="25"/>
        <v>0</v>
      </c>
      <c r="AJ489" s="949">
        <v>0</v>
      </c>
      <c r="AK489" s="581">
        <f t="shared" si="23"/>
        <v>0</v>
      </c>
      <c r="AL489" s="750" t="s">
        <v>1694</v>
      </c>
      <c r="AM489" s="743">
        <f t="shared" si="24"/>
        <v>19.97</v>
      </c>
    </row>
    <row r="490" spans="1:39" s="560" customFormat="1" hidden="1">
      <c r="A490" s="604" t="s">
        <v>957</v>
      </c>
      <c r="B490" s="604" t="s">
        <v>1264</v>
      </c>
      <c r="C490" s="614" t="s">
        <v>36</v>
      </c>
      <c r="D490" s="580"/>
      <c r="E490" s="981"/>
      <c r="F490" s="581"/>
      <c r="G490" s="581"/>
      <c r="H490" s="581"/>
      <c r="I490" s="949"/>
      <c r="J490" s="949"/>
      <c r="K490" s="949"/>
      <c r="L490" s="989"/>
      <c r="M490" s="575"/>
      <c r="N490" s="575"/>
      <c r="O490" s="575"/>
      <c r="P490" s="575"/>
      <c r="Q490" s="575"/>
      <c r="R490" s="575"/>
      <c r="S490" s="989"/>
      <c r="T490" s="575"/>
      <c r="U490" s="575"/>
      <c r="V490" s="575"/>
      <c r="W490" s="575"/>
      <c r="X490" s="575"/>
      <c r="Y490" s="575"/>
      <c r="Z490" s="989"/>
      <c r="AA490" s="575"/>
      <c r="AB490" s="575"/>
      <c r="AC490" s="575"/>
      <c r="AD490" s="575"/>
      <c r="AE490" s="827"/>
      <c r="AF490" s="575"/>
      <c r="AG490" s="960"/>
      <c r="AH490" s="842"/>
      <c r="AI490" s="839">
        <f t="shared" si="25"/>
        <v>0</v>
      </c>
      <c r="AJ490" s="949">
        <v>0</v>
      </c>
      <c r="AK490" s="581">
        <f t="shared" si="23"/>
        <v>0</v>
      </c>
      <c r="AL490" s="750" t="s">
        <v>1703</v>
      </c>
      <c r="AM490" s="743">
        <f t="shared" si="24"/>
        <v>6.91</v>
      </c>
    </row>
    <row r="491" spans="1:39" s="560" customFormat="1" hidden="1">
      <c r="A491" s="604" t="s">
        <v>958</v>
      </c>
      <c r="B491" s="604" t="s">
        <v>1265</v>
      </c>
      <c r="C491" s="614" t="s">
        <v>36</v>
      </c>
      <c r="D491" s="580"/>
      <c r="E491" s="981"/>
      <c r="F491" s="581"/>
      <c r="G491" s="581"/>
      <c r="H491" s="581"/>
      <c r="I491" s="949"/>
      <c r="J491" s="949"/>
      <c r="K491" s="949"/>
      <c r="L491" s="989"/>
      <c r="M491" s="575"/>
      <c r="N491" s="575"/>
      <c r="O491" s="575"/>
      <c r="P491" s="575"/>
      <c r="Q491" s="575"/>
      <c r="R491" s="575"/>
      <c r="S491" s="989"/>
      <c r="T491" s="575"/>
      <c r="U491" s="575"/>
      <c r="V491" s="575"/>
      <c r="W491" s="575"/>
      <c r="X491" s="575"/>
      <c r="Y491" s="575"/>
      <c r="Z491" s="989"/>
      <c r="AA491" s="575"/>
      <c r="AB491" s="575"/>
      <c r="AC491" s="575"/>
      <c r="AD491" s="575"/>
      <c r="AE491" s="827"/>
      <c r="AF491" s="575"/>
      <c r="AG491" s="960"/>
      <c r="AH491" s="842"/>
      <c r="AI491" s="839">
        <f t="shared" si="25"/>
        <v>0</v>
      </c>
      <c r="AJ491" s="949">
        <v>0</v>
      </c>
      <c r="AK491" s="581">
        <f t="shared" si="23"/>
        <v>0</v>
      </c>
      <c r="AL491" s="750" t="s">
        <v>1711</v>
      </c>
      <c r="AM491" s="743">
        <f t="shared" si="24"/>
        <v>10.5</v>
      </c>
    </row>
    <row r="492" spans="1:39" s="560" customFormat="1" hidden="1">
      <c r="A492" s="607" t="s">
        <v>959</v>
      </c>
      <c r="B492" s="607" t="s">
        <v>1266</v>
      </c>
      <c r="C492" s="690"/>
      <c r="D492" s="580"/>
      <c r="E492" s="981"/>
      <c r="F492" s="581"/>
      <c r="G492" s="581"/>
      <c r="H492" s="581"/>
      <c r="I492" s="949"/>
      <c r="J492" s="949"/>
      <c r="K492" s="949"/>
      <c r="L492" s="989"/>
      <c r="M492" s="575"/>
      <c r="N492" s="575"/>
      <c r="O492" s="575"/>
      <c r="P492" s="575"/>
      <c r="Q492" s="575"/>
      <c r="R492" s="575"/>
      <c r="S492" s="989"/>
      <c r="T492" s="575"/>
      <c r="U492" s="575"/>
      <c r="V492" s="575"/>
      <c r="W492" s="575"/>
      <c r="X492" s="575"/>
      <c r="Y492" s="575"/>
      <c r="Z492" s="989"/>
      <c r="AA492" s="575"/>
      <c r="AB492" s="575"/>
      <c r="AC492" s="575"/>
      <c r="AD492" s="575"/>
      <c r="AE492" s="827"/>
      <c r="AF492" s="575"/>
      <c r="AG492" s="960"/>
      <c r="AH492" s="842"/>
      <c r="AI492" s="839">
        <f t="shared" si="25"/>
        <v>0</v>
      </c>
      <c r="AJ492" s="949">
        <v>0</v>
      </c>
      <c r="AK492" s="581">
        <f t="shared" si="23"/>
        <v>0</v>
      </c>
      <c r="AL492" s="750"/>
      <c r="AM492" s="743">
        <f t="shared" si="24"/>
        <v>0</v>
      </c>
    </row>
    <row r="493" spans="1:39" s="560" customFormat="1" hidden="1">
      <c r="A493" s="604" t="s">
        <v>960</v>
      </c>
      <c r="B493" s="604" t="s">
        <v>1267</v>
      </c>
      <c r="C493" s="614" t="s">
        <v>1436</v>
      </c>
      <c r="D493" s="580"/>
      <c r="E493" s="981"/>
      <c r="F493" s="581"/>
      <c r="G493" s="581"/>
      <c r="H493" s="581"/>
      <c r="I493" s="949"/>
      <c r="J493" s="949"/>
      <c r="K493" s="949"/>
      <c r="L493" s="989"/>
      <c r="M493" s="575"/>
      <c r="N493" s="575"/>
      <c r="O493" s="575"/>
      <c r="P493" s="575"/>
      <c r="Q493" s="575"/>
      <c r="R493" s="575"/>
      <c r="S493" s="989"/>
      <c r="T493" s="575"/>
      <c r="U493" s="575"/>
      <c r="V493" s="575"/>
      <c r="W493" s="575"/>
      <c r="X493" s="575"/>
      <c r="Y493" s="575"/>
      <c r="Z493" s="989"/>
      <c r="AA493" s="575"/>
      <c r="AB493" s="575"/>
      <c r="AC493" s="575"/>
      <c r="AD493" s="575"/>
      <c r="AE493" s="827"/>
      <c r="AF493" s="575"/>
      <c r="AG493" s="960"/>
      <c r="AH493" s="842"/>
      <c r="AI493" s="839">
        <f t="shared" si="25"/>
        <v>0</v>
      </c>
      <c r="AJ493" s="949">
        <v>0</v>
      </c>
      <c r="AK493" s="581">
        <f t="shared" si="23"/>
        <v>0</v>
      </c>
      <c r="AL493" s="750" t="s">
        <v>1712</v>
      </c>
      <c r="AM493" s="743">
        <f t="shared" si="24"/>
        <v>11</v>
      </c>
    </row>
    <row r="494" spans="1:39" s="560" customFormat="1" hidden="1">
      <c r="A494" s="604" t="s">
        <v>961</v>
      </c>
      <c r="B494" s="604" t="s">
        <v>1268</v>
      </c>
      <c r="C494" s="614" t="s">
        <v>63</v>
      </c>
      <c r="D494" s="580"/>
      <c r="E494" s="981"/>
      <c r="F494" s="581"/>
      <c r="G494" s="581"/>
      <c r="H494" s="581"/>
      <c r="I494" s="949"/>
      <c r="J494" s="949"/>
      <c r="K494" s="949"/>
      <c r="L494" s="989"/>
      <c r="M494" s="575"/>
      <c r="N494" s="575"/>
      <c r="O494" s="575"/>
      <c r="P494" s="575"/>
      <c r="Q494" s="575"/>
      <c r="R494" s="575"/>
      <c r="S494" s="989"/>
      <c r="T494" s="575"/>
      <c r="U494" s="575"/>
      <c r="V494" s="575"/>
      <c r="W494" s="575"/>
      <c r="X494" s="575"/>
      <c r="Y494" s="575"/>
      <c r="Z494" s="989"/>
      <c r="AA494" s="575"/>
      <c r="AB494" s="575"/>
      <c r="AC494" s="575"/>
      <c r="AD494" s="575"/>
      <c r="AE494" s="827"/>
      <c r="AF494" s="575"/>
      <c r="AG494" s="960"/>
      <c r="AH494" s="842"/>
      <c r="AI494" s="839">
        <f t="shared" si="25"/>
        <v>0</v>
      </c>
      <c r="AJ494" s="949">
        <v>0</v>
      </c>
      <c r="AK494" s="581">
        <f t="shared" si="23"/>
        <v>0</v>
      </c>
      <c r="AL494" s="750" t="s">
        <v>1441</v>
      </c>
      <c r="AM494" s="743">
        <f t="shared" si="24"/>
        <v>1</v>
      </c>
    </row>
    <row r="495" spans="1:39" s="560" customFormat="1" hidden="1">
      <c r="A495" s="604" t="s">
        <v>962</v>
      </c>
      <c r="B495" s="604" t="s">
        <v>1269</v>
      </c>
      <c r="C495" s="614" t="s">
        <v>36</v>
      </c>
      <c r="D495" s="580"/>
      <c r="E495" s="981"/>
      <c r="F495" s="581"/>
      <c r="G495" s="581"/>
      <c r="H495" s="581"/>
      <c r="I495" s="949"/>
      <c r="J495" s="949"/>
      <c r="K495" s="949"/>
      <c r="L495" s="989"/>
      <c r="M495" s="575"/>
      <c r="N495" s="575"/>
      <c r="O495" s="575"/>
      <c r="P495" s="575"/>
      <c r="Q495" s="575"/>
      <c r="R495" s="575"/>
      <c r="S495" s="989"/>
      <c r="T495" s="575"/>
      <c r="U495" s="575"/>
      <c r="V495" s="575"/>
      <c r="W495" s="575"/>
      <c r="X495" s="575"/>
      <c r="Y495" s="575"/>
      <c r="Z495" s="989"/>
      <c r="AA495" s="575"/>
      <c r="AB495" s="575"/>
      <c r="AC495" s="575"/>
      <c r="AD495" s="575"/>
      <c r="AE495" s="827"/>
      <c r="AF495" s="575"/>
      <c r="AG495" s="960"/>
      <c r="AH495" s="842"/>
      <c r="AI495" s="839">
        <f t="shared" si="25"/>
        <v>0</v>
      </c>
      <c r="AJ495" s="949">
        <v>0</v>
      </c>
      <c r="AK495" s="581">
        <f t="shared" si="23"/>
        <v>0</v>
      </c>
      <c r="AL495" s="750" t="s">
        <v>1713</v>
      </c>
      <c r="AM495" s="743">
        <f t="shared" si="24"/>
        <v>8.15</v>
      </c>
    </row>
    <row r="496" spans="1:39" s="782" customFormat="1" hidden="1">
      <c r="A496" s="868" t="s">
        <v>512</v>
      </c>
      <c r="B496" s="869" t="s">
        <v>1284</v>
      </c>
      <c r="C496" s="898"/>
      <c r="D496" s="795"/>
      <c r="E496" s="981"/>
      <c r="F496" s="778"/>
      <c r="G496" s="778"/>
      <c r="H496" s="778"/>
      <c r="I496" s="777"/>
      <c r="J496" s="777"/>
      <c r="K496" s="777"/>
      <c r="L496" s="989"/>
      <c r="M496" s="809"/>
      <c r="N496" s="809"/>
      <c r="O496" s="809"/>
      <c r="P496" s="809"/>
      <c r="Q496" s="809"/>
      <c r="R496" s="809"/>
      <c r="S496" s="989"/>
      <c r="T496" s="809"/>
      <c r="U496" s="809"/>
      <c r="V496" s="809"/>
      <c r="W496" s="809"/>
      <c r="X496" s="809"/>
      <c r="Y496" s="809"/>
      <c r="Z496" s="989"/>
      <c r="AA496" s="809"/>
      <c r="AB496" s="809"/>
      <c r="AC496" s="809"/>
      <c r="AD496" s="809"/>
      <c r="AE496" s="827"/>
      <c r="AF496" s="809"/>
      <c r="AG496" s="960"/>
      <c r="AH496" s="873"/>
      <c r="AI496" s="839">
        <f t="shared" si="25"/>
        <v>0</v>
      </c>
      <c r="AJ496" s="777">
        <v>0</v>
      </c>
      <c r="AK496" s="778">
        <f t="shared" si="23"/>
        <v>0</v>
      </c>
      <c r="AL496" s="901"/>
      <c r="AM496" s="781">
        <f t="shared" si="24"/>
        <v>0</v>
      </c>
    </row>
    <row r="497" spans="1:39" s="782" customFormat="1" hidden="1">
      <c r="A497" s="885" t="s">
        <v>513</v>
      </c>
      <c r="B497" s="885" t="s">
        <v>1222</v>
      </c>
      <c r="C497" s="898"/>
      <c r="D497" s="795"/>
      <c r="E497" s="981"/>
      <c r="F497" s="778"/>
      <c r="G497" s="778"/>
      <c r="H497" s="778"/>
      <c r="I497" s="777"/>
      <c r="J497" s="777"/>
      <c r="K497" s="777"/>
      <c r="L497" s="989"/>
      <c r="M497" s="809"/>
      <c r="N497" s="809"/>
      <c r="O497" s="809"/>
      <c r="P497" s="809"/>
      <c r="Q497" s="809"/>
      <c r="R497" s="809"/>
      <c r="S497" s="989"/>
      <c r="T497" s="809"/>
      <c r="U497" s="809"/>
      <c r="V497" s="809"/>
      <c r="W497" s="809"/>
      <c r="X497" s="809"/>
      <c r="Y497" s="809"/>
      <c r="Z497" s="989"/>
      <c r="AA497" s="809"/>
      <c r="AB497" s="809"/>
      <c r="AC497" s="809"/>
      <c r="AD497" s="809"/>
      <c r="AE497" s="827"/>
      <c r="AF497" s="809"/>
      <c r="AG497" s="960"/>
      <c r="AH497" s="873"/>
      <c r="AI497" s="839">
        <f t="shared" si="25"/>
        <v>0</v>
      </c>
      <c r="AJ497" s="777">
        <v>0</v>
      </c>
      <c r="AK497" s="778">
        <f t="shared" si="23"/>
        <v>0</v>
      </c>
      <c r="AL497" s="901"/>
      <c r="AM497" s="781">
        <f t="shared" si="24"/>
        <v>0</v>
      </c>
    </row>
    <row r="498" spans="1:39" s="782" customFormat="1" hidden="1">
      <c r="A498" s="772" t="s">
        <v>514</v>
      </c>
      <c r="B498" s="772" t="s">
        <v>1285</v>
      </c>
      <c r="C498" s="877" t="s">
        <v>36</v>
      </c>
      <c r="D498" s="795"/>
      <c r="E498" s="981"/>
      <c r="F498" s="778"/>
      <c r="G498" s="778"/>
      <c r="H498" s="778"/>
      <c r="I498" s="777"/>
      <c r="J498" s="777"/>
      <c r="K498" s="777"/>
      <c r="L498" s="989"/>
      <c r="M498" s="809"/>
      <c r="N498" s="809"/>
      <c r="O498" s="809"/>
      <c r="P498" s="809"/>
      <c r="Q498" s="809"/>
      <c r="R498" s="809"/>
      <c r="S498" s="989"/>
      <c r="T498" s="809"/>
      <c r="U498" s="809"/>
      <c r="V498" s="809"/>
      <c r="W498" s="809"/>
      <c r="X498" s="809"/>
      <c r="Y498" s="809"/>
      <c r="Z498" s="989"/>
      <c r="AA498" s="809"/>
      <c r="AB498" s="809"/>
      <c r="AC498" s="809"/>
      <c r="AD498" s="809"/>
      <c r="AE498" s="827"/>
      <c r="AF498" s="809"/>
      <c r="AG498" s="960"/>
      <c r="AH498" s="873"/>
      <c r="AI498" s="839">
        <f t="shared" si="25"/>
        <v>0</v>
      </c>
      <c r="AJ498" s="777">
        <v>0</v>
      </c>
      <c r="AK498" s="778">
        <f t="shared" si="23"/>
        <v>0</v>
      </c>
      <c r="AL498" s="901" t="s">
        <v>1714</v>
      </c>
      <c r="AM498" s="781">
        <f t="shared" si="24"/>
        <v>239.98</v>
      </c>
    </row>
    <row r="499" spans="1:39" s="560" customFormat="1" hidden="1">
      <c r="A499" s="607" t="s">
        <v>963</v>
      </c>
      <c r="B499" s="607" t="s">
        <v>1225</v>
      </c>
      <c r="C499" s="690"/>
      <c r="D499" s="580"/>
      <c r="E499" s="981"/>
      <c r="F499" s="581"/>
      <c r="G499" s="581"/>
      <c r="H499" s="581"/>
      <c r="I499" s="949"/>
      <c r="J499" s="949"/>
      <c r="K499" s="949"/>
      <c r="L499" s="989"/>
      <c r="M499" s="575"/>
      <c r="N499" s="575"/>
      <c r="O499" s="575"/>
      <c r="P499" s="575"/>
      <c r="Q499" s="575"/>
      <c r="R499" s="575"/>
      <c r="S499" s="989"/>
      <c r="T499" s="575"/>
      <c r="U499" s="575"/>
      <c r="V499" s="575"/>
      <c r="W499" s="575"/>
      <c r="X499" s="575"/>
      <c r="Y499" s="575"/>
      <c r="Z499" s="989"/>
      <c r="AA499" s="575"/>
      <c r="AB499" s="575"/>
      <c r="AC499" s="575"/>
      <c r="AD499" s="575"/>
      <c r="AE499" s="827"/>
      <c r="AF499" s="575"/>
      <c r="AG499" s="960"/>
      <c r="AH499" s="842"/>
      <c r="AI499" s="839">
        <f t="shared" si="25"/>
        <v>0</v>
      </c>
      <c r="AJ499" s="949">
        <v>0</v>
      </c>
      <c r="AK499" s="581">
        <f t="shared" si="23"/>
        <v>0</v>
      </c>
      <c r="AL499" s="750"/>
      <c r="AM499" s="743">
        <f t="shared" si="24"/>
        <v>0</v>
      </c>
    </row>
    <row r="500" spans="1:39" s="560" customFormat="1" hidden="1">
      <c r="A500" s="604" t="s">
        <v>964</v>
      </c>
      <c r="B500" s="604" t="s">
        <v>1286</v>
      </c>
      <c r="C500" s="614" t="s">
        <v>36</v>
      </c>
      <c r="D500" s="580"/>
      <c r="E500" s="981"/>
      <c r="F500" s="581"/>
      <c r="G500" s="581"/>
      <c r="H500" s="581"/>
      <c r="I500" s="949"/>
      <c r="J500" s="949"/>
      <c r="K500" s="949"/>
      <c r="L500" s="989"/>
      <c r="M500" s="575"/>
      <c r="N500" s="575"/>
      <c r="O500" s="575"/>
      <c r="P500" s="575"/>
      <c r="Q500" s="575"/>
      <c r="R500" s="575"/>
      <c r="S500" s="989"/>
      <c r="T500" s="575"/>
      <c r="U500" s="575"/>
      <c r="V500" s="575"/>
      <c r="W500" s="575"/>
      <c r="X500" s="575"/>
      <c r="Y500" s="575"/>
      <c r="Z500" s="989"/>
      <c r="AA500" s="575"/>
      <c r="AB500" s="575"/>
      <c r="AC500" s="575"/>
      <c r="AD500" s="575"/>
      <c r="AE500" s="827"/>
      <c r="AF500" s="575"/>
      <c r="AG500" s="960"/>
      <c r="AH500" s="842"/>
      <c r="AI500" s="839">
        <f t="shared" si="25"/>
        <v>0</v>
      </c>
      <c r="AJ500" s="949">
        <v>0</v>
      </c>
      <c r="AK500" s="581">
        <f t="shared" si="23"/>
        <v>0</v>
      </c>
      <c r="AL500" s="750" t="s">
        <v>1715</v>
      </c>
      <c r="AM500" s="743">
        <f t="shared" si="24"/>
        <v>117.85</v>
      </c>
    </row>
    <row r="501" spans="1:39" s="560" customFormat="1" hidden="1">
      <c r="A501" s="604" t="s">
        <v>965</v>
      </c>
      <c r="B501" s="604" t="s">
        <v>1287</v>
      </c>
      <c r="C501" s="614" t="s">
        <v>36</v>
      </c>
      <c r="D501" s="580"/>
      <c r="E501" s="981"/>
      <c r="F501" s="581"/>
      <c r="G501" s="581"/>
      <c r="H501" s="581"/>
      <c r="I501" s="949"/>
      <c r="J501" s="949"/>
      <c r="K501" s="949"/>
      <c r="L501" s="989"/>
      <c r="M501" s="575"/>
      <c r="N501" s="575"/>
      <c r="O501" s="575"/>
      <c r="P501" s="575"/>
      <c r="Q501" s="575"/>
      <c r="R501" s="575"/>
      <c r="S501" s="989"/>
      <c r="T501" s="575"/>
      <c r="U501" s="575"/>
      <c r="V501" s="575"/>
      <c r="W501" s="575"/>
      <c r="X501" s="575"/>
      <c r="Y501" s="575"/>
      <c r="Z501" s="989"/>
      <c r="AA501" s="575"/>
      <c r="AB501" s="575"/>
      <c r="AC501" s="575"/>
      <c r="AD501" s="575"/>
      <c r="AE501" s="827"/>
      <c r="AF501" s="575"/>
      <c r="AG501" s="960"/>
      <c r="AH501" s="842"/>
      <c r="AI501" s="839">
        <f t="shared" si="25"/>
        <v>0</v>
      </c>
      <c r="AJ501" s="949">
        <v>0</v>
      </c>
      <c r="AK501" s="581">
        <f t="shared" si="23"/>
        <v>0</v>
      </c>
      <c r="AL501" s="750" t="s">
        <v>1716</v>
      </c>
      <c r="AM501" s="743">
        <f t="shared" si="24"/>
        <v>65.94</v>
      </c>
    </row>
    <row r="502" spans="1:39" s="560" customFormat="1" hidden="1">
      <c r="A502" s="604" t="s">
        <v>966</v>
      </c>
      <c r="B502" s="604" t="s">
        <v>1288</v>
      </c>
      <c r="C502" s="614" t="s">
        <v>36</v>
      </c>
      <c r="D502" s="580"/>
      <c r="E502" s="981"/>
      <c r="F502" s="581"/>
      <c r="G502" s="581"/>
      <c r="H502" s="581"/>
      <c r="I502" s="949"/>
      <c r="J502" s="949"/>
      <c r="K502" s="949"/>
      <c r="L502" s="989"/>
      <c r="M502" s="575"/>
      <c r="N502" s="575"/>
      <c r="O502" s="575"/>
      <c r="P502" s="575"/>
      <c r="Q502" s="575"/>
      <c r="R502" s="575"/>
      <c r="S502" s="989"/>
      <c r="T502" s="575"/>
      <c r="U502" s="575"/>
      <c r="V502" s="575"/>
      <c r="W502" s="575"/>
      <c r="X502" s="575"/>
      <c r="Y502" s="575"/>
      <c r="Z502" s="989"/>
      <c r="AA502" s="575"/>
      <c r="AB502" s="575"/>
      <c r="AC502" s="575"/>
      <c r="AD502" s="575"/>
      <c r="AE502" s="827"/>
      <c r="AF502" s="575"/>
      <c r="AG502" s="960"/>
      <c r="AH502" s="842"/>
      <c r="AI502" s="839">
        <f t="shared" si="25"/>
        <v>0</v>
      </c>
      <c r="AJ502" s="949">
        <v>0</v>
      </c>
      <c r="AK502" s="581">
        <f t="shared" si="23"/>
        <v>0</v>
      </c>
      <c r="AL502" s="750" t="s">
        <v>1576</v>
      </c>
      <c r="AM502" s="743">
        <f t="shared" si="24"/>
        <v>49.66</v>
      </c>
    </row>
    <row r="503" spans="1:39" s="560" customFormat="1" hidden="1">
      <c r="A503" s="607" t="s">
        <v>967</v>
      </c>
      <c r="B503" s="607" t="s">
        <v>1277</v>
      </c>
      <c r="C503" s="690"/>
      <c r="D503" s="580"/>
      <c r="E503" s="981"/>
      <c r="F503" s="581"/>
      <c r="G503" s="581"/>
      <c r="H503" s="581"/>
      <c r="I503" s="949"/>
      <c r="J503" s="949"/>
      <c r="K503" s="949"/>
      <c r="L503" s="989"/>
      <c r="M503" s="575"/>
      <c r="N503" s="575"/>
      <c r="O503" s="575"/>
      <c r="P503" s="575"/>
      <c r="Q503" s="575"/>
      <c r="R503" s="575"/>
      <c r="S503" s="989"/>
      <c r="T503" s="575"/>
      <c r="U503" s="575"/>
      <c r="V503" s="575"/>
      <c r="W503" s="575"/>
      <c r="X503" s="575"/>
      <c r="Y503" s="575"/>
      <c r="Z503" s="989"/>
      <c r="AA503" s="575"/>
      <c r="AB503" s="575"/>
      <c r="AC503" s="575"/>
      <c r="AD503" s="575"/>
      <c r="AE503" s="827"/>
      <c r="AF503" s="575"/>
      <c r="AG503" s="960"/>
      <c r="AH503" s="842"/>
      <c r="AI503" s="839">
        <f t="shared" si="25"/>
        <v>0</v>
      </c>
      <c r="AJ503" s="949">
        <v>0</v>
      </c>
      <c r="AK503" s="581">
        <f t="shared" si="23"/>
        <v>0</v>
      </c>
      <c r="AL503" s="750"/>
      <c r="AM503" s="743">
        <f t="shared" si="24"/>
        <v>0</v>
      </c>
    </row>
    <row r="504" spans="1:39" s="560" customFormat="1" hidden="1">
      <c r="A504" s="604" t="s">
        <v>968</v>
      </c>
      <c r="B504" s="604" t="s">
        <v>1289</v>
      </c>
      <c r="C504" s="614" t="s">
        <v>36</v>
      </c>
      <c r="D504" s="580"/>
      <c r="E504" s="981"/>
      <c r="F504" s="581"/>
      <c r="G504" s="581"/>
      <c r="H504" s="581"/>
      <c r="I504" s="949"/>
      <c r="J504" s="949"/>
      <c r="K504" s="949"/>
      <c r="L504" s="989"/>
      <c r="M504" s="575"/>
      <c r="N504" s="575"/>
      <c r="O504" s="575"/>
      <c r="P504" s="575"/>
      <c r="Q504" s="575"/>
      <c r="R504" s="575"/>
      <c r="S504" s="989"/>
      <c r="T504" s="575"/>
      <c r="U504" s="575"/>
      <c r="V504" s="575"/>
      <c r="W504" s="575"/>
      <c r="X504" s="575"/>
      <c r="Y504" s="575"/>
      <c r="Z504" s="989"/>
      <c r="AA504" s="575"/>
      <c r="AB504" s="575"/>
      <c r="AC504" s="575"/>
      <c r="AD504" s="575"/>
      <c r="AE504" s="827"/>
      <c r="AF504" s="575"/>
      <c r="AG504" s="960"/>
      <c r="AH504" s="842"/>
      <c r="AI504" s="839">
        <f t="shared" si="25"/>
        <v>0</v>
      </c>
      <c r="AJ504" s="949">
        <v>0</v>
      </c>
      <c r="AK504" s="581">
        <f t="shared" si="23"/>
        <v>0</v>
      </c>
      <c r="AL504" s="750" t="s">
        <v>1717</v>
      </c>
      <c r="AM504" s="743">
        <f t="shared" si="24"/>
        <v>7.98</v>
      </c>
    </row>
    <row r="505" spans="1:39" s="560" customFormat="1" hidden="1">
      <c r="A505" s="607" t="s">
        <v>969</v>
      </c>
      <c r="B505" s="607" t="s">
        <v>1258</v>
      </c>
      <c r="C505" s="690"/>
      <c r="D505" s="580"/>
      <c r="E505" s="981"/>
      <c r="F505" s="581"/>
      <c r="G505" s="581"/>
      <c r="H505" s="581"/>
      <c r="I505" s="949"/>
      <c r="J505" s="949"/>
      <c r="K505" s="949"/>
      <c r="L505" s="989"/>
      <c r="M505" s="575"/>
      <c r="N505" s="575"/>
      <c r="O505" s="575"/>
      <c r="P505" s="575"/>
      <c r="Q505" s="575"/>
      <c r="R505" s="575"/>
      <c r="S505" s="989"/>
      <c r="T505" s="575"/>
      <c r="U505" s="575"/>
      <c r="V505" s="575"/>
      <c r="W505" s="575"/>
      <c r="X505" s="575"/>
      <c r="Y505" s="575"/>
      <c r="Z505" s="989"/>
      <c r="AA505" s="575"/>
      <c r="AB505" s="575"/>
      <c r="AC505" s="575"/>
      <c r="AD505" s="575"/>
      <c r="AE505" s="827"/>
      <c r="AF505" s="575"/>
      <c r="AG505" s="960"/>
      <c r="AH505" s="842"/>
      <c r="AI505" s="839">
        <f t="shared" si="25"/>
        <v>0</v>
      </c>
      <c r="AJ505" s="949">
        <v>0</v>
      </c>
      <c r="AK505" s="581">
        <f t="shared" si="23"/>
        <v>0</v>
      </c>
      <c r="AL505" s="750"/>
      <c r="AM505" s="743">
        <f t="shared" si="24"/>
        <v>0</v>
      </c>
    </row>
    <row r="506" spans="1:39" s="560" customFormat="1" hidden="1">
      <c r="A506" s="604" t="s">
        <v>970</v>
      </c>
      <c r="B506" s="604" t="s">
        <v>1290</v>
      </c>
      <c r="C506" s="614" t="s">
        <v>36</v>
      </c>
      <c r="D506" s="580"/>
      <c r="E506" s="981"/>
      <c r="F506" s="581"/>
      <c r="G506" s="581"/>
      <c r="H506" s="581"/>
      <c r="I506" s="949"/>
      <c r="J506" s="949"/>
      <c r="K506" s="949"/>
      <c r="L506" s="989"/>
      <c r="M506" s="575"/>
      <c r="N506" s="575"/>
      <c r="O506" s="575"/>
      <c r="P506" s="575"/>
      <c r="Q506" s="575"/>
      <c r="R506" s="575"/>
      <c r="S506" s="989"/>
      <c r="T506" s="575"/>
      <c r="U506" s="575"/>
      <c r="V506" s="575"/>
      <c r="W506" s="575"/>
      <c r="X506" s="575"/>
      <c r="Y506" s="575"/>
      <c r="Z506" s="989"/>
      <c r="AA506" s="575"/>
      <c r="AB506" s="575"/>
      <c r="AC506" s="575"/>
      <c r="AD506" s="575"/>
      <c r="AE506" s="827"/>
      <c r="AF506" s="575"/>
      <c r="AG506" s="960"/>
      <c r="AH506" s="842"/>
      <c r="AI506" s="839">
        <f t="shared" si="25"/>
        <v>0</v>
      </c>
      <c r="AJ506" s="949">
        <v>0</v>
      </c>
      <c r="AK506" s="581">
        <f t="shared" si="23"/>
        <v>0</v>
      </c>
      <c r="AL506" s="750" t="s">
        <v>1715</v>
      </c>
      <c r="AM506" s="743">
        <f t="shared" si="24"/>
        <v>117.85</v>
      </c>
    </row>
    <row r="507" spans="1:39" s="560" customFormat="1" hidden="1">
      <c r="A507" s="604" t="s">
        <v>971</v>
      </c>
      <c r="B507" s="604" t="s">
        <v>1262</v>
      </c>
      <c r="C507" s="614" t="s">
        <v>36</v>
      </c>
      <c r="D507" s="580"/>
      <c r="E507" s="981"/>
      <c r="F507" s="581"/>
      <c r="G507" s="581"/>
      <c r="H507" s="581"/>
      <c r="I507" s="949"/>
      <c r="J507" s="949"/>
      <c r="K507" s="949"/>
      <c r="L507" s="989"/>
      <c r="M507" s="575"/>
      <c r="N507" s="575"/>
      <c r="O507" s="575"/>
      <c r="P507" s="575"/>
      <c r="Q507" s="575"/>
      <c r="R507" s="575"/>
      <c r="S507" s="989"/>
      <c r="T507" s="575"/>
      <c r="U507" s="575"/>
      <c r="V507" s="575"/>
      <c r="W507" s="575"/>
      <c r="X507" s="575"/>
      <c r="Y507" s="575"/>
      <c r="Z507" s="989"/>
      <c r="AA507" s="575"/>
      <c r="AB507" s="575"/>
      <c r="AC507" s="575"/>
      <c r="AD507" s="575"/>
      <c r="AE507" s="827"/>
      <c r="AF507" s="575"/>
      <c r="AG507" s="960"/>
      <c r="AH507" s="842"/>
      <c r="AI507" s="839">
        <f t="shared" si="25"/>
        <v>0</v>
      </c>
      <c r="AJ507" s="949">
        <v>0</v>
      </c>
      <c r="AK507" s="581">
        <f t="shared" si="23"/>
        <v>0</v>
      </c>
      <c r="AL507" s="750" t="s">
        <v>1716</v>
      </c>
      <c r="AM507" s="743">
        <f t="shared" si="24"/>
        <v>65.94</v>
      </c>
    </row>
    <row r="508" spans="1:39" s="560" customFormat="1" hidden="1">
      <c r="A508" s="604" t="s">
        <v>972</v>
      </c>
      <c r="B508" s="604" t="s">
        <v>1263</v>
      </c>
      <c r="C508" s="614" t="s">
        <v>36</v>
      </c>
      <c r="D508" s="580"/>
      <c r="E508" s="981"/>
      <c r="F508" s="581"/>
      <c r="G508" s="581"/>
      <c r="H508" s="581"/>
      <c r="I508" s="949"/>
      <c r="J508" s="949"/>
      <c r="K508" s="949"/>
      <c r="L508" s="989"/>
      <c r="M508" s="575"/>
      <c r="N508" s="575"/>
      <c r="O508" s="575"/>
      <c r="P508" s="575"/>
      <c r="Q508" s="575"/>
      <c r="R508" s="575"/>
      <c r="S508" s="989"/>
      <c r="T508" s="575"/>
      <c r="U508" s="575"/>
      <c r="V508" s="575"/>
      <c r="W508" s="575"/>
      <c r="X508" s="575"/>
      <c r="Y508" s="575"/>
      <c r="Z508" s="989"/>
      <c r="AA508" s="575"/>
      <c r="AB508" s="575"/>
      <c r="AC508" s="575"/>
      <c r="AD508" s="575"/>
      <c r="AE508" s="827"/>
      <c r="AF508" s="575"/>
      <c r="AG508" s="960"/>
      <c r="AH508" s="842"/>
      <c r="AI508" s="839">
        <f t="shared" si="25"/>
        <v>0</v>
      </c>
      <c r="AJ508" s="949">
        <v>0</v>
      </c>
      <c r="AK508" s="581">
        <f t="shared" si="23"/>
        <v>0</v>
      </c>
      <c r="AL508" s="750" t="s">
        <v>1576</v>
      </c>
      <c r="AM508" s="743">
        <f t="shared" si="24"/>
        <v>49.66</v>
      </c>
    </row>
    <row r="509" spans="1:39" s="560" customFormat="1" hidden="1">
      <c r="A509" s="492" t="s">
        <v>973</v>
      </c>
      <c r="B509" s="608" t="s">
        <v>1291</v>
      </c>
      <c r="C509" s="690"/>
      <c r="D509" s="580"/>
      <c r="E509" s="981"/>
      <c r="F509" s="581"/>
      <c r="G509" s="581"/>
      <c r="H509" s="581"/>
      <c r="I509" s="949"/>
      <c r="J509" s="949"/>
      <c r="K509" s="949"/>
      <c r="L509" s="989"/>
      <c r="M509" s="575"/>
      <c r="N509" s="575"/>
      <c r="O509" s="575"/>
      <c r="P509" s="575"/>
      <c r="Q509" s="575"/>
      <c r="R509" s="575"/>
      <c r="S509" s="989"/>
      <c r="T509" s="575"/>
      <c r="U509" s="575"/>
      <c r="V509" s="575"/>
      <c r="W509" s="575"/>
      <c r="X509" s="575"/>
      <c r="Y509" s="575"/>
      <c r="Z509" s="989"/>
      <c r="AA509" s="575"/>
      <c r="AB509" s="575"/>
      <c r="AC509" s="575"/>
      <c r="AD509" s="575"/>
      <c r="AE509" s="827"/>
      <c r="AF509" s="575"/>
      <c r="AG509" s="960"/>
      <c r="AH509" s="842"/>
      <c r="AI509" s="839">
        <f t="shared" si="25"/>
        <v>0</v>
      </c>
      <c r="AJ509" s="949">
        <v>0</v>
      </c>
      <c r="AK509" s="581">
        <f t="shared" si="23"/>
        <v>0</v>
      </c>
      <c r="AL509" s="750"/>
      <c r="AM509" s="743">
        <f t="shared" si="24"/>
        <v>0</v>
      </c>
    </row>
    <row r="510" spans="1:39" s="560" customFormat="1" hidden="1">
      <c r="A510" s="607" t="s">
        <v>974</v>
      </c>
      <c r="B510" s="607" t="s">
        <v>1292</v>
      </c>
      <c r="C510" s="614" t="s">
        <v>36</v>
      </c>
      <c r="D510" s="580"/>
      <c r="E510" s="981"/>
      <c r="F510" s="581"/>
      <c r="G510" s="581"/>
      <c r="H510" s="581"/>
      <c r="I510" s="949"/>
      <c r="J510" s="949"/>
      <c r="K510" s="949"/>
      <c r="L510" s="989"/>
      <c r="M510" s="575"/>
      <c r="N510" s="575"/>
      <c r="O510" s="575"/>
      <c r="P510" s="575"/>
      <c r="Q510" s="575"/>
      <c r="R510" s="575"/>
      <c r="S510" s="989"/>
      <c r="T510" s="575"/>
      <c r="U510" s="575"/>
      <c r="V510" s="575"/>
      <c r="W510" s="575"/>
      <c r="X510" s="575"/>
      <c r="Y510" s="575"/>
      <c r="Z510" s="989"/>
      <c r="AA510" s="575"/>
      <c r="AB510" s="575"/>
      <c r="AC510" s="575"/>
      <c r="AD510" s="575"/>
      <c r="AE510" s="827"/>
      <c r="AF510" s="575"/>
      <c r="AG510" s="960"/>
      <c r="AH510" s="842"/>
      <c r="AI510" s="839">
        <f t="shared" si="25"/>
        <v>0</v>
      </c>
      <c r="AJ510" s="949">
        <v>0</v>
      </c>
      <c r="AK510" s="581">
        <f t="shared" si="23"/>
        <v>0</v>
      </c>
      <c r="AL510" s="750" t="s">
        <v>1718</v>
      </c>
      <c r="AM510" s="743">
        <f t="shared" si="24"/>
        <v>154.19</v>
      </c>
    </row>
    <row r="511" spans="1:39" s="560" customFormat="1" hidden="1">
      <c r="A511" s="607" t="s">
        <v>975</v>
      </c>
      <c r="B511" s="607" t="s">
        <v>1293</v>
      </c>
      <c r="C511" s="614" t="s">
        <v>36</v>
      </c>
      <c r="D511" s="580"/>
      <c r="E511" s="981"/>
      <c r="F511" s="581"/>
      <c r="G511" s="581"/>
      <c r="H511" s="581"/>
      <c r="I511" s="949"/>
      <c r="J511" s="949"/>
      <c r="K511" s="949"/>
      <c r="L511" s="989"/>
      <c r="M511" s="575"/>
      <c r="N511" s="575"/>
      <c r="O511" s="575"/>
      <c r="P511" s="575"/>
      <c r="Q511" s="575"/>
      <c r="R511" s="575"/>
      <c r="S511" s="989"/>
      <c r="T511" s="575"/>
      <c r="U511" s="575"/>
      <c r="V511" s="575"/>
      <c r="W511" s="575"/>
      <c r="X511" s="575"/>
      <c r="Y511" s="575"/>
      <c r="Z511" s="989"/>
      <c r="AA511" s="575"/>
      <c r="AB511" s="575"/>
      <c r="AC511" s="575"/>
      <c r="AD511" s="575"/>
      <c r="AE511" s="827"/>
      <c r="AF511" s="575"/>
      <c r="AG511" s="960"/>
      <c r="AH511" s="842"/>
      <c r="AI511" s="839">
        <f t="shared" si="25"/>
        <v>0</v>
      </c>
      <c r="AJ511" s="949">
        <v>0</v>
      </c>
      <c r="AK511" s="581">
        <f t="shared" si="23"/>
        <v>0</v>
      </c>
      <c r="AL511" s="750" t="s">
        <v>1719</v>
      </c>
      <c r="AM511" s="743">
        <f t="shared" si="24"/>
        <v>48.81</v>
      </c>
    </row>
    <row r="512" spans="1:39" s="560" customFormat="1" hidden="1">
      <c r="A512" s="492" t="s">
        <v>976</v>
      </c>
      <c r="B512" s="608" t="s">
        <v>1294</v>
      </c>
      <c r="C512" s="690"/>
      <c r="D512" s="580"/>
      <c r="E512" s="981"/>
      <c r="F512" s="581"/>
      <c r="G512" s="581"/>
      <c r="H512" s="581"/>
      <c r="I512" s="949"/>
      <c r="J512" s="949"/>
      <c r="K512" s="949"/>
      <c r="L512" s="989"/>
      <c r="M512" s="575"/>
      <c r="N512" s="575"/>
      <c r="O512" s="575"/>
      <c r="P512" s="575"/>
      <c r="Q512" s="575"/>
      <c r="R512" s="575"/>
      <c r="S512" s="989"/>
      <c r="T512" s="575"/>
      <c r="U512" s="575"/>
      <c r="V512" s="575"/>
      <c r="W512" s="575"/>
      <c r="X512" s="575"/>
      <c r="Y512" s="575"/>
      <c r="Z512" s="989"/>
      <c r="AA512" s="575"/>
      <c r="AB512" s="575"/>
      <c r="AC512" s="575"/>
      <c r="AD512" s="575"/>
      <c r="AE512" s="827"/>
      <c r="AF512" s="575"/>
      <c r="AG512" s="960"/>
      <c r="AH512" s="842"/>
      <c r="AI512" s="839">
        <f t="shared" si="25"/>
        <v>0</v>
      </c>
      <c r="AJ512" s="949">
        <v>0</v>
      </c>
      <c r="AK512" s="581">
        <f t="shared" si="23"/>
        <v>0</v>
      </c>
      <c r="AL512" s="750"/>
      <c r="AM512" s="743">
        <f t="shared" si="24"/>
        <v>0</v>
      </c>
    </row>
    <row r="513" spans="1:39" s="560" customFormat="1" hidden="1">
      <c r="A513" s="607" t="s">
        <v>977</v>
      </c>
      <c r="B513" s="607" t="s">
        <v>1235</v>
      </c>
      <c r="C513" s="690"/>
      <c r="D513" s="580"/>
      <c r="E513" s="981"/>
      <c r="F513" s="581"/>
      <c r="G513" s="581"/>
      <c r="H513" s="581"/>
      <c r="I513" s="949"/>
      <c r="J513" s="949"/>
      <c r="K513" s="949"/>
      <c r="L513" s="989"/>
      <c r="M513" s="575"/>
      <c r="N513" s="575"/>
      <c r="O513" s="575"/>
      <c r="P513" s="575"/>
      <c r="Q513" s="575"/>
      <c r="R513" s="575"/>
      <c r="S513" s="989"/>
      <c r="T513" s="575"/>
      <c r="U513" s="575"/>
      <c r="V513" s="575"/>
      <c r="W513" s="575"/>
      <c r="X513" s="575"/>
      <c r="Y513" s="575"/>
      <c r="Z513" s="989"/>
      <c r="AA513" s="575"/>
      <c r="AB513" s="575"/>
      <c r="AC513" s="575"/>
      <c r="AD513" s="575"/>
      <c r="AE513" s="827"/>
      <c r="AF513" s="575"/>
      <c r="AG513" s="960"/>
      <c r="AH513" s="842"/>
      <c r="AI513" s="839">
        <f t="shared" si="25"/>
        <v>0</v>
      </c>
      <c r="AJ513" s="949">
        <v>0</v>
      </c>
      <c r="AK513" s="581">
        <f t="shared" si="23"/>
        <v>0</v>
      </c>
      <c r="AL513" s="750"/>
      <c r="AM513" s="743">
        <f t="shared" si="24"/>
        <v>0</v>
      </c>
    </row>
    <row r="514" spans="1:39" s="560" customFormat="1" hidden="1">
      <c r="A514" s="604" t="s">
        <v>978</v>
      </c>
      <c r="B514" s="604" t="s">
        <v>1295</v>
      </c>
      <c r="C514" s="614" t="s">
        <v>36</v>
      </c>
      <c r="D514" s="580"/>
      <c r="E514" s="981"/>
      <c r="F514" s="581"/>
      <c r="G514" s="581"/>
      <c r="H514" s="581"/>
      <c r="I514" s="949"/>
      <c r="J514" s="949"/>
      <c r="K514" s="949"/>
      <c r="L514" s="989"/>
      <c r="M514" s="575"/>
      <c r="N514" s="575"/>
      <c r="O514" s="575"/>
      <c r="P514" s="575"/>
      <c r="Q514" s="575"/>
      <c r="R514" s="575"/>
      <c r="S514" s="989"/>
      <c r="T514" s="575"/>
      <c r="U514" s="575"/>
      <c r="V514" s="575"/>
      <c r="W514" s="575"/>
      <c r="X514" s="575"/>
      <c r="Y514" s="575"/>
      <c r="Z514" s="989"/>
      <c r="AA514" s="575"/>
      <c r="AB514" s="575"/>
      <c r="AC514" s="575"/>
      <c r="AD514" s="575"/>
      <c r="AE514" s="827"/>
      <c r="AF514" s="575"/>
      <c r="AG514" s="960"/>
      <c r="AH514" s="842"/>
      <c r="AI514" s="839">
        <f t="shared" si="25"/>
        <v>0</v>
      </c>
      <c r="AJ514" s="949">
        <v>0</v>
      </c>
      <c r="AK514" s="581">
        <f t="shared" si="23"/>
        <v>0</v>
      </c>
      <c r="AL514" s="750" t="s">
        <v>1594</v>
      </c>
      <c r="AM514" s="743">
        <f t="shared" si="24"/>
        <v>60</v>
      </c>
    </row>
    <row r="515" spans="1:39" s="560" customFormat="1" hidden="1">
      <c r="A515" s="604" t="s">
        <v>979</v>
      </c>
      <c r="B515" s="604" t="s">
        <v>1296</v>
      </c>
      <c r="C515" s="614" t="s">
        <v>36</v>
      </c>
      <c r="D515" s="580"/>
      <c r="E515" s="981"/>
      <c r="F515" s="581"/>
      <c r="G515" s="581"/>
      <c r="H515" s="581"/>
      <c r="I515" s="949"/>
      <c r="J515" s="949"/>
      <c r="K515" s="949"/>
      <c r="L515" s="989"/>
      <c r="M515" s="575"/>
      <c r="N515" s="575"/>
      <c r="O515" s="575"/>
      <c r="P515" s="575"/>
      <c r="Q515" s="575"/>
      <c r="R515" s="575"/>
      <c r="S515" s="989"/>
      <c r="T515" s="575"/>
      <c r="U515" s="575"/>
      <c r="V515" s="575"/>
      <c r="W515" s="575"/>
      <c r="X515" s="575"/>
      <c r="Y515" s="575"/>
      <c r="Z515" s="989"/>
      <c r="AA515" s="575"/>
      <c r="AB515" s="575"/>
      <c r="AC515" s="575"/>
      <c r="AD515" s="575"/>
      <c r="AE515" s="827"/>
      <c r="AF515" s="575"/>
      <c r="AG515" s="960"/>
      <c r="AH515" s="842"/>
      <c r="AI515" s="839">
        <f t="shared" si="25"/>
        <v>0</v>
      </c>
      <c r="AJ515" s="949">
        <v>0</v>
      </c>
      <c r="AK515" s="581">
        <f t="shared" si="23"/>
        <v>0</v>
      </c>
      <c r="AL515" s="750" t="s">
        <v>1619</v>
      </c>
      <c r="AM515" s="743">
        <f t="shared" si="24"/>
        <v>5.18</v>
      </c>
    </row>
    <row r="516" spans="1:39" s="560" customFormat="1" hidden="1">
      <c r="A516" s="607" t="s">
        <v>980</v>
      </c>
      <c r="B516" s="607" t="s">
        <v>1239</v>
      </c>
      <c r="C516" s="690"/>
      <c r="D516" s="580"/>
      <c r="E516" s="981"/>
      <c r="F516" s="581"/>
      <c r="G516" s="581"/>
      <c r="H516" s="581"/>
      <c r="I516" s="949"/>
      <c r="J516" s="949"/>
      <c r="K516" s="949"/>
      <c r="L516" s="989"/>
      <c r="M516" s="575"/>
      <c r="N516" s="575"/>
      <c r="O516" s="575"/>
      <c r="P516" s="575"/>
      <c r="Q516" s="575"/>
      <c r="R516" s="575"/>
      <c r="S516" s="989"/>
      <c r="T516" s="575"/>
      <c r="U516" s="575"/>
      <c r="V516" s="575"/>
      <c r="W516" s="575"/>
      <c r="X516" s="575"/>
      <c r="Y516" s="575"/>
      <c r="Z516" s="989"/>
      <c r="AA516" s="575"/>
      <c r="AB516" s="575"/>
      <c r="AC516" s="575"/>
      <c r="AD516" s="575"/>
      <c r="AE516" s="827"/>
      <c r="AF516" s="575"/>
      <c r="AG516" s="960"/>
      <c r="AH516" s="842"/>
      <c r="AI516" s="839">
        <f t="shared" si="25"/>
        <v>0</v>
      </c>
      <c r="AJ516" s="949">
        <v>0</v>
      </c>
      <c r="AK516" s="581">
        <f t="shared" si="23"/>
        <v>0</v>
      </c>
      <c r="AL516" s="750"/>
      <c r="AM516" s="743">
        <f t="shared" si="24"/>
        <v>0</v>
      </c>
    </row>
    <row r="517" spans="1:39" s="560" customFormat="1" hidden="1">
      <c r="A517" s="604" t="s">
        <v>981</v>
      </c>
      <c r="B517" s="604" t="s">
        <v>1297</v>
      </c>
      <c r="C517" s="614" t="s">
        <v>37</v>
      </c>
      <c r="D517" s="580"/>
      <c r="E517" s="981"/>
      <c r="F517" s="581"/>
      <c r="G517" s="581"/>
      <c r="H517" s="581"/>
      <c r="I517" s="949"/>
      <c r="J517" s="949"/>
      <c r="K517" s="949"/>
      <c r="L517" s="989"/>
      <c r="M517" s="575"/>
      <c r="N517" s="575"/>
      <c r="O517" s="575"/>
      <c r="P517" s="575"/>
      <c r="Q517" s="575"/>
      <c r="R517" s="575"/>
      <c r="S517" s="989"/>
      <c r="T517" s="575"/>
      <c r="U517" s="575"/>
      <c r="V517" s="575"/>
      <c r="W517" s="575"/>
      <c r="X517" s="575"/>
      <c r="Y517" s="575"/>
      <c r="Z517" s="989"/>
      <c r="AA517" s="575"/>
      <c r="AB517" s="575"/>
      <c r="AC517" s="575"/>
      <c r="AD517" s="575"/>
      <c r="AE517" s="827"/>
      <c r="AF517" s="575"/>
      <c r="AG517" s="960"/>
      <c r="AH517" s="842"/>
      <c r="AI517" s="839">
        <f t="shared" si="25"/>
        <v>0</v>
      </c>
      <c r="AJ517" s="949">
        <v>0</v>
      </c>
      <c r="AK517" s="581">
        <f t="shared" si="23"/>
        <v>0</v>
      </c>
      <c r="AL517" s="750" t="s">
        <v>1720</v>
      </c>
      <c r="AM517" s="743">
        <f t="shared" si="24"/>
        <v>73.98</v>
      </c>
    </row>
    <row r="518" spans="1:39" s="560" customFormat="1" hidden="1">
      <c r="A518" s="604" t="s">
        <v>982</v>
      </c>
      <c r="B518" s="604" t="s">
        <v>1241</v>
      </c>
      <c r="C518" s="614" t="s">
        <v>36</v>
      </c>
      <c r="D518" s="580"/>
      <c r="E518" s="981"/>
      <c r="F518" s="581"/>
      <c r="G518" s="581"/>
      <c r="H518" s="581"/>
      <c r="I518" s="949"/>
      <c r="J518" s="949"/>
      <c r="K518" s="949"/>
      <c r="L518" s="989"/>
      <c r="M518" s="575"/>
      <c r="N518" s="575"/>
      <c r="O518" s="575"/>
      <c r="P518" s="575"/>
      <c r="Q518" s="575"/>
      <c r="R518" s="575"/>
      <c r="S518" s="989"/>
      <c r="T518" s="575"/>
      <c r="U518" s="575"/>
      <c r="V518" s="575"/>
      <c r="W518" s="575"/>
      <c r="X518" s="575"/>
      <c r="Y518" s="575"/>
      <c r="Z518" s="989"/>
      <c r="AA518" s="575"/>
      <c r="AB518" s="575"/>
      <c r="AC518" s="575"/>
      <c r="AD518" s="575"/>
      <c r="AE518" s="827"/>
      <c r="AF518" s="575"/>
      <c r="AG518" s="960"/>
      <c r="AH518" s="842"/>
      <c r="AI518" s="839">
        <f t="shared" si="25"/>
        <v>0</v>
      </c>
      <c r="AJ518" s="949">
        <v>0</v>
      </c>
      <c r="AK518" s="581">
        <f t="shared" si="23"/>
        <v>0</v>
      </c>
      <c r="AL518" s="750" t="s">
        <v>1721</v>
      </c>
      <c r="AM518" s="743">
        <f t="shared" si="24"/>
        <v>44.39</v>
      </c>
    </row>
    <row r="519" spans="1:39" s="560" customFormat="1" hidden="1">
      <c r="A519" s="607" t="s">
        <v>983</v>
      </c>
      <c r="B519" s="607" t="s">
        <v>1298</v>
      </c>
      <c r="C519" s="690"/>
      <c r="D519" s="580"/>
      <c r="E519" s="981"/>
      <c r="F519" s="581"/>
      <c r="G519" s="581"/>
      <c r="H519" s="581"/>
      <c r="I519" s="949"/>
      <c r="J519" s="949"/>
      <c r="K519" s="949"/>
      <c r="L519" s="989"/>
      <c r="M519" s="575"/>
      <c r="N519" s="575"/>
      <c r="O519" s="575"/>
      <c r="P519" s="575"/>
      <c r="Q519" s="575"/>
      <c r="R519" s="575"/>
      <c r="S519" s="989"/>
      <c r="T519" s="575"/>
      <c r="U519" s="575"/>
      <c r="V519" s="575"/>
      <c r="W519" s="575"/>
      <c r="X519" s="575"/>
      <c r="Y519" s="575"/>
      <c r="Z519" s="989"/>
      <c r="AA519" s="575"/>
      <c r="AB519" s="575"/>
      <c r="AC519" s="575"/>
      <c r="AD519" s="575"/>
      <c r="AE519" s="827"/>
      <c r="AF519" s="575"/>
      <c r="AG519" s="960"/>
      <c r="AH519" s="842"/>
      <c r="AI519" s="839">
        <f t="shared" si="25"/>
        <v>0</v>
      </c>
      <c r="AJ519" s="949">
        <v>0</v>
      </c>
      <c r="AK519" s="581">
        <f t="shared" si="23"/>
        <v>0</v>
      </c>
      <c r="AL519" s="750"/>
      <c r="AM519" s="743">
        <f t="shared" si="24"/>
        <v>0</v>
      </c>
    </row>
    <row r="520" spans="1:39" s="560" customFormat="1" hidden="1">
      <c r="A520" s="604" t="s">
        <v>984</v>
      </c>
      <c r="B520" s="604" t="s">
        <v>1299</v>
      </c>
      <c r="C520" s="614" t="s">
        <v>36</v>
      </c>
      <c r="D520" s="580"/>
      <c r="E520" s="981"/>
      <c r="F520" s="581"/>
      <c r="G520" s="581"/>
      <c r="H520" s="581"/>
      <c r="I520" s="949"/>
      <c r="J520" s="949"/>
      <c r="K520" s="949"/>
      <c r="L520" s="989"/>
      <c r="M520" s="575"/>
      <c r="N520" s="575"/>
      <c r="O520" s="575"/>
      <c r="P520" s="575"/>
      <c r="Q520" s="575"/>
      <c r="R520" s="575"/>
      <c r="S520" s="989"/>
      <c r="T520" s="575"/>
      <c r="U520" s="575"/>
      <c r="V520" s="575"/>
      <c r="W520" s="575"/>
      <c r="X520" s="575"/>
      <c r="Y520" s="575"/>
      <c r="Z520" s="989"/>
      <c r="AA520" s="575"/>
      <c r="AB520" s="575"/>
      <c r="AC520" s="575"/>
      <c r="AD520" s="575"/>
      <c r="AE520" s="827"/>
      <c r="AF520" s="575"/>
      <c r="AG520" s="960"/>
      <c r="AH520" s="842"/>
      <c r="AI520" s="839">
        <f t="shared" si="25"/>
        <v>0</v>
      </c>
      <c r="AJ520" s="949">
        <v>0</v>
      </c>
      <c r="AK520" s="581">
        <f t="shared" si="23"/>
        <v>0</v>
      </c>
      <c r="AL520" s="750" t="s">
        <v>1722</v>
      </c>
      <c r="AM520" s="743">
        <f t="shared" si="24"/>
        <v>64</v>
      </c>
    </row>
    <row r="521" spans="1:39" s="560" customFormat="1" hidden="1">
      <c r="A521" s="607" t="s">
        <v>985</v>
      </c>
      <c r="B521" s="607" t="s">
        <v>1186</v>
      </c>
      <c r="C521" s="690"/>
      <c r="D521" s="580"/>
      <c r="E521" s="981"/>
      <c r="F521" s="581"/>
      <c r="G521" s="581"/>
      <c r="H521" s="581"/>
      <c r="I521" s="949"/>
      <c r="J521" s="949"/>
      <c r="K521" s="949"/>
      <c r="L521" s="989"/>
      <c r="M521" s="575"/>
      <c r="N521" s="575"/>
      <c r="O521" s="575"/>
      <c r="P521" s="575"/>
      <c r="Q521" s="575"/>
      <c r="R521" s="575"/>
      <c r="S521" s="989"/>
      <c r="T521" s="575"/>
      <c r="U521" s="575"/>
      <c r="V521" s="575"/>
      <c r="W521" s="575"/>
      <c r="X521" s="575"/>
      <c r="Y521" s="575"/>
      <c r="Z521" s="989"/>
      <c r="AA521" s="575"/>
      <c r="AB521" s="575"/>
      <c r="AC521" s="575"/>
      <c r="AD521" s="575"/>
      <c r="AE521" s="827"/>
      <c r="AF521" s="575"/>
      <c r="AG521" s="960"/>
      <c r="AH521" s="842"/>
      <c r="AI521" s="839">
        <f t="shared" si="25"/>
        <v>0</v>
      </c>
      <c r="AJ521" s="949">
        <v>0</v>
      </c>
      <c r="AK521" s="581">
        <f t="shared" si="23"/>
        <v>0</v>
      </c>
      <c r="AL521" s="750"/>
      <c r="AM521" s="743">
        <f t="shared" si="24"/>
        <v>0</v>
      </c>
    </row>
    <row r="522" spans="1:39" s="560" customFormat="1" hidden="1">
      <c r="A522" s="604" t="s">
        <v>986</v>
      </c>
      <c r="B522" s="604" t="s">
        <v>1300</v>
      </c>
      <c r="C522" s="614" t="s">
        <v>37</v>
      </c>
      <c r="D522" s="580"/>
      <c r="E522" s="981"/>
      <c r="F522" s="581"/>
      <c r="G522" s="581"/>
      <c r="H522" s="581"/>
      <c r="I522" s="949"/>
      <c r="J522" s="949"/>
      <c r="K522" s="949"/>
      <c r="L522" s="989"/>
      <c r="M522" s="575"/>
      <c r="N522" s="575"/>
      <c r="O522" s="575"/>
      <c r="P522" s="575"/>
      <c r="Q522" s="575"/>
      <c r="R522" s="575"/>
      <c r="S522" s="989"/>
      <c r="T522" s="575"/>
      <c r="U522" s="575"/>
      <c r="V522" s="575"/>
      <c r="W522" s="575"/>
      <c r="X522" s="575"/>
      <c r="Y522" s="575"/>
      <c r="Z522" s="989"/>
      <c r="AA522" s="575"/>
      <c r="AB522" s="575"/>
      <c r="AC522" s="575"/>
      <c r="AD522" s="575"/>
      <c r="AE522" s="827"/>
      <c r="AF522" s="575"/>
      <c r="AG522" s="960"/>
      <c r="AH522" s="842"/>
      <c r="AI522" s="839">
        <f t="shared" si="25"/>
        <v>0</v>
      </c>
      <c r="AJ522" s="949">
        <v>0</v>
      </c>
      <c r="AK522" s="581">
        <f t="shared" si="23"/>
        <v>0</v>
      </c>
      <c r="AL522" s="750" t="s">
        <v>1723</v>
      </c>
      <c r="AM522" s="743">
        <f t="shared" si="24"/>
        <v>22</v>
      </c>
    </row>
    <row r="523" spans="1:39" s="560" customFormat="1" hidden="1">
      <c r="A523" s="604" t="s">
        <v>987</v>
      </c>
      <c r="B523" s="604" t="s">
        <v>1301</v>
      </c>
      <c r="C523" s="614" t="s">
        <v>1436</v>
      </c>
      <c r="D523" s="580"/>
      <c r="E523" s="981"/>
      <c r="F523" s="581"/>
      <c r="G523" s="581"/>
      <c r="H523" s="581"/>
      <c r="I523" s="949"/>
      <c r="J523" s="949"/>
      <c r="K523" s="949"/>
      <c r="L523" s="989"/>
      <c r="M523" s="575"/>
      <c r="N523" s="575"/>
      <c r="O523" s="575"/>
      <c r="P523" s="575"/>
      <c r="Q523" s="575"/>
      <c r="R523" s="575"/>
      <c r="S523" s="989"/>
      <c r="T523" s="575"/>
      <c r="U523" s="575"/>
      <c r="V523" s="575"/>
      <c r="W523" s="575"/>
      <c r="X523" s="575"/>
      <c r="Y523" s="575"/>
      <c r="Z523" s="989"/>
      <c r="AA523" s="575"/>
      <c r="AB523" s="575"/>
      <c r="AC523" s="575"/>
      <c r="AD523" s="575"/>
      <c r="AE523" s="827"/>
      <c r="AF523" s="575"/>
      <c r="AG523" s="960"/>
      <c r="AH523" s="842"/>
      <c r="AI523" s="839">
        <f t="shared" si="25"/>
        <v>0</v>
      </c>
      <c r="AJ523" s="949">
        <v>0</v>
      </c>
      <c r="AK523" s="581">
        <f t="shared" si="23"/>
        <v>0</v>
      </c>
      <c r="AL523" s="750" t="s">
        <v>1441</v>
      </c>
      <c r="AM523" s="743">
        <f t="shared" si="24"/>
        <v>1</v>
      </c>
    </row>
    <row r="524" spans="1:39" s="560" customFormat="1" hidden="1">
      <c r="A524" s="492" t="s">
        <v>988</v>
      </c>
      <c r="B524" s="608" t="s">
        <v>1302</v>
      </c>
      <c r="C524" s="690"/>
      <c r="D524" s="580"/>
      <c r="E524" s="981"/>
      <c r="F524" s="581"/>
      <c r="G524" s="581"/>
      <c r="H524" s="581"/>
      <c r="I524" s="949"/>
      <c r="J524" s="949"/>
      <c r="K524" s="949"/>
      <c r="L524" s="989"/>
      <c r="M524" s="575"/>
      <c r="N524" s="575"/>
      <c r="O524" s="575"/>
      <c r="P524" s="575"/>
      <c r="Q524" s="575"/>
      <c r="R524" s="575"/>
      <c r="S524" s="989"/>
      <c r="T524" s="575"/>
      <c r="U524" s="575"/>
      <c r="V524" s="575"/>
      <c r="W524" s="575"/>
      <c r="X524" s="575"/>
      <c r="Y524" s="575"/>
      <c r="Z524" s="989"/>
      <c r="AA524" s="575"/>
      <c r="AB524" s="575"/>
      <c r="AC524" s="575"/>
      <c r="AD524" s="575"/>
      <c r="AE524" s="827"/>
      <c r="AF524" s="575"/>
      <c r="AG524" s="960"/>
      <c r="AH524" s="842"/>
      <c r="AI524" s="839">
        <f t="shared" si="25"/>
        <v>0</v>
      </c>
      <c r="AJ524" s="949">
        <v>0</v>
      </c>
      <c r="AK524" s="581">
        <f t="shared" si="23"/>
        <v>0</v>
      </c>
      <c r="AL524" s="750"/>
      <c r="AM524" s="743">
        <f t="shared" si="24"/>
        <v>0</v>
      </c>
    </row>
    <row r="525" spans="1:39" s="560" customFormat="1" hidden="1">
      <c r="A525" s="607" t="s">
        <v>989</v>
      </c>
      <c r="B525" s="607" t="s">
        <v>1235</v>
      </c>
      <c r="C525" s="690"/>
      <c r="D525" s="580"/>
      <c r="E525" s="981"/>
      <c r="F525" s="581"/>
      <c r="G525" s="581"/>
      <c r="H525" s="581"/>
      <c r="I525" s="949"/>
      <c r="J525" s="949"/>
      <c r="K525" s="949"/>
      <c r="L525" s="989"/>
      <c r="M525" s="575"/>
      <c r="N525" s="575"/>
      <c r="O525" s="575"/>
      <c r="P525" s="575"/>
      <c r="Q525" s="575"/>
      <c r="R525" s="575"/>
      <c r="S525" s="989"/>
      <c r="T525" s="575"/>
      <c r="U525" s="575"/>
      <c r="V525" s="575"/>
      <c r="W525" s="575"/>
      <c r="X525" s="575"/>
      <c r="Y525" s="575"/>
      <c r="Z525" s="989"/>
      <c r="AA525" s="575"/>
      <c r="AB525" s="575"/>
      <c r="AC525" s="575"/>
      <c r="AD525" s="575"/>
      <c r="AE525" s="827"/>
      <c r="AF525" s="575"/>
      <c r="AG525" s="960"/>
      <c r="AH525" s="842"/>
      <c r="AI525" s="839">
        <f t="shared" si="25"/>
        <v>0</v>
      </c>
      <c r="AJ525" s="949">
        <v>0</v>
      </c>
      <c r="AK525" s="581">
        <f t="shared" si="23"/>
        <v>0</v>
      </c>
      <c r="AL525" s="750"/>
      <c r="AM525" s="743">
        <f t="shared" si="24"/>
        <v>0</v>
      </c>
    </row>
    <row r="526" spans="1:39" s="560" customFormat="1" hidden="1">
      <c r="A526" s="604" t="s">
        <v>990</v>
      </c>
      <c r="B526" s="604" t="s">
        <v>1303</v>
      </c>
      <c r="C526" s="614" t="s">
        <v>36</v>
      </c>
      <c r="D526" s="580"/>
      <c r="E526" s="981"/>
      <c r="F526" s="581"/>
      <c r="G526" s="581"/>
      <c r="H526" s="581"/>
      <c r="I526" s="949"/>
      <c r="J526" s="949"/>
      <c r="K526" s="949"/>
      <c r="L526" s="989"/>
      <c r="M526" s="575"/>
      <c r="N526" s="575"/>
      <c r="O526" s="575"/>
      <c r="P526" s="575"/>
      <c r="Q526" s="575"/>
      <c r="R526" s="575"/>
      <c r="S526" s="989"/>
      <c r="T526" s="575"/>
      <c r="U526" s="575"/>
      <c r="V526" s="575"/>
      <c r="W526" s="575"/>
      <c r="X526" s="575"/>
      <c r="Y526" s="575"/>
      <c r="Z526" s="989"/>
      <c r="AA526" s="575"/>
      <c r="AB526" s="575"/>
      <c r="AC526" s="575"/>
      <c r="AD526" s="575"/>
      <c r="AE526" s="827"/>
      <c r="AF526" s="575"/>
      <c r="AG526" s="960"/>
      <c r="AH526" s="842"/>
      <c r="AI526" s="839">
        <f t="shared" si="25"/>
        <v>0</v>
      </c>
      <c r="AJ526" s="949">
        <v>0</v>
      </c>
      <c r="AK526" s="581">
        <f t="shared" ref="AK526:AK589" si="26">AI526+AJ526</f>
        <v>0</v>
      </c>
      <c r="AL526" s="750" t="s">
        <v>1724</v>
      </c>
      <c r="AM526" s="743">
        <f t="shared" ref="AM526:AM589" si="27">AL526-AK526</f>
        <v>28.21</v>
      </c>
    </row>
    <row r="527" spans="1:39" s="560" customFormat="1" hidden="1">
      <c r="A527" s="607" t="s">
        <v>991</v>
      </c>
      <c r="B527" s="607" t="s">
        <v>1304</v>
      </c>
      <c r="C527" s="690"/>
      <c r="D527" s="580"/>
      <c r="E527" s="981"/>
      <c r="F527" s="581"/>
      <c r="G527" s="581"/>
      <c r="H527" s="581"/>
      <c r="I527" s="949"/>
      <c r="J527" s="949"/>
      <c r="K527" s="949"/>
      <c r="L527" s="989"/>
      <c r="M527" s="575"/>
      <c r="N527" s="575"/>
      <c r="O527" s="575"/>
      <c r="P527" s="575"/>
      <c r="Q527" s="575"/>
      <c r="R527" s="575"/>
      <c r="S527" s="989"/>
      <c r="T527" s="575"/>
      <c r="U527" s="575"/>
      <c r="V527" s="575"/>
      <c r="W527" s="575"/>
      <c r="X527" s="575"/>
      <c r="Y527" s="575"/>
      <c r="Z527" s="989"/>
      <c r="AA527" s="575"/>
      <c r="AB527" s="575"/>
      <c r="AC527" s="575"/>
      <c r="AD527" s="575"/>
      <c r="AE527" s="827"/>
      <c r="AF527" s="575"/>
      <c r="AG527" s="960"/>
      <c r="AH527" s="842"/>
      <c r="AI527" s="839">
        <f t="shared" ref="AI527:AI590" si="28">ROUND((SUM(D527:AH527)),2)</f>
        <v>0</v>
      </c>
      <c r="AJ527" s="949">
        <v>0</v>
      </c>
      <c r="AK527" s="581">
        <f t="shared" si="26"/>
        <v>0</v>
      </c>
      <c r="AL527" s="750"/>
      <c r="AM527" s="743">
        <f t="shared" si="27"/>
        <v>0</v>
      </c>
    </row>
    <row r="528" spans="1:39" s="560" customFormat="1" hidden="1">
      <c r="A528" s="604" t="s">
        <v>992</v>
      </c>
      <c r="B528" s="604" t="s">
        <v>1305</v>
      </c>
      <c r="C528" s="614" t="s">
        <v>39</v>
      </c>
      <c r="D528" s="580"/>
      <c r="E528" s="981"/>
      <c r="F528" s="581"/>
      <c r="G528" s="581"/>
      <c r="H528" s="581"/>
      <c r="I528" s="949"/>
      <c r="J528" s="949"/>
      <c r="K528" s="949"/>
      <c r="L528" s="989"/>
      <c r="M528" s="575"/>
      <c r="N528" s="575"/>
      <c r="O528" s="575"/>
      <c r="P528" s="575"/>
      <c r="Q528" s="575"/>
      <c r="R528" s="575"/>
      <c r="S528" s="989"/>
      <c r="T528" s="575"/>
      <c r="U528" s="575"/>
      <c r="V528" s="575"/>
      <c r="W528" s="575"/>
      <c r="X528" s="575"/>
      <c r="Y528" s="575"/>
      <c r="Z528" s="989"/>
      <c r="AA528" s="575"/>
      <c r="AB528" s="575"/>
      <c r="AC528" s="575"/>
      <c r="AD528" s="575"/>
      <c r="AE528" s="827"/>
      <c r="AF528" s="575"/>
      <c r="AG528" s="960"/>
      <c r="AH528" s="842"/>
      <c r="AI528" s="839">
        <f t="shared" si="28"/>
        <v>0</v>
      </c>
      <c r="AJ528" s="949">
        <v>0</v>
      </c>
      <c r="AK528" s="581">
        <f t="shared" si="26"/>
        <v>0</v>
      </c>
      <c r="AL528" s="750" t="s">
        <v>1725</v>
      </c>
      <c r="AM528" s="743">
        <f t="shared" si="27"/>
        <v>5.9</v>
      </c>
    </row>
    <row r="529" spans="1:39" s="560" customFormat="1" hidden="1">
      <c r="A529" s="604" t="s">
        <v>993</v>
      </c>
      <c r="B529" s="604" t="s">
        <v>1182</v>
      </c>
      <c r="C529" s="614" t="s">
        <v>36</v>
      </c>
      <c r="D529" s="580"/>
      <c r="E529" s="981"/>
      <c r="F529" s="581"/>
      <c r="G529" s="581"/>
      <c r="H529" s="581"/>
      <c r="I529" s="949"/>
      <c r="J529" s="949"/>
      <c r="K529" s="949"/>
      <c r="L529" s="989"/>
      <c r="M529" s="575"/>
      <c r="N529" s="575"/>
      <c r="O529" s="575"/>
      <c r="P529" s="575"/>
      <c r="Q529" s="575"/>
      <c r="R529" s="575"/>
      <c r="S529" s="989"/>
      <c r="T529" s="575"/>
      <c r="U529" s="575"/>
      <c r="V529" s="575"/>
      <c r="W529" s="575"/>
      <c r="X529" s="575"/>
      <c r="Y529" s="575"/>
      <c r="Z529" s="989"/>
      <c r="AA529" s="575"/>
      <c r="AB529" s="575"/>
      <c r="AC529" s="575"/>
      <c r="AD529" s="575"/>
      <c r="AE529" s="827"/>
      <c r="AF529" s="575"/>
      <c r="AG529" s="960"/>
      <c r="AH529" s="842"/>
      <c r="AI529" s="839">
        <f t="shared" si="28"/>
        <v>0</v>
      </c>
      <c r="AJ529" s="949">
        <v>0</v>
      </c>
      <c r="AK529" s="581">
        <f t="shared" si="26"/>
        <v>0</v>
      </c>
      <c r="AL529" s="750" t="s">
        <v>1664</v>
      </c>
      <c r="AM529" s="743">
        <f t="shared" si="27"/>
        <v>18.920000000000002</v>
      </c>
    </row>
    <row r="530" spans="1:39" s="560" customFormat="1" hidden="1">
      <c r="A530" s="607" t="s">
        <v>994</v>
      </c>
      <c r="B530" s="607" t="s">
        <v>1277</v>
      </c>
      <c r="C530" s="690"/>
      <c r="D530" s="580"/>
      <c r="E530" s="981"/>
      <c r="F530" s="581"/>
      <c r="G530" s="581"/>
      <c r="H530" s="581"/>
      <c r="I530" s="949"/>
      <c r="J530" s="949"/>
      <c r="K530" s="949"/>
      <c r="L530" s="989"/>
      <c r="M530" s="575"/>
      <c r="N530" s="575"/>
      <c r="O530" s="575"/>
      <c r="P530" s="575"/>
      <c r="Q530" s="575"/>
      <c r="R530" s="575"/>
      <c r="S530" s="989"/>
      <c r="T530" s="575"/>
      <c r="U530" s="575"/>
      <c r="V530" s="575"/>
      <c r="W530" s="575"/>
      <c r="X530" s="575"/>
      <c r="Y530" s="575"/>
      <c r="Z530" s="989"/>
      <c r="AA530" s="575"/>
      <c r="AB530" s="575"/>
      <c r="AC530" s="575"/>
      <c r="AD530" s="575"/>
      <c r="AE530" s="827"/>
      <c r="AF530" s="575"/>
      <c r="AG530" s="960"/>
      <c r="AH530" s="842"/>
      <c r="AI530" s="839">
        <f t="shared" si="28"/>
        <v>0</v>
      </c>
      <c r="AJ530" s="949">
        <v>0</v>
      </c>
      <c r="AK530" s="581">
        <f t="shared" si="26"/>
        <v>0</v>
      </c>
      <c r="AL530" s="750"/>
      <c r="AM530" s="743">
        <f t="shared" si="27"/>
        <v>0</v>
      </c>
    </row>
    <row r="531" spans="1:39" s="560" customFormat="1" hidden="1">
      <c r="A531" s="604" t="s">
        <v>995</v>
      </c>
      <c r="B531" s="604" t="s">
        <v>1306</v>
      </c>
      <c r="C531" s="614" t="s">
        <v>37</v>
      </c>
      <c r="D531" s="580"/>
      <c r="E531" s="981"/>
      <c r="F531" s="581"/>
      <c r="G531" s="581"/>
      <c r="H531" s="581"/>
      <c r="I531" s="949"/>
      <c r="J531" s="949"/>
      <c r="K531" s="949"/>
      <c r="L531" s="989"/>
      <c r="M531" s="575"/>
      <c r="N531" s="575"/>
      <c r="O531" s="575"/>
      <c r="P531" s="575"/>
      <c r="Q531" s="575"/>
      <c r="R531" s="575"/>
      <c r="S531" s="989"/>
      <c r="T531" s="575"/>
      <c r="U531" s="575"/>
      <c r="V531" s="575"/>
      <c r="W531" s="575"/>
      <c r="X531" s="575"/>
      <c r="Y531" s="575"/>
      <c r="Z531" s="989"/>
      <c r="AA531" s="575"/>
      <c r="AB531" s="575"/>
      <c r="AC531" s="575"/>
      <c r="AD531" s="575"/>
      <c r="AE531" s="827"/>
      <c r="AF531" s="575"/>
      <c r="AG531" s="960"/>
      <c r="AH531" s="842"/>
      <c r="AI531" s="839">
        <f t="shared" si="28"/>
        <v>0</v>
      </c>
      <c r="AJ531" s="949">
        <v>0</v>
      </c>
      <c r="AK531" s="581">
        <f t="shared" si="26"/>
        <v>0</v>
      </c>
      <c r="AL531" s="750" t="s">
        <v>1614</v>
      </c>
      <c r="AM531" s="743">
        <f t="shared" si="27"/>
        <v>90.62</v>
      </c>
    </row>
    <row r="532" spans="1:39" s="560" customFormat="1" hidden="1">
      <c r="A532" s="607" t="s">
        <v>996</v>
      </c>
      <c r="B532" s="607" t="s">
        <v>1307</v>
      </c>
      <c r="C532" s="690"/>
      <c r="D532" s="580"/>
      <c r="E532" s="981"/>
      <c r="F532" s="581"/>
      <c r="G532" s="581"/>
      <c r="H532" s="581"/>
      <c r="I532" s="949"/>
      <c r="J532" s="949"/>
      <c r="K532" s="949"/>
      <c r="L532" s="989"/>
      <c r="M532" s="575"/>
      <c r="N532" s="575"/>
      <c r="O532" s="575"/>
      <c r="P532" s="575"/>
      <c r="Q532" s="575"/>
      <c r="R532" s="575"/>
      <c r="S532" s="989"/>
      <c r="T532" s="575"/>
      <c r="U532" s="575"/>
      <c r="V532" s="575"/>
      <c r="W532" s="575"/>
      <c r="X532" s="575"/>
      <c r="Y532" s="575"/>
      <c r="Z532" s="989"/>
      <c r="AA532" s="575"/>
      <c r="AB532" s="575"/>
      <c r="AC532" s="575"/>
      <c r="AD532" s="575"/>
      <c r="AE532" s="827"/>
      <c r="AF532" s="575"/>
      <c r="AG532" s="960"/>
      <c r="AH532" s="842"/>
      <c r="AI532" s="839">
        <f t="shared" si="28"/>
        <v>0</v>
      </c>
      <c r="AJ532" s="949">
        <v>0</v>
      </c>
      <c r="AK532" s="581">
        <f t="shared" si="26"/>
        <v>0</v>
      </c>
      <c r="AL532" s="750"/>
      <c r="AM532" s="743">
        <f t="shared" si="27"/>
        <v>0</v>
      </c>
    </row>
    <row r="533" spans="1:39" s="560" customFormat="1" hidden="1">
      <c r="A533" s="604" t="s">
        <v>997</v>
      </c>
      <c r="B533" s="604" t="s">
        <v>1300</v>
      </c>
      <c r="C533" s="614" t="s">
        <v>37</v>
      </c>
      <c r="D533" s="580"/>
      <c r="E533" s="981"/>
      <c r="F533" s="581"/>
      <c r="G533" s="581"/>
      <c r="H533" s="581"/>
      <c r="I533" s="949"/>
      <c r="J533" s="949"/>
      <c r="K533" s="949"/>
      <c r="L533" s="989"/>
      <c r="M533" s="575"/>
      <c r="N533" s="575"/>
      <c r="O533" s="575"/>
      <c r="P533" s="575"/>
      <c r="Q533" s="575"/>
      <c r="R533" s="575"/>
      <c r="S533" s="989"/>
      <c r="T533" s="575"/>
      <c r="U533" s="575"/>
      <c r="V533" s="575"/>
      <c r="W533" s="575"/>
      <c r="X533" s="575"/>
      <c r="Y533" s="575"/>
      <c r="Z533" s="989"/>
      <c r="AA533" s="575"/>
      <c r="AB533" s="575"/>
      <c r="AC533" s="575"/>
      <c r="AD533" s="575"/>
      <c r="AE533" s="827"/>
      <c r="AF533" s="575"/>
      <c r="AG533" s="960"/>
      <c r="AH533" s="842"/>
      <c r="AI533" s="839">
        <f t="shared" si="28"/>
        <v>0</v>
      </c>
      <c r="AJ533" s="949">
        <v>0</v>
      </c>
      <c r="AK533" s="581">
        <f t="shared" si="26"/>
        <v>0</v>
      </c>
      <c r="AL533" s="750" t="s">
        <v>1726</v>
      </c>
      <c r="AM533" s="743">
        <f t="shared" si="27"/>
        <v>36.799999999999997</v>
      </c>
    </row>
    <row r="534" spans="1:39" s="560" customFormat="1" hidden="1">
      <c r="A534" s="492" t="s">
        <v>998</v>
      </c>
      <c r="B534" s="608" t="s">
        <v>1308</v>
      </c>
      <c r="C534" s="690"/>
      <c r="D534" s="580"/>
      <c r="E534" s="981"/>
      <c r="F534" s="581"/>
      <c r="G534" s="581"/>
      <c r="H534" s="581"/>
      <c r="I534" s="949"/>
      <c r="J534" s="949"/>
      <c r="K534" s="949"/>
      <c r="L534" s="989"/>
      <c r="M534" s="575"/>
      <c r="N534" s="575"/>
      <c r="O534" s="575"/>
      <c r="P534" s="575"/>
      <c r="Q534" s="575"/>
      <c r="R534" s="575"/>
      <c r="S534" s="989"/>
      <c r="T534" s="575"/>
      <c r="U534" s="575"/>
      <c r="V534" s="575"/>
      <c r="W534" s="575"/>
      <c r="X534" s="575"/>
      <c r="Y534" s="575"/>
      <c r="Z534" s="989"/>
      <c r="AA534" s="575"/>
      <c r="AB534" s="575"/>
      <c r="AC534" s="575"/>
      <c r="AD534" s="575"/>
      <c r="AE534" s="827"/>
      <c r="AF534" s="575"/>
      <c r="AG534" s="960"/>
      <c r="AH534" s="842"/>
      <c r="AI534" s="839">
        <f t="shared" si="28"/>
        <v>0</v>
      </c>
      <c r="AJ534" s="949">
        <v>0</v>
      </c>
      <c r="AK534" s="581">
        <f t="shared" si="26"/>
        <v>0</v>
      </c>
      <c r="AL534" s="750"/>
      <c r="AM534" s="743">
        <f t="shared" si="27"/>
        <v>0</v>
      </c>
    </row>
    <row r="535" spans="1:39" s="560" customFormat="1" hidden="1">
      <c r="A535" s="607" t="s">
        <v>999</v>
      </c>
      <c r="B535" s="607" t="s">
        <v>1309</v>
      </c>
      <c r="C535" s="690"/>
      <c r="D535" s="580"/>
      <c r="E535" s="981"/>
      <c r="F535" s="581"/>
      <c r="G535" s="581"/>
      <c r="H535" s="581"/>
      <c r="I535" s="949"/>
      <c r="J535" s="949"/>
      <c r="K535" s="949"/>
      <c r="L535" s="989"/>
      <c r="M535" s="575"/>
      <c r="N535" s="575"/>
      <c r="O535" s="575"/>
      <c r="P535" s="575"/>
      <c r="Q535" s="575"/>
      <c r="R535" s="575"/>
      <c r="S535" s="989"/>
      <c r="T535" s="575"/>
      <c r="U535" s="575"/>
      <c r="V535" s="575"/>
      <c r="W535" s="575"/>
      <c r="X535" s="575"/>
      <c r="Y535" s="575"/>
      <c r="Z535" s="989"/>
      <c r="AA535" s="575"/>
      <c r="AB535" s="575"/>
      <c r="AC535" s="575"/>
      <c r="AD535" s="575"/>
      <c r="AE535" s="827"/>
      <c r="AF535" s="575"/>
      <c r="AG535" s="960"/>
      <c r="AH535" s="842"/>
      <c r="AI535" s="839">
        <f t="shared" si="28"/>
        <v>0</v>
      </c>
      <c r="AJ535" s="949">
        <v>0</v>
      </c>
      <c r="AK535" s="581">
        <f t="shared" si="26"/>
        <v>0</v>
      </c>
      <c r="AL535" s="750"/>
      <c r="AM535" s="743">
        <f t="shared" si="27"/>
        <v>0</v>
      </c>
    </row>
    <row r="536" spans="1:39" s="560" customFormat="1" hidden="1">
      <c r="A536" s="604" t="s">
        <v>1000</v>
      </c>
      <c r="B536" s="604" t="s">
        <v>1310</v>
      </c>
      <c r="C536" s="614" t="s">
        <v>36</v>
      </c>
      <c r="D536" s="580"/>
      <c r="E536" s="981"/>
      <c r="F536" s="581"/>
      <c r="G536" s="581"/>
      <c r="H536" s="581"/>
      <c r="I536" s="949"/>
      <c r="J536" s="949"/>
      <c r="K536" s="949"/>
      <c r="L536" s="989"/>
      <c r="M536" s="575"/>
      <c r="N536" s="575"/>
      <c r="O536" s="575"/>
      <c r="P536" s="575"/>
      <c r="Q536" s="575"/>
      <c r="R536" s="575"/>
      <c r="S536" s="989"/>
      <c r="T536" s="575"/>
      <c r="U536" s="575"/>
      <c r="V536" s="575"/>
      <c r="W536" s="575"/>
      <c r="X536" s="575"/>
      <c r="Y536" s="575"/>
      <c r="Z536" s="989"/>
      <c r="AA536" s="575"/>
      <c r="AB536" s="575"/>
      <c r="AC536" s="575"/>
      <c r="AD536" s="575"/>
      <c r="AE536" s="827"/>
      <c r="AF536" s="575"/>
      <c r="AG536" s="960"/>
      <c r="AH536" s="842"/>
      <c r="AI536" s="839">
        <f t="shared" si="28"/>
        <v>0</v>
      </c>
      <c r="AJ536" s="949">
        <v>0</v>
      </c>
      <c r="AK536" s="581">
        <f t="shared" si="26"/>
        <v>0</v>
      </c>
      <c r="AL536" s="750" t="s">
        <v>1727</v>
      </c>
      <c r="AM536" s="743">
        <f t="shared" si="27"/>
        <v>42.32</v>
      </c>
    </row>
    <row r="537" spans="1:39" s="560" customFormat="1" hidden="1">
      <c r="A537" s="604" t="s">
        <v>1001</v>
      </c>
      <c r="B537" s="604" t="s">
        <v>1311</v>
      </c>
      <c r="C537" s="614" t="s">
        <v>36</v>
      </c>
      <c r="D537" s="580"/>
      <c r="E537" s="981"/>
      <c r="F537" s="581"/>
      <c r="G537" s="581"/>
      <c r="H537" s="581"/>
      <c r="I537" s="949"/>
      <c r="J537" s="949"/>
      <c r="K537" s="949"/>
      <c r="L537" s="989"/>
      <c r="M537" s="575"/>
      <c r="N537" s="575"/>
      <c r="O537" s="575"/>
      <c r="P537" s="575"/>
      <c r="Q537" s="575"/>
      <c r="R537" s="575"/>
      <c r="S537" s="989"/>
      <c r="T537" s="575"/>
      <c r="U537" s="575"/>
      <c r="V537" s="575"/>
      <c r="W537" s="575"/>
      <c r="X537" s="575"/>
      <c r="Y537" s="575"/>
      <c r="Z537" s="989"/>
      <c r="AA537" s="575"/>
      <c r="AB537" s="575"/>
      <c r="AC537" s="575"/>
      <c r="AD537" s="575"/>
      <c r="AE537" s="827"/>
      <c r="AF537" s="575"/>
      <c r="AG537" s="960"/>
      <c r="AH537" s="842"/>
      <c r="AI537" s="839">
        <f t="shared" si="28"/>
        <v>0</v>
      </c>
      <c r="AJ537" s="949">
        <v>0</v>
      </c>
      <c r="AK537" s="581">
        <f t="shared" si="26"/>
        <v>0</v>
      </c>
      <c r="AL537" s="750" t="s">
        <v>1727</v>
      </c>
      <c r="AM537" s="743">
        <f t="shared" si="27"/>
        <v>42.32</v>
      </c>
    </row>
    <row r="538" spans="1:39" s="560" customFormat="1" ht="13.8" hidden="1" thickBot="1">
      <c r="A538" s="604" t="s">
        <v>1002</v>
      </c>
      <c r="B538" s="604" t="s">
        <v>1312</v>
      </c>
      <c r="C538" s="614" t="s">
        <v>35</v>
      </c>
      <c r="D538" s="580"/>
      <c r="E538" s="981"/>
      <c r="F538" s="581"/>
      <c r="G538" s="581"/>
      <c r="H538" s="581"/>
      <c r="I538" s="949"/>
      <c r="J538" s="949"/>
      <c r="K538" s="949"/>
      <c r="L538" s="989"/>
      <c r="M538" s="575"/>
      <c r="N538" s="575"/>
      <c r="O538" s="575"/>
      <c r="P538" s="575"/>
      <c r="Q538" s="575"/>
      <c r="R538" s="575"/>
      <c r="S538" s="989"/>
      <c r="T538" s="575"/>
      <c r="U538" s="575"/>
      <c r="V538" s="575"/>
      <c r="W538" s="575"/>
      <c r="X538" s="575"/>
      <c r="Y538" s="575"/>
      <c r="Z538" s="989"/>
      <c r="AA538" s="575"/>
      <c r="AB538" s="575"/>
      <c r="AC538" s="575"/>
      <c r="AD538" s="575"/>
      <c r="AE538" s="827"/>
      <c r="AF538" s="575"/>
      <c r="AG538" s="960"/>
      <c r="AH538" s="842"/>
      <c r="AI538" s="839">
        <f t="shared" si="28"/>
        <v>0</v>
      </c>
      <c r="AJ538" s="949">
        <v>0</v>
      </c>
      <c r="AK538" s="581">
        <f t="shared" si="26"/>
        <v>0</v>
      </c>
      <c r="AL538" s="750" t="s">
        <v>1728</v>
      </c>
      <c r="AM538" s="743">
        <f t="shared" si="27"/>
        <v>10</v>
      </c>
    </row>
    <row r="539" spans="1:39" s="560" customFormat="1" hidden="1">
      <c r="A539" s="606" t="s">
        <v>474</v>
      </c>
      <c r="B539" s="606" t="s">
        <v>1313</v>
      </c>
      <c r="C539" s="690"/>
      <c r="D539" s="580"/>
      <c r="E539" s="981"/>
      <c r="F539" s="581"/>
      <c r="G539" s="581"/>
      <c r="H539" s="581"/>
      <c r="I539" s="949"/>
      <c r="J539" s="949"/>
      <c r="K539" s="949"/>
      <c r="L539" s="989"/>
      <c r="M539" s="575"/>
      <c r="N539" s="575"/>
      <c r="O539" s="575"/>
      <c r="P539" s="575"/>
      <c r="Q539" s="575"/>
      <c r="R539" s="575"/>
      <c r="S539" s="989"/>
      <c r="T539" s="575"/>
      <c r="U539" s="575"/>
      <c r="V539" s="575"/>
      <c r="W539" s="575"/>
      <c r="X539" s="575"/>
      <c r="Y539" s="575"/>
      <c r="Z539" s="989"/>
      <c r="AA539" s="575"/>
      <c r="AB539" s="575"/>
      <c r="AC539" s="575"/>
      <c r="AD539" s="575"/>
      <c r="AE539" s="827"/>
      <c r="AF539" s="575"/>
      <c r="AG539" s="960"/>
      <c r="AH539" s="842"/>
      <c r="AI539" s="839">
        <f t="shared" si="28"/>
        <v>0</v>
      </c>
      <c r="AJ539" s="949">
        <v>0</v>
      </c>
      <c r="AK539" s="581">
        <f t="shared" si="26"/>
        <v>0</v>
      </c>
      <c r="AL539" s="750"/>
      <c r="AM539" s="743">
        <f t="shared" si="27"/>
        <v>0</v>
      </c>
    </row>
    <row r="540" spans="1:39" s="560" customFormat="1" hidden="1">
      <c r="A540" s="492" t="s">
        <v>475</v>
      </c>
      <c r="B540" s="608" t="s">
        <v>1314</v>
      </c>
      <c r="C540" s="690"/>
      <c r="D540" s="580"/>
      <c r="E540" s="981"/>
      <c r="F540" s="581"/>
      <c r="G540" s="581"/>
      <c r="H540" s="581"/>
      <c r="I540" s="949"/>
      <c r="J540" s="949"/>
      <c r="K540" s="949"/>
      <c r="L540" s="989"/>
      <c r="M540" s="575"/>
      <c r="N540" s="575"/>
      <c r="O540" s="575"/>
      <c r="P540" s="575"/>
      <c r="Q540" s="575"/>
      <c r="R540" s="575"/>
      <c r="S540" s="989"/>
      <c r="T540" s="575"/>
      <c r="U540" s="575"/>
      <c r="V540" s="575"/>
      <c r="W540" s="575"/>
      <c r="X540" s="575"/>
      <c r="Y540" s="575"/>
      <c r="Z540" s="989"/>
      <c r="AA540" s="575"/>
      <c r="AB540" s="575"/>
      <c r="AC540" s="575"/>
      <c r="AD540" s="575"/>
      <c r="AE540" s="827"/>
      <c r="AF540" s="575"/>
      <c r="AG540" s="960"/>
      <c r="AH540" s="842"/>
      <c r="AI540" s="839">
        <f t="shared" si="28"/>
        <v>0</v>
      </c>
      <c r="AJ540" s="949">
        <v>0</v>
      </c>
      <c r="AK540" s="581">
        <f t="shared" si="26"/>
        <v>0</v>
      </c>
      <c r="AL540" s="750"/>
      <c r="AM540" s="743">
        <f t="shared" si="27"/>
        <v>0</v>
      </c>
    </row>
    <row r="541" spans="1:39" s="560" customFormat="1" hidden="1">
      <c r="A541" s="607" t="s">
        <v>476</v>
      </c>
      <c r="B541" s="607" t="s">
        <v>1315</v>
      </c>
      <c r="C541" s="614" t="s">
        <v>1436</v>
      </c>
      <c r="D541" s="580"/>
      <c r="E541" s="981"/>
      <c r="F541" s="581"/>
      <c r="G541" s="581"/>
      <c r="H541" s="581"/>
      <c r="I541" s="949"/>
      <c r="J541" s="949"/>
      <c r="K541" s="949"/>
      <c r="L541" s="989"/>
      <c r="M541" s="575"/>
      <c r="N541" s="575"/>
      <c r="O541" s="575"/>
      <c r="P541" s="575"/>
      <c r="Q541" s="575"/>
      <c r="R541" s="575"/>
      <c r="S541" s="989"/>
      <c r="T541" s="575"/>
      <c r="U541" s="575"/>
      <c r="V541" s="575"/>
      <c r="W541" s="575"/>
      <c r="X541" s="575"/>
      <c r="Y541" s="575"/>
      <c r="Z541" s="989"/>
      <c r="AA541" s="575"/>
      <c r="AB541" s="575"/>
      <c r="AC541" s="575"/>
      <c r="AD541" s="575"/>
      <c r="AE541" s="827"/>
      <c r="AF541" s="575"/>
      <c r="AG541" s="960"/>
      <c r="AH541" s="842"/>
      <c r="AI541" s="839">
        <f t="shared" si="28"/>
        <v>0</v>
      </c>
      <c r="AJ541" s="949">
        <v>0</v>
      </c>
      <c r="AK541" s="581">
        <f t="shared" si="26"/>
        <v>0</v>
      </c>
      <c r="AL541" s="750" t="s">
        <v>1657</v>
      </c>
      <c r="AM541" s="743">
        <f t="shared" si="27"/>
        <v>4</v>
      </c>
    </row>
    <row r="542" spans="1:39" s="560" customFormat="1" hidden="1">
      <c r="A542" s="607" t="s">
        <v>477</v>
      </c>
      <c r="B542" s="607" t="s">
        <v>1316</v>
      </c>
      <c r="C542" s="614" t="s">
        <v>1436</v>
      </c>
      <c r="D542" s="580"/>
      <c r="E542" s="981"/>
      <c r="F542" s="581"/>
      <c r="G542" s="581"/>
      <c r="H542" s="581"/>
      <c r="I542" s="949"/>
      <c r="J542" s="949"/>
      <c r="K542" s="949"/>
      <c r="L542" s="989"/>
      <c r="M542" s="575"/>
      <c r="N542" s="575"/>
      <c r="O542" s="575"/>
      <c r="P542" s="575"/>
      <c r="Q542" s="575"/>
      <c r="R542" s="575"/>
      <c r="S542" s="989"/>
      <c r="T542" s="575"/>
      <c r="U542" s="575"/>
      <c r="V542" s="575"/>
      <c r="W542" s="575"/>
      <c r="X542" s="575"/>
      <c r="Y542" s="575"/>
      <c r="Z542" s="989"/>
      <c r="AA542" s="575"/>
      <c r="AB542" s="575"/>
      <c r="AC542" s="575"/>
      <c r="AD542" s="575"/>
      <c r="AE542" s="827"/>
      <c r="AF542" s="575"/>
      <c r="AG542" s="960"/>
      <c r="AH542" s="842"/>
      <c r="AI542" s="839">
        <f t="shared" si="28"/>
        <v>0</v>
      </c>
      <c r="AJ542" s="949">
        <v>0</v>
      </c>
      <c r="AK542" s="581">
        <f t="shared" si="26"/>
        <v>0</v>
      </c>
      <c r="AL542" s="750" t="s">
        <v>1684</v>
      </c>
      <c r="AM542" s="743">
        <f t="shared" si="27"/>
        <v>2</v>
      </c>
    </row>
    <row r="543" spans="1:39" s="560" customFormat="1" hidden="1">
      <c r="A543" s="607" t="s">
        <v>478</v>
      </c>
      <c r="B543" s="607" t="s">
        <v>1317</v>
      </c>
      <c r="C543" s="614" t="s">
        <v>1436</v>
      </c>
      <c r="D543" s="580"/>
      <c r="E543" s="981"/>
      <c r="F543" s="581"/>
      <c r="G543" s="581"/>
      <c r="H543" s="581"/>
      <c r="I543" s="949"/>
      <c r="J543" s="949"/>
      <c r="K543" s="949"/>
      <c r="L543" s="989"/>
      <c r="M543" s="575"/>
      <c r="N543" s="575"/>
      <c r="O543" s="575"/>
      <c r="P543" s="575"/>
      <c r="Q543" s="575"/>
      <c r="R543" s="575"/>
      <c r="S543" s="989"/>
      <c r="T543" s="575"/>
      <c r="U543" s="575"/>
      <c r="V543" s="575"/>
      <c r="W543" s="575"/>
      <c r="X543" s="575"/>
      <c r="Y543" s="575"/>
      <c r="Z543" s="989"/>
      <c r="AA543" s="575"/>
      <c r="AB543" s="575"/>
      <c r="AC543" s="575"/>
      <c r="AD543" s="575"/>
      <c r="AE543" s="827"/>
      <c r="AF543" s="575"/>
      <c r="AG543" s="960"/>
      <c r="AH543" s="842"/>
      <c r="AI543" s="839">
        <f t="shared" si="28"/>
        <v>0</v>
      </c>
      <c r="AJ543" s="949">
        <v>0</v>
      </c>
      <c r="AK543" s="581">
        <f t="shared" si="26"/>
        <v>0</v>
      </c>
      <c r="AL543" s="750" t="s">
        <v>1657</v>
      </c>
      <c r="AM543" s="743">
        <f t="shared" si="27"/>
        <v>4</v>
      </c>
    </row>
    <row r="544" spans="1:39" s="560" customFormat="1" hidden="1">
      <c r="A544" s="607" t="s">
        <v>1003</v>
      </c>
      <c r="B544" s="607" t="s">
        <v>1318</v>
      </c>
      <c r="C544" s="614" t="s">
        <v>1436</v>
      </c>
      <c r="D544" s="580"/>
      <c r="E544" s="981"/>
      <c r="F544" s="581"/>
      <c r="G544" s="581"/>
      <c r="H544" s="581"/>
      <c r="I544" s="949"/>
      <c r="J544" s="949"/>
      <c r="K544" s="949"/>
      <c r="L544" s="989"/>
      <c r="M544" s="575"/>
      <c r="N544" s="575"/>
      <c r="O544" s="575"/>
      <c r="P544" s="575"/>
      <c r="Q544" s="575"/>
      <c r="R544" s="575"/>
      <c r="S544" s="989"/>
      <c r="T544" s="575"/>
      <c r="U544" s="575"/>
      <c r="V544" s="575"/>
      <c r="W544" s="575"/>
      <c r="X544" s="575"/>
      <c r="Y544" s="575"/>
      <c r="Z544" s="989"/>
      <c r="AA544" s="575"/>
      <c r="AB544" s="575"/>
      <c r="AC544" s="575"/>
      <c r="AD544" s="575"/>
      <c r="AE544" s="827"/>
      <c r="AF544" s="575"/>
      <c r="AG544" s="960"/>
      <c r="AH544" s="842"/>
      <c r="AI544" s="839">
        <f t="shared" si="28"/>
        <v>0</v>
      </c>
      <c r="AJ544" s="949">
        <v>0</v>
      </c>
      <c r="AK544" s="581">
        <f t="shared" si="26"/>
        <v>0</v>
      </c>
      <c r="AL544" s="750" t="s">
        <v>1684</v>
      </c>
      <c r="AM544" s="743">
        <f t="shared" si="27"/>
        <v>2</v>
      </c>
    </row>
    <row r="545" spans="1:39" s="560" customFormat="1" hidden="1">
      <c r="A545" s="607" t="s">
        <v>1004</v>
      </c>
      <c r="B545" s="607" t="s">
        <v>1319</v>
      </c>
      <c r="C545" s="614" t="s">
        <v>1436</v>
      </c>
      <c r="D545" s="580"/>
      <c r="E545" s="981"/>
      <c r="F545" s="581"/>
      <c r="G545" s="581"/>
      <c r="H545" s="581"/>
      <c r="I545" s="949"/>
      <c r="J545" s="949"/>
      <c r="K545" s="949"/>
      <c r="L545" s="989"/>
      <c r="M545" s="575"/>
      <c r="N545" s="575"/>
      <c r="O545" s="575"/>
      <c r="P545" s="575"/>
      <c r="Q545" s="575"/>
      <c r="R545" s="575"/>
      <c r="S545" s="989"/>
      <c r="T545" s="575"/>
      <c r="U545" s="575"/>
      <c r="V545" s="575"/>
      <c r="W545" s="575"/>
      <c r="X545" s="575"/>
      <c r="Y545" s="575"/>
      <c r="Z545" s="989"/>
      <c r="AA545" s="575"/>
      <c r="AB545" s="575"/>
      <c r="AC545" s="575"/>
      <c r="AD545" s="575"/>
      <c r="AE545" s="827"/>
      <c r="AF545" s="575"/>
      <c r="AG545" s="960"/>
      <c r="AH545" s="842"/>
      <c r="AI545" s="839">
        <f t="shared" si="28"/>
        <v>0</v>
      </c>
      <c r="AJ545" s="949">
        <v>0</v>
      </c>
      <c r="AK545" s="581">
        <f t="shared" si="26"/>
        <v>0</v>
      </c>
      <c r="AL545" s="750" t="s">
        <v>1441</v>
      </c>
      <c r="AM545" s="743">
        <f t="shared" si="27"/>
        <v>1</v>
      </c>
    </row>
    <row r="546" spans="1:39" s="560" customFormat="1" hidden="1">
      <c r="A546" s="607" t="s">
        <v>1005</v>
      </c>
      <c r="B546" s="607" t="s">
        <v>1320</v>
      </c>
      <c r="C546" s="614" t="s">
        <v>1436</v>
      </c>
      <c r="D546" s="580"/>
      <c r="E546" s="981"/>
      <c r="F546" s="581"/>
      <c r="G546" s="581"/>
      <c r="H546" s="581"/>
      <c r="I546" s="949"/>
      <c r="J546" s="949"/>
      <c r="K546" s="949"/>
      <c r="L546" s="989"/>
      <c r="M546" s="575"/>
      <c r="N546" s="575"/>
      <c r="O546" s="575"/>
      <c r="P546" s="575"/>
      <c r="Q546" s="575"/>
      <c r="R546" s="575"/>
      <c r="S546" s="989"/>
      <c r="T546" s="575"/>
      <c r="U546" s="575"/>
      <c r="V546" s="575"/>
      <c r="W546" s="575"/>
      <c r="X546" s="575"/>
      <c r="Y546" s="575"/>
      <c r="Z546" s="989"/>
      <c r="AA546" s="575"/>
      <c r="AB546" s="575"/>
      <c r="AC546" s="575"/>
      <c r="AD546" s="575"/>
      <c r="AE546" s="827"/>
      <c r="AF546" s="575"/>
      <c r="AG546" s="960"/>
      <c r="AH546" s="842"/>
      <c r="AI546" s="839">
        <f t="shared" si="28"/>
        <v>0</v>
      </c>
      <c r="AJ546" s="949">
        <v>0</v>
      </c>
      <c r="AK546" s="581">
        <f t="shared" si="26"/>
        <v>0</v>
      </c>
      <c r="AL546" s="750" t="s">
        <v>1603</v>
      </c>
      <c r="AM546" s="743">
        <f t="shared" si="27"/>
        <v>6</v>
      </c>
    </row>
    <row r="547" spans="1:39" s="560" customFormat="1" hidden="1">
      <c r="A547" s="607" t="s">
        <v>1006</v>
      </c>
      <c r="B547" s="607" t="s">
        <v>1321</v>
      </c>
      <c r="C547" s="614" t="s">
        <v>1436</v>
      </c>
      <c r="D547" s="580"/>
      <c r="E547" s="981"/>
      <c r="F547" s="581"/>
      <c r="G547" s="581"/>
      <c r="H547" s="581"/>
      <c r="I547" s="949"/>
      <c r="J547" s="949"/>
      <c r="K547" s="949"/>
      <c r="L547" s="989"/>
      <c r="M547" s="575"/>
      <c r="N547" s="575"/>
      <c r="O547" s="575"/>
      <c r="P547" s="575"/>
      <c r="Q547" s="575"/>
      <c r="R547" s="575"/>
      <c r="S547" s="989"/>
      <c r="T547" s="575"/>
      <c r="U547" s="575"/>
      <c r="V547" s="575"/>
      <c r="W547" s="575"/>
      <c r="X547" s="575"/>
      <c r="Y547" s="575"/>
      <c r="Z547" s="989"/>
      <c r="AA547" s="575"/>
      <c r="AB547" s="575"/>
      <c r="AC547" s="575"/>
      <c r="AD547" s="575"/>
      <c r="AE547" s="827"/>
      <c r="AF547" s="575"/>
      <c r="AG547" s="960"/>
      <c r="AH547" s="842"/>
      <c r="AI547" s="839">
        <f t="shared" si="28"/>
        <v>0</v>
      </c>
      <c r="AJ547" s="949">
        <v>0</v>
      </c>
      <c r="AK547" s="581">
        <f t="shared" si="26"/>
        <v>0</v>
      </c>
      <c r="AL547" s="750" t="s">
        <v>1657</v>
      </c>
      <c r="AM547" s="743">
        <f t="shared" si="27"/>
        <v>4</v>
      </c>
    </row>
    <row r="548" spans="1:39" s="560" customFormat="1" hidden="1">
      <c r="A548" s="607" t="s">
        <v>1007</v>
      </c>
      <c r="B548" s="607" t="s">
        <v>1322</v>
      </c>
      <c r="C548" s="614" t="s">
        <v>1437</v>
      </c>
      <c r="D548" s="580"/>
      <c r="E548" s="981"/>
      <c r="F548" s="581"/>
      <c r="G548" s="581"/>
      <c r="H548" s="581"/>
      <c r="I548" s="949"/>
      <c r="J548" s="949"/>
      <c r="K548" s="949"/>
      <c r="L548" s="989"/>
      <c r="M548" s="575"/>
      <c r="N548" s="575"/>
      <c r="O548" s="575"/>
      <c r="P548" s="575"/>
      <c r="Q548" s="575"/>
      <c r="R548" s="575"/>
      <c r="S548" s="989"/>
      <c r="T548" s="575"/>
      <c r="U548" s="575"/>
      <c r="V548" s="575"/>
      <c r="W548" s="575"/>
      <c r="X548" s="575"/>
      <c r="Y548" s="575"/>
      <c r="Z548" s="989"/>
      <c r="AA548" s="575"/>
      <c r="AB548" s="575"/>
      <c r="AC548" s="575"/>
      <c r="AD548" s="575"/>
      <c r="AE548" s="827"/>
      <c r="AF548" s="575"/>
      <c r="AG548" s="960"/>
      <c r="AH548" s="842"/>
      <c r="AI548" s="839">
        <f t="shared" si="28"/>
        <v>0</v>
      </c>
      <c r="AJ548" s="949">
        <v>0</v>
      </c>
      <c r="AK548" s="581">
        <f t="shared" si="26"/>
        <v>0</v>
      </c>
      <c r="AL548" s="750" t="s">
        <v>1441</v>
      </c>
      <c r="AM548" s="743">
        <f t="shared" si="27"/>
        <v>1</v>
      </c>
    </row>
    <row r="549" spans="1:39" s="560" customFormat="1" hidden="1">
      <c r="A549" s="607" t="s">
        <v>1008</v>
      </c>
      <c r="B549" s="607" t="s">
        <v>1323</v>
      </c>
      <c r="C549" s="614" t="s">
        <v>40</v>
      </c>
      <c r="D549" s="580"/>
      <c r="E549" s="981"/>
      <c r="F549" s="581"/>
      <c r="G549" s="581"/>
      <c r="H549" s="581"/>
      <c r="I549" s="949"/>
      <c r="J549" s="949"/>
      <c r="K549" s="949"/>
      <c r="L549" s="989"/>
      <c r="M549" s="575"/>
      <c r="N549" s="575"/>
      <c r="O549" s="575"/>
      <c r="P549" s="575"/>
      <c r="Q549" s="575"/>
      <c r="R549" s="575"/>
      <c r="S549" s="989"/>
      <c r="T549" s="575"/>
      <c r="U549" s="575"/>
      <c r="V549" s="575"/>
      <c r="W549" s="575"/>
      <c r="X549" s="575"/>
      <c r="Y549" s="575"/>
      <c r="Z549" s="989"/>
      <c r="AA549" s="575"/>
      <c r="AB549" s="575"/>
      <c r="AC549" s="575"/>
      <c r="AD549" s="575"/>
      <c r="AE549" s="827"/>
      <c r="AF549" s="575"/>
      <c r="AG549" s="960"/>
      <c r="AH549" s="842"/>
      <c r="AI549" s="839">
        <f t="shared" si="28"/>
        <v>0</v>
      </c>
      <c r="AJ549" s="949">
        <v>0</v>
      </c>
      <c r="AK549" s="581">
        <f t="shared" si="26"/>
        <v>0</v>
      </c>
      <c r="AL549" s="750" t="s">
        <v>1441</v>
      </c>
      <c r="AM549" s="743">
        <f t="shared" si="27"/>
        <v>1</v>
      </c>
    </row>
    <row r="550" spans="1:39" s="560" customFormat="1" hidden="1">
      <c r="A550" s="607" t="s">
        <v>1009</v>
      </c>
      <c r="B550" s="607" t="s">
        <v>1324</v>
      </c>
      <c r="C550" s="614" t="s">
        <v>1436</v>
      </c>
      <c r="D550" s="580"/>
      <c r="E550" s="981"/>
      <c r="F550" s="581"/>
      <c r="G550" s="581"/>
      <c r="H550" s="581"/>
      <c r="I550" s="949"/>
      <c r="J550" s="949"/>
      <c r="K550" s="949"/>
      <c r="L550" s="989"/>
      <c r="M550" s="575"/>
      <c r="N550" s="575"/>
      <c r="O550" s="575"/>
      <c r="P550" s="575"/>
      <c r="Q550" s="575"/>
      <c r="R550" s="575"/>
      <c r="S550" s="989"/>
      <c r="T550" s="575"/>
      <c r="U550" s="575"/>
      <c r="V550" s="575"/>
      <c r="W550" s="575"/>
      <c r="X550" s="575"/>
      <c r="Y550" s="575"/>
      <c r="Z550" s="989"/>
      <c r="AA550" s="575"/>
      <c r="AB550" s="575"/>
      <c r="AC550" s="575"/>
      <c r="AD550" s="575"/>
      <c r="AE550" s="827"/>
      <c r="AF550" s="575"/>
      <c r="AG550" s="960"/>
      <c r="AH550" s="842"/>
      <c r="AI550" s="839">
        <f t="shared" si="28"/>
        <v>0</v>
      </c>
      <c r="AJ550" s="949">
        <v>0</v>
      </c>
      <c r="AK550" s="581">
        <f t="shared" si="26"/>
        <v>0</v>
      </c>
      <c r="AL550" s="750" t="s">
        <v>1441</v>
      </c>
      <c r="AM550" s="743">
        <f t="shared" si="27"/>
        <v>1</v>
      </c>
    </row>
    <row r="551" spans="1:39" s="560" customFormat="1" hidden="1">
      <c r="A551" s="607" t="s">
        <v>1010</v>
      </c>
      <c r="B551" s="607" t="s">
        <v>1325</v>
      </c>
      <c r="C551" s="614" t="s">
        <v>1437</v>
      </c>
      <c r="D551" s="580"/>
      <c r="E551" s="981"/>
      <c r="F551" s="581"/>
      <c r="G551" s="581"/>
      <c r="H551" s="581"/>
      <c r="I551" s="949"/>
      <c r="J551" s="949"/>
      <c r="K551" s="949"/>
      <c r="L551" s="989"/>
      <c r="M551" s="575"/>
      <c r="N551" s="575"/>
      <c r="O551" s="575"/>
      <c r="P551" s="575"/>
      <c r="Q551" s="575"/>
      <c r="R551" s="575"/>
      <c r="S551" s="989"/>
      <c r="T551" s="575"/>
      <c r="U551" s="575"/>
      <c r="V551" s="575"/>
      <c r="W551" s="575"/>
      <c r="X551" s="575"/>
      <c r="Y551" s="575"/>
      <c r="Z551" s="989"/>
      <c r="AA551" s="575"/>
      <c r="AB551" s="575"/>
      <c r="AC551" s="575"/>
      <c r="AD551" s="575"/>
      <c r="AE551" s="827"/>
      <c r="AF551" s="575"/>
      <c r="AG551" s="960"/>
      <c r="AH551" s="842"/>
      <c r="AI551" s="839">
        <f t="shared" si="28"/>
        <v>0</v>
      </c>
      <c r="AJ551" s="949">
        <v>0</v>
      </c>
      <c r="AK551" s="581">
        <f t="shared" si="26"/>
        <v>0</v>
      </c>
      <c r="AL551" s="750" t="s">
        <v>1729</v>
      </c>
      <c r="AM551" s="743">
        <f t="shared" si="27"/>
        <v>19</v>
      </c>
    </row>
    <row r="552" spans="1:39" s="560" customFormat="1" hidden="1">
      <c r="A552" s="492" t="s">
        <v>479</v>
      </c>
      <c r="B552" s="608" t="s">
        <v>1326</v>
      </c>
      <c r="C552" s="690"/>
      <c r="D552" s="580"/>
      <c r="E552" s="981"/>
      <c r="F552" s="581"/>
      <c r="G552" s="581"/>
      <c r="H552" s="581"/>
      <c r="I552" s="949"/>
      <c r="J552" s="949"/>
      <c r="K552" s="949"/>
      <c r="L552" s="989"/>
      <c r="M552" s="575"/>
      <c r="N552" s="575"/>
      <c r="O552" s="575"/>
      <c r="P552" s="575"/>
      <c r="Q552" s="575"/>
      <c r="R552" s="575"/>
      <c r="S552" s="989"/>
      <c r="T552" s="575"/>
      <c r="U552" s="575"/>
      <c r="V552" s="575"/>
      <c r="W552" s="575"/>
      <c r="X552" s="575"/>
      <c r="Y552" s="575"/>
      <c r="Z552" s="989"/>
      <c r="AA552" s="575"/>
      <c r="AB552" s="575"/>
      <c r="AC552" s="575"/>
      <c r="AD552" s="575"/>
      <c r="AE552" s="827"/>
      <c r="AF552" s="575"/>
      <c r="AG552" s="960"/>
      <c r="AH552" s="842"/>
      <c r="AI552" s="839">
        <f t="shared" si="28"/>
        <v>0</v>
      </c>
      <c r="AJ552" s="949">
        <v>0</v>
      </c>
      <c r="AK552" s="581">
        <f t="shared" si="26"/>
        <v>0</v>
      </c>
      <c r="AL552" s="750"/>
      <c r="AM552" s="743">
        <f t="shared" si="27"/>
        <v>0</v>
      </c>
    </row>
    <row r="553" spans="1:39" s="560" customFormat="1" hidden="1">
      <c r="A553" s="607" t="s">
        <v>480</v>
      </c>
      <c r="B553" s="607" t="s">
        <v>1327</v>
      </c>
      <c r="C553" s="614" t="s">
        <v>1438</v>
      </c>
      <c r="D553" s="580"/>
      <c r="E553" s="981"/>
      <c r="F553" s="581"/>
      <c r="G553" s="581"/>
      <c r="H553" s="581"/>
      <c r="I553" s="949"/>
      <c r="J553" s="949"/>
      <c r="K553" s="949"/>
      <c r="L553" s="989"/>
      <c r="M553" s="575"/>
      <c r="N553" s="575"/>
      <c r="O553" s="575"/>
      <c r="P553" s="575"/>
      <c r="Q553" s="575"/>
      <c r="R553" s="575"/>
      <c r="S553" s="989"/>
      <c r="T553" s="575"/>
      <c r="U553" s="575"/>
      <c r="V553" s="575"/>
      <c r="W553" s="575"/>
      <c r="X553" s="575"/>
      <c r="Y553" s="575"/>
      <c r="Z553" s="989"/>
      <c r="AA553" s="575"/>
      <c r="AB553" s="575"/>
      <c r="AC553" s="575"/>
      <c r="AD553" s="575"/>
      <c r="AE553" s="827"/>
      <c r="AF553" s="575"/>
      <c r="AG553" s="960"/>
      <c r="AH553" s="842"/>
      <c r="AI553" s="839">
        <f t="shared" si="28"/>
        <v>0</v>
      </c>
      <c r="AJ553" s="949">
        <v>0</v>
      </c>
      <c r="AK553" s="581">
        <f t="shared" si="26"/>
        <v>0</v>
      </c>
      <c r="AL553" s="750" t="s">
        <v>1657</v>
      </c>
      <c r="AM553" s="743">
        <f t="shared" si="27"/>
        <v>4</v>
      </c>
    </row>
    <row r="554" spans="1:39" s="560" customFormat="1" hidden="1">
      <c r="A554" s="607" t="s">
        <v>481</v>
      </c>
      <c r="B554" s="607" t="s">
        <v>1328</v>
      </c>
      <c r="C554" s="614" t="s">
        <v>1438</v>
      </c>
      <c r="D554" s="580"/>
      <c r="E554" s="981"/>
      <c r="F554" s="581"/>
      <c r="G554" s="581"/>
      <c r="H554" s="581"/>
      <c r="I554" s="949"/>
      <c r="J554" s="949"/>
      <c r="K554" s="949"/>
      <c r="L554" s="989"/>
      <c r="M554" s="575"/>
      <c r="N554" s="575"/>
      <c r="O554" s="575"/>
      <c r="P554" s="575"/>
      <c r="Q554" s="575"/>
      <c r="R554" s="575"/>
      <c r="S554" s="989"/>
      <c r="T554" s="575"/>
      <c r="U554" s="575"/>
      <c r="V554" s="575"/>
      <c r="W554" s="575"/>
      <c r="X554" s="575"/>
      <c r="Y554" s="575"/>
      <c r="Z554" s="989"/>
      <c r="AA554" s="575"/>
      <c r="AB554" s="575"/>
      <c r="AC554" s="575"/>
      <c r="AD554" s="575"/>
      <c r="AE554" s="827"/>
      <c r="AF554" s="575"/>
      <c r="AG554" s="960"/>
      <c r="AH554" s="842"/>
      <c r="AI554" s="839">
        <f t="shared" si="28"/>
        <v>0</v>
      </c>
      <c r="AJ554" s="949">
        <v>0</v>
      </c>
      <c r="AK554" s="581">
        <f t="shared" si="26"/>
        <v>0</v>
      </c>
      <c r="AL554" s="750" t="s">
        <v>1603</v>
      </c>
      <c r="AM554" s="743">
        <f t="shared" si="27"/>
        <v>6</v>
      </c>
    </row>
    <row r="555" spans="1:39" s="560" customFormat="1" hidden="1">
      <c r="A555" s="607" t="s">
        <v>482</v>
      </c>
      <c r="B555" s="607" t="s">
        <v>1329</v>
      </c>
      <c r="C555" s="614" t="s">
        <v>1438</v>
      </c>
      <c r="D555" s="580"/>
      <c r="E555" s="981"/>
      <c r="F555" s="581"/>
      <c r="G555" s="581"/>
      <c r="H555" s="581"/>
      <c r="I555" s="949"/>
      <c r="J555" s="949"/>
      <c r="K555" s="949"/>
      <c r="L555" s="989"/>
      <c r="M555" s="575"/>
      <c r="N555" s="575"/>
      <c r="O555" s="575"/>
      <c r="P555" s="575"/>
      <c r="Q555" s="575"/>
      <c r="R555" s="575"/>
      <c r="S555" s="989"/>
      <c r="T555" s="575"/>
      <c r="U555" s="575"/>
      <c r="V555" s="575"/>
      <c r="W555" s="575"/>
      <c r="X555" s="575"/>
      <c r="Y555" s="575"/>
      <c r="Z555" s="989"/>
      <c r="AA555" s="575"/>
      <c r="AB555" s="575"/>
      <c r="AC555" s="575"/>
      <c r="AD555" s="575"/>
      <c r="AE555" s="827"/>
      <c r="AF555" s="575"/>
      <c r="AG555" s="960"/>
      <c r="AH555" s="842"/>
      <c r="AI555" s="839">
        <f t="shared" si="28"/>
        <v>0</v>
      </c>
      <c r="AJ555" s="949">
        <v>0</v>
      </c>
      <c r="AK555" s="581">
        <f t="shared" si="26"/>
        <v>0</v>
      </c>
      <c r="AL555" s="750" t="s">
        <v>1728</v>
      </c>
      <c r="AM555" s="743">
        <f t="shared" si="27"/>
        <v>10</v>
      </c>
    </row>
    <row r="556" spans="1:39" s="560" customFormat="1" hidden="1">
      <c r="A556" s="607" t="s">
        <v>1011</v>
      </c>
      <c r="B556" s="607" t="s">
        <v>1330</v>
      </c>
      <c r="C556" s="614" t="s">
        <v>37</v>
      </c>
      <c r="D556" s="580"/>
      <c r="E556" s="981"/>
      <c r="F556" s="581"/>
      <c r="G556" s="581"/>
      <c r="H556" s="581"/>
      <c r="I556" s="949"/>
      <c r="J556" s="949"/>
      <c r="K556" s="949"/>
      <c r="L556" s="989"/>
      <c r="M556" s="575"/>
      <c r="N556" s="575"/>
      <c r="O556" s="575"/>
      <c r="P556" s="575"/>
      <c r="Q556" s="575"/>
      <c r="R556" s="575"/>
      <c r="S556" s="989"/>
      <c r="T556" s="575"/>
      <c r="U556" s="575"/>
      <c r="V556" s="575"/>
      <c r="W556" s="575"/>
      <c r="X556" s="575"/>
      <c r="Y556" s="575"/>
      <c r="Z556" s="989"/>
      <c r="AA556" s="575"/>
      <c r="AB556" s="575"/>
      <c r="AC556" s="575"/>
      <c r="AD556" s="575"/>
      <c r="AE556" s="827"/>
      <c r="AF556" s="575"/>
      <c r="AG556" s="960"/>
      <c r="AH556" s="842"/>
      <c r="AI556" s="839">
        <f t="shared" si="28"/>
        <v>0</v>
      </c>
      <c r="AJ556" s="949">
        <v>0</v>
      </c>
      <c r="AK556" s="581">
        <f t="shared" si="26"/>
        <v>0</v>
      </c>
      <c r="AL556" s="750" t="s">
        <v>1730</v>
      </c>
      <c r="AM556" s="743">
        <f t="shared" si="27"/>
        <v>32.450000000000003</v>
      </c>
    </row>
    <row r="557" spans="1:39" s="560" customFormat="1" hidden="1">
      <c r="A557" s="607" t="s">
        <v>1012</v>
      </c>
      <c r="B557" s="607" t="s">
        <v>1331</v>
      </c>
      <c r="C557" s="614" t="s">
        <v>37</v>
      </c>
      <c r="D557" s="580"/>
      <c r="E557" s="981"/>
      <c r="F557" s="581"/>
      <c r="G557" s="581"/>
      <c r="H557" s="581"/>
      <c r="I557" s="949"/>
      <c r="J557" s="949"/>
      <c r="K557" s="949"/>
      <c r="L557" s="989"/>
      <c r="M557" s="575"/>
      <c r="N557" s="575"/>
      <c r="O557" s="575"/>
      <c r="P557" s="575"/>
      <c r="Q557" s="575"/>
      <c r="R557" s="575"/>
      <c r="S557" s="989"/>
      <c r="T557" s="575"/>
      <c r="U557" s="575"/>
      <c r="V557" s="575"/>
      <c r="W557" s="575"/>
      <c r="X557" s="575"/>
      <c r="Y557" s="575"/>
      <c r="Z557" s="989"/>
      <c r="AA557" s="575"/>
      <c r="AB557" s="575"/>
      <c r="AC557" s="575"/>
      <c r="AD557" s="575"/>
      <c r="AE557" s="827"/>
      <c r="AF557" s="575"/>
      <c r="AG557" s="960"/>
      <c r="AH557" s="842"/>
      <c r="AI557" s="839">
        <f t="shared" si="28"/>
        <v>0</v>
      </c>
      <c r="AJ557" s="949">
        <v>0</v>
      </c>
      <c r="AK557" s="581">
        <f t="shared" si="26"/>
        <v>0</v>
      </c>
      <c r="AL557" s="750" t="s">
        <v>1731</v>
      </c>
      <c r="AM557" s="743">
        <f t="shared" si="27"/>
        <v>45.55</v>
      </c>
    </row>
    <row r="558" spans="1:39" s="560" customFormat="1" hidden="1">
      <c r="A558" s="607" t="s">
        <v>1013</v>
      </c>
      <c r="B558" s="607" t="s">
        <v>1332</v>
      </c>
      <c r="C558" s="614" t="s">
        <v>1436</v>
      </c>
      <c r="D558" s="580"/>
      <c r="E558" s="981"/>
      <c r="F558" s="581"/>
      <c r="G558" s="581"/>
      <c r="H558" s="581"/>
      <c r="I558" s="949"/>
      <c r="J558" s="949"/>
      <c r="K558" s="949"/>
      <c r="L558" s="989"/>
      <c r="M558" s="575"/>
      <c r="N558" s="575"/>
      <c r="O558" s="575"/>
      <c r="P558" s="575"/>
      <c r="Q558" s="575"/>
      <c r="R558" s="575"/>
      <c r="S558" s="989"/>
      <c r="T558" s="575"/>
      <c r="U558" s="575"/>
      <c r="V558" s="575"/>
      <c r="W558" s="575"/>
      <c r="X558" s="575"/>
      <c r="Y558" s="575"/>
      <c r="Z558" s="989"/>
      <c r="AA558" s="575"/>
      <c r="AB558" s="575"/>
      <c r="AC558" s="575"/>
      <c r="AD558" s="575"/>
      <c r="AE558" s="827"/>
      <c r="AF558" s="575"/>
      <c r="AG558" s="960"/>
      <c r="AH558" s="842"/>
      <c r="AI558" s="839">
        <f t="shared" si="28"/>
        <v>0</v>
      </c>
      <c r="AJ558" s="949">
        <v>0</v>
      </c>
      <c r="AK558" s="581">
        <f t="shared" si="26"/>
        <v>0</v>
      </c>
      <c r="AL558" s="750" t="s">
        <v>1657</v>
      </c>
      <c r="AM558" s="743">
        <f t="shared" si="27"/>
        <v>4</v>
      </c>
    </row>
    <row r="559" spans="1:39" s="560" customFormat="1" hidden="1">
      <c r="A559" s="607" t="s">
        <v>1014</v>
      </c>
      <c r="B559" s="607" t="s">
        <v>1333</v>
      </c>
      <c r="C559" s="614" t="s">
        <v>1436</v>
      </c>
      <c r="D559" s="580"/>
      <c r="E559" s="981"/>
      <c r="F559" s="581"/>
      <c r="G559" s="581"/>
      <c r="H559" s="581"/>
      <c r="I559" s="949"/>
      <c r="J559" s="949"/>
      <c r="K559" s="949"/>
      <c r="L559" s="989"/>
      <c r="M559" s="575"/>
      <c r="N559" s="575"/>
      <c r="O559" s="575"/>
      <c r="P559" s="575"/>
      <c r="Q559" s="575"/>
      <c r="R559" s="575"/>
      <c r="S559" s="989"/>
      <c r="T559" s="575"/>
      <c r="U559" s="575"/>
      <c r="V559" s="575"/>
      <c r="W559" s="575"/>
      <c r="X559" s="575"/>
      <c r="Y559" s="575"/>
      <c r="Z559" s="989"/>
      <c r="AA559" s="575"/>
      <c r="AB559" s="575"/>
      <c r="AC559" s="575"/>
      <c r="AD559" s="575"/>
      <c r="AE559" s="827"/>
      <c r="AF559" s="575"/>
      <c r="AG559" s="960"/>
      <c r="AH559" s="842"/>
      <c r="AI559" s="839">
        <f t="shared" si="28"/>
        <v>0</v>
      </c>
      <c r="AJ559" s="949">
        <v>0</v>
      </c>
      <c r="AK559" s="581">
        <f t="shared" si="26"/>
        <v>0</v>
      </c>
      <c r="AL559" s="750" t="s">
        <v>1684</v>
      </c>
      <c r="AM559" s="743">
        <f t="shared" si="27"/>
        <v>2</v>
      </c>
    </row>
    <row r="560" spans="1:39" s="560" customFormat="1" hidden="1">
      <c r="A560" s="607" t="s">
        <v>1015</v>
      </c>
      <c r="B560" s="607" t="s">
        <v>1334</v>
      </c>
      <c r="C560" s="614" t="s">
        <v>1436</v>
      </c>
      <c r="D560" s="580"/>
      <c r="E560" s="981"/>
      <c r="F560" s="581"/>
      <c r="G560" s="581"/>
      <c r="H560" s="581"/>
      <c r="I560" s="949"/>
      <c r="J560" s="949"/>
      <c r="K560" s="949"/>
      <c r="L560" s="989"/>
      <c r="M560" s="575"/>
      <c r="N560" s="575"/>
      <c r="O560" s="575"/>
      <c r="P560" s="575"/>
      <c r="Q560" s="575"/>
      <c r="R560" s="575"/>
      <c r="S560" s="989"/>
      <c r="T560" s="575"/>
      <c r="U560" s="575"/>
      <c r="V560" s="575"/>
      <c r="W560" s="575"/>
      <c r="X560" s="575"/>
      <c r="Y560" s="575"/>
      <c r="Z560" s="989"/>
      <c r="AA560" s="575"/>
      <c r="AB560" s="575"/>
      <c r="AC560" s="575"/>
      <c r="AD560" s="575"/>
      <c r="AE560" s="827"/>
      <c r="AF560" s="575"/>
      <c r="AG560" s="960"/>
      <c r="AH560" s="842"/>
      <c r="AI560" s="839">
        <f t="shared" si="28"/>
        <v>0</v>
      </c>
      <c r="AJ560" s="949">
        <v>0</v>
      </c>
      <c r="AK560" s="581">
        <f t="shared" si="26"/>
        <v>0</v>
      </c>
      <c r="AL560" s="750" t="s">
        <v>1603</v>
      </c>
      <c r="AM560" s="743">
        <f t="shared" si="27"/>
        <v>6</v>
      </c>
    </row>
    <row r="561" spans="1:39" s="560" customFormat="1" hidden="1">
      <c r="A561" s="607" t="s">
        <v>1016</v>
      </c>
      <c r="B561" s="607" t="s">
        <v>1335</v>
      </c>
      <c r="C561" s="614" t="s">
        <v>1436</v>
      </c>
      <c r="D561" s="580"/>
      <c r="E561" s="981"/>
      <c r="F561" s="581"/>
      <c r="G561" s="581"/>
      <c r="H561" s="581"/>
      <c r="I561" s="949"/>
      <c r="J561" s="949"/>
      <c r="K561" s="949"/>
      <c r="L561" s="989"/>
      <c r="M561" s="575"/>
      <c r="N561" s="575"/>
      <c r="O561" s="575"/>
      <c r="P561" s="575"/>
      <c r="Q561" s="575"/>
      <c r="R561" s="575"/>
      <c r="S561" s="989"/>
      <c r="T561" s="575"/>
      <c r="U561" s="575"/>
      <c r="V561" s="575"/>
      <c r="W561" s="575"/>
      <c r="X561" s="575"/>
      <c r="Y561" s="575"/>
      <c r="Z561" s="989"/>
      <c r="AA561" s="575"/>
      <c r="AB561" s="575"/>
      <c r="AC561" s="575"/>
      <c r="AD561" s="575"/>
      <c r="AE561" s="827"/>
      <c r="AF561" s="575"/>
      <c r="AG561" s="960"/>
      <c r="AH561" s="842"/>
      <c r="AI561" s="839">
        <f t="shared" si="28"/>
        <v>0</v>
      </c>
      <c r="AJ561" s="949">
        <v>0</v>
      </c>
      <c r="AK561" s="581">
        <f t="shared" si="26"/>
        <v>0</v>
      </c>
      <c r="AL561" s="750" t="s">
        <v>1603</v>
      </c>
      <c r="AM561" s="743">
        <f t="shared" si="27"/>
        <v>6</v>
      </c>
    </row>
    <row r="562" spans="1:39" s="560" customFormat="1" hidden="1">
      <c r="A562" s="607" t="s">
        <v>1017</v>
      </c>
      <c r="B562" s="607" t="s">
        <v>1336</v>
      </c>
      <c r="C562" s="614" t="s">
        <v>1437</v>
      </c>
      <c r="D562" s="580"/>
      <c r="E562" s="981"/>
      <c r="F562" s="581"/>
      <c r="G562" s="581"/>
      <c r="H562" s="581"/>
      <c r="I562" s="949"/>
      <c r="J562" s="949"/>
      <c r="K562" s="949"/>
      <c r="L562" s="989"/>
      <c r="M562" s="575"/>
      <c r="N562" s="575"/>
      <c r="O562" s="575"/>
      <c r="P562" s="575"/>
      <c r="Q562" s="575"/>
      <c r="R562" s="575"/>
      <c r="S562" s="989"/>
      <c r="T562" s="575"/>
      <c r="U562" s="575"/>
      <c r="V562" s="575"/>
      <c r="W562" s="575"/>
      <c r="X562" s="575"/>
      <c r="Y562" s="575"/>
      <c r="Z562" s="989"/>
      <c r="AA562" s="575"/>
      <c r="AB562" s="575"/>
      <c r="AC562" s="575"/>
      <c r="AD562" s="575"/>
      <c r="AE562" s="827"/>
      <c r="AF562" s="575"/>
      <c r="AG562" s="960"/>
      <c r="AH562" s="842"/>
      <c r="AI562" s="839">
        <f t="shared" si="28"/>
        <v>0</v>
      </c>
      <c r="AJ562" s="949">
        <v>0</v>
      </c>
      <c r="AK562" s="581">
        <f t="shared" si="26"/>
        <v>0</v>
      </c>
      <c r="AL562" s="750" t="s">
        <v>1603</v>
      </c>
      <c r="AM562" s="743">
        <f t="shared" si="27"/>
        <v>6</v>
      </c>
    </row>
    <row r="563" spans="1:39" s="560" customFormat="1" hidden="1">
      <c r="A563" s="492" t="s">
        <v>483</v>
      </c>
      <c r="B563" s="608" t="s">
        <v>1337</v>
      </c>
      <c r="C563" s="690"/>
      <c r="D563" s="580"/>
      <c r="E563" s="981"/>
      <c r="F563" s="581"/>
      <c r="G563" s="581"/>
      <c r="H563" s="581"/>
      <c r="I563" s="949"/>
      <c r="J563" s="949"/>
      <c r="K563" s="949"/>
      <c r="L563" s="989"/>
      <c r="M563" s="575"/>
      <c r="N563" s="575"/>
      <c r="O563" s="575"/>
      <c r="P563" s="575"/>
      <c r="Q563" s="575"/>
      <c r="R563" s="575"/>
      <c r="S563" s="989"/>
      <c r="T563" s="575"/>
      <c r="U563" s="575"/>
      <c r="V563" s="575"/>
      <c r="W563" s="575"/>
      <c r="X563" s="575"/>
      <c r="Y563" s="575"/>
      <c r="Z563" s="989"/>
      <c r="AA563" s="575"/>
      <c r="AB563" s="575"/>
      <c r="AC563" s="575"/>
      <c r="AD563" s="575"/>
      <c r="AE563" s="827"/>
      <c r="AF563" s="575"/>
      <c r="AG563" s="960"/>
      <c r="AH563" s="842"/>
      <c r="AI563" s="839">
        <f t="shared" si="28"/>
        <v>0</v>
      </c>
      <c r="AJ563" s="949">
        <v>0</v>
      </c>
      <c r="AK563" s="581">
        <f t="shared" si="26"/>
        <v>0</v>
      </c>
      <c r="AL563" s="750"/>
      <c r="AM563" s="743">
        <f t="shared" si="27"/>
        <v>0</v>
      </c>
    </row>
    <row r="564" spans="1:39" s="560" customFormat="1" hidden="1">
      <c r="A564" s="607" t="s">
        <v>484</v>
      </c>
      <c r="B564" s="607" t="s">
        <v>1338</v>
      </c>
      <c r="C564" s="614" t="s">
        <v>39</v>
      </c>
      <c r="D564" s="580"/>
      <c r="E564" s="981"/>
      <c r="F564" s="581"/>
      <c r="G564" s="581"/>
      <c r="H564" s="581"/>
      <c r="I564" s="949"/>
      <c r="J564" s="949"/>
      <c r="K564" s="949"/>
      <c r="L564" s="989"/>
      <c r="M564" s="575"/>
      <c r="N564" s="575"/>
      <c r="O564" s="575"/>
      <c r="P564" s="575"/>
      <c r="Q564" s="575"/>
      <c r="R564" s="575"/>
      <c r="S564" s="989"/>
      <c r="T564" s="575"/>
      <c r="U564" s="575"/>
      <c r="V564" s="575"/>
      <c r="W564" s="575"/>
      <c r="X564" s="575"/>
      <c r="Y564" s="575"/>
      <c r="Z564" s="989"/>
      <c r="AA564" s="575"/>
      <c r="AB564" s="575"/>
      <c r="AC564" s="575"/>
      <c r="AD564" s="575"/>
      <c r="AE564" s="827"/>
      <c r="AF564" s="575"/>
      <c r="AG564" s="960"/>
      <c r="AH564" s="842"/>
      <c r="AI564" s="839">
        <f t="shared" si="28"/>
        <v>0</v>
      </c>
      <c r="AJ564" s="949">
        <v>0</v>
      </c>
      <c r="AK564" s="581">
        <f t="shared" si="26"/>
        <v>0</v>
      </c>
      <c r="AL564" s="750" t="s">
        <v>1732</v>
      </c>
      <c r="AM564" s="743">
        <f t="shared" si="27"/>
        <v>18.04</v>
      </c>
    </row>
    <row r="565" spans="1:39" s="560" customFormat="1" hidden="1">
      <c r="A565" s="607" t="s">
        <v>485</v>
      </c>
      <c r="B565" s="607" t="s">
        <v>1339</v>
      </c>
      <c r="C565" s="614" t="s">
        <v>39</v>
      </c>
      <c r="D565" s="580"/>
      <c r="E565" s="981"/>
      <c r="F565" s="581"/>
      <c r="G565" s="581"/>
      <c r="H565" s="581"/>
      <c r="I565" s="949"/>
      <c r="J565" s="949"/>
      <c r="K565" s="949"/>
      <c r="L565" s="989"/>
      <c r="M565" s="575"/>
      <c r="N565" s="575"/>
      <c r="O565" s="575"/>
      <c r="P565" s="575"/>
      <c r="Q565" s="575"/>
      <c r="R565" s="575"/>
      <c r="S565" s="989"/>
      <c r="T565" s="575"/>
      <c r="U565" s="575"/>
      <c r="V565" s="575"/>
      <c r="W565" s="575"/>
      <c r="X565" s="575"/>
      <c r="Y565" s="575"/>
      <c r="Z565" s="989"/>
      <c r="AA565" s="575"/>
      <c r="AB565" s="575"/>
      <c r="AC565" s="575"/>
      <c r="AD565" s="575"/>
      <c r="AE565" s="827"/>
      <c r="AF565" s="575"/>
      <c r="AG565" s="960"/>
      <c r="AH565" s="842"/>
      <c r="AI565" s="839">
        <f t="shared" si="28"/>
        <v>0</v>
      </c>
      <c r="AJ565" s="949">
        <v>0</v>
      </c>
      <c r="AK565" s="581">
        <f t="shared" si="26"/>
        <v>0</v>
      </c>
      <c r="AL565" s="750" t="s">
        <v>1732</v>
      </c>
      <c r="AM565" s="743">
        <f t="shared" si="27"/>
        <v>18.04</v>
      </c>
    </row>
    <row r="566" spans="1:39" s="560" customFormat="1" hidden="1">
      <c r="A566" s="607" t="s">
        <v>1018</v>
      </c>
      <c r="B566" s="607" t="s">
        <v>1340</v>
      </c>
      <c r="C566" s="614" t="s">
        <v>35</v>
      </c>
      <c r="D566" s="580"/>
      <c r="E566" s="981"/>
      <c r="F566" s="581"/>
      <c r="G566" s="581"/>
      <c r="H566" s="581"/>
      <c r="I566" s="949"/>
      <c r="J566" s="949"/>
      <c r="K566" s="949"/>
      <c r="L566" s="989"/>
      <c r="M566" s="575"/>
      <c r="N566" s="575"/>
      <c r="O566" s="575"/>
      <c r="P566" s="575"/>
      <c r="Q566" s="575"/>
      <c r="R566" s="575"/>
      <c r="S566" s="989"/>
      <c r="T566" s="575"/>
      <c r="U566" s="575"/>
      <c r="V566" s="575"/>
      <c r="W566" s="575"/>
      <c r="X566" s="575"/>
      <c r="Y566" s="575"/>
      <c r="Z566" s="989"/>
      <c r="AA566" s="575"/>
      <c r="AB566" s="575"/>
      <c r="AC566" s="575"/>
      <c r="AD566" s="575"/>
      <c r="AE566" s="827"/>
      <c r="AF566" s="575"/>
      <c r="AG566" s="960"/>
      <c r="AH566" s="842"/>
      <c r="AI566" s="839">
        <f t="shared" si="28"/>
        <v>0</v>
      </c>
      <c r="AJ566" s="949">
        <v>0</v>
      </c>
      <c r="AK566" s="581">
        <f t="shared" si="26"/>
        <v>0</v>
      </c>
      <c r="AL566" s="750" t="s">
        <v>1441</v>
      </c>
      <c r="AM566" s="743">
        <f t="shared" si="27"/>
        <v>1</v>
      </c>
    </row>
    <row r="567" spans="1:39" s="560" customFormat="1" hidden="1">
      <c r="A567" s="607" t="s">
        <v>1019</v>
      </c>
      <c r="B567" s="607" t="s">
        <v>1341</v>
      </c>
      <c r="C567" s="614" t="s">
        <v>40</v>
      </c>
      <c r="D567" s="580"/>
      <c r="E567" s="981"/>
      <c r="F567" s="581"/>
      <c r="G567" s="581"/>
      <c r="H567" s="581"/>
      <c r="I567" s="949"/>
      <c r="J567" s="949"/>
      <c r="K567" s="949"/>
      <c r="L567" s="989"/>
      <c r="M567" s="575"/>
      <c r="N567" s="575"/>
      <c r="O567" s="575"/>
      <c r="P567" s="575"/>
      <c r="Q567" s="575"/>
      <c r="R567" s="575"/>
      <c r="S567" s="989"/>
      <c r="T567" s="575"/>
      <c r="U567" s="575"/>
      <c r="V567" s="575"/>
      <c r="W567" s="575"/>
      <c r="X567" s="575"/>
      <c r="Y567" s="575"/>
      <c r="Z567" s="989"/>
      <c r="AA567" s="575"/>
      <c r="AB567" s="575"/>
      <c r="AC567" s="575"/>
      <c r="AD567" s="575"/>
      <c r="AE567" s="827"/>
      <c r="AF567" s="575"/>
      <c r="AG567" s="960"/>
      <c r="AH567" s="842"/>
      <c r="AI567" s="839">
        <f t="shared" si="28"/>
        <v>0</v>
      </c>
      <c r="AJ567" s="949">
        <v>0</v>
      </c>
      <c r="AK567" s="581">
        <f t="shared" si="26"/>
        <v>0</v>
      </c>
      <c r="AL567" s="750" t="s">
        <v>1441</v>
      </c>
      <c r="AM567" s="743">
        <f t="shared" si="27"/>
        <v>1</v>
      </c>
    </row>
    <row r="568" spans="1:39" s="560" customFormat="1" hidden="1">
      <c r="A568" s="492" t="s">
        <v>486</v>
      </c>
      <c r="B568" s="608" t="s">
        <v>1342</v>
      </c>
      <c r="C568" s="690"/>
      <c r="D568" s="580"/>
      <c r="E568" s="981"/>
      <c r="F568" s="581"/>
      <c r="G568" s="581"/>
      <c r="H568" s="581"/>
      <c r="I568" s="949"/>
      <c r="J568" s="949"/>
      <c r="K568" s="949"/>
      <c r="L568" s="989"/>
      <c r="M568" s="575"/>
      <c r="N568" s="575"/>
      <c r="O568" s="575"/>
      <c r="P568" s="575"/>
      <c r="Q568" s="575"/>
      <c r="R568" s="575"/>
      <c r="S568" s="989"/>
      <c r="T568" s="575"/>
      <c r="U568" s="575"/>
      <c r="V568" s="575"/>
      <c r="W568" s="575"/>
      <c r="X568" s="575"/>
      <c r="Y568" s="575"/>
      <c r="Z568" s="989"/>
      <c r="AA568" s="575"/>
      <c r="AB568" s="575"/>
      <c r="AC568" s="575"/>
      <c r="AD568" s="575"/>
      <c r="AE568" s="827"/>
      <c r="AF568" s="575"/>
      <c r="AG568" s="960"/>
      <c r="AH568" s="842"/>
      <c r="AI568" s="839">
        <f t="shared" si="28"/>
        <v>0</v>
      </c>
      <c r="AJ568" s="949">
        <v>0</v>
      </c>
      <c r="AK568" s="581">
        <f t="shared" si="26"/>
        <v>0</v>
      </c>
      <c r="AL568" s="750"/>
      <c r="AM568" s="743">
        <f t="shared" si="27"/>
        <v>0</v>
      </c>
    </row>
    <row r="569" spans="1:39" s="560" customFormat="1" hidden="1">
      <c r="A569" s="607" t="s">
        <v>487</v>
      </c>
      <c r="B569" s="607" t="s">
        <v>1338</v>
      </c>
      <c r="C569" s="614" t="s">
        <v>39</v>
      </c>
      <c r="D569" s="580"/>
      <c r="E569" s="981"/>
      <c r="F569" s="581"/>
      <c r="G569" s="581"/>
      <c r="H569" s="581"/>
      <c r="I569" s="949"/>
      <c r="J569" s="949"/>
      <c r="K569" s="949"/>
      <c r="L569" s="989"/>
      <c r="M569" s="575"/>
      <c r="N569" s="575"/>
      <c r="O569" s="575"/>
      <c r="P569" s="575"/>
      <c r="Q569" s="575"/>
      <c r="R569" s="575"/>
      <c r="S569" s="989"/>
      <c r="T569" s="575"/>
      <c r="U569" s="575"/>
      <c r="V569" s="575"/>
      <c r="W569" s="575"/>
      <c r="X569" s="575"/>
      <c r="Y569" s="575"/>
      <c r="Z569" s="989"/>
      <c r="AA569" s="575"/>
      <c r="AB569" s="575"/>
      <c r="AC569" s="575"/>
      <c r="AD569" s="575"/>
      <c r="AE569" s="827"/>
      <c r="AF569" s="575"/>
      <c r="AG569" s="960"/>
      <c r="AH569" s="842"/>
      <c r="AI569" s="839">
        <f t="shared" si="28"/>
        <v>0</v>
      </c>
      <c r="AJ569" s="949">
        <v>0</v>
      </c>
      <c r="AK569" s="581">
        <f t="shared" si="26"/>
        <v>0</v>
      </c>
      <c r="AL569" s="750" t="s">
        <v>1733</v>
      </c>
      <c r="AM569" s="743">
        <f t="shared" si="27"/>
        <v>10.08</v>
      </c>
    </row>
    <row r="570" spans="1:39" s="560" customFormat="1" hidden="1">
      <c r="A570" s="607" t="s">
        <v>488</v>
      </c>
      <c r="B570" s="607" t="s">
        <v>1339</v>
      </c>
      <c r="C570" s="614" t="s">
        <v>39</v>
      </c>
      <c r="D570" s="580"/>
      <c r="E570" s="981"/>
      <c r="F570" s="581"/>
      <c r="G570" s="581"/>
      <c r="H570" s="581"/>
      <c r="I570" s="949"/>
      <c r="J570" s="949"/>
      <c r="K570" s="949"/>
      <c r="L570" s="989"/>
      <c r="M570" s="575"/>
      <c r="N570" s="575"/>
      <c r="O570" s="575"/>
      <c r="P570" s="575"/>
      <c r="Q570" s="575"/>
      <c r="R570" s="575"/>
      <c r="S570" s="989"/>
      <c r="T570" s="575"/>
      <c r="U570" s="575"/>
      <c r="V570" s="575"/>
      <c r="W570" s="575"/>
      <c r="X570" s="575"/>
      <c r="Y570" s="575"/>
      <c r="Z570" s="989"/>
      <c r="AA570" s="575"/>
      <c r="AB570" s="575"/>
      <c r="AC570" s="575"/>
      <c r="AD570" s="575"/>
      <c r="AE570" s="827"/>
      <c r="AF570" s="575"/>
      <c r="AG570" s="960"/>
      <c r="AH570" s="842"/>
      <c r="AI570" s="839">
        <f t="shared" si="28"/>
        <v>0</v>
      </c>
      <c r="AJ570" s="949">
        <v>0</v>
      </c>
      <c r="AK570" s="581">
        <f t="shared" si="26"/>
        <v>0</v>
      </c>
      <c r="AL570" s="750" t="s">
        <v>1733</v>
      </c>
      <c r="AM570" s="743">
        <f t="shared" si="27"/>
        <v>10.08</v>
      </c>
    </row>
    <row r="571" spans="1:39" s="560" customFormat="1" hidden="1">
      <c r="A571" s="607" t="s">
        <v>489</v>
      </c>
      <c r="B571" s="607" t="s">
        <v>1343</v>
      </c>
      <c r="C571" s="614" t="s">
        <v>39</v>
      </c>
      <c r="D571" s="580"/>
      <c r="E571" s="981"/>
      <c r="F571" s="581"/>
      <c r="G571" s="581"/>
      <c r="H571" s="581"/>
      <c r="I571" s="949"/>
      <c r="J571" s="949"/>
      <c r="K571" s="949"/>
      <c r="L571" s="989"/>
      <c r="M571" s="575"/>
      <c r="N571" s="575"/>
      <c r="O571" s="575"/>
      <c r="P571" s="575"/>
      <c r="Q571" s="575"/>
      <c r="R571" s="575"/>
      <c r="S571" s="989"/>
      <c r="T571" s="575"/>
      <c r="U571" s="575"/>
      <c r="V571" s="575"/>
      <c r="W571" s="575"/>
      <c r="X571" s="575"/>
      <c r="Y571" s="575"/>
      <c r="Z571" s="989"/>
      <c r="AA571" s="575"/>
      <c r="AB571" s="575"/>
      <c r="AC571" s="575"/>
      <c r="AD571" s="575"/>
      <c r="AE571" s="827"/>
      <c r="AF571" s="575"/>
      <c r="AG571" s="960"/>
      <c r="AH571" s="842"/>
      <c r="AI571" s="839">
        <f t="shared" si="28"/>
        <v>0</v>
      </c>
      <c r="AJ571" s="949">
        <v>0</v>
      </c>
      <c r="AK571" s="581">
        <f t="shared" si="26"/>
        <v>0</v>
      </c>
      <c r="AL571" s="750" t="s">
        <v>1734</v>
      </c>
      <c r="AM571" s="743">
        <f t="shared" si="27"/>
        <v>5.04</v>
      </c>
    </row>
    <row r="572" spans="1:39" s="560" customFormat="1" hidden="1">
      <c r="A572" s="607" t="s">
        <v>490</v>
      </c>
      <c r="B572" s="607" t="s">
        <v>1344</v>
      </c>
      <c r="C572" s="614" t="s">
        <v>40</v>
      </c>
      <c r="D572" s="580"/>
      <c r="E572" s="981"/>
      <c r="F572" s="581"/>
      <c r="G572" s="581"/>
      <c r="H572" s="581"/>
      <c r="I572" s="949"/>
      <c r="J572" s="949"/>
      <c r="K572" s="949"/>
      <c r="L572" s="989"/>
      <c r="M572" s="575"/>
      <c r="N572" s="575"/>
      <c r="O572" s="575"/>
      <c r="P572" s="575"/>
      <c r="Q572" s="575"/>
      <c r="R572" s="575"/>
      <c r="S572" s="989"/>
      <c r="T572" s="575"/>
      <c r="U572" s="575"/>
      <c r="V572" s="575"/>
      <c r="W572" s="575"/>
      <c r="X572" s="575"/>
      <c r="Y572" s="575"/>
      <c r="Z572" s="989"/>
      <c r="AA572" s="575"/>
      <c r="AB572" s="575"/>
      <c r="AC572" s="575"/>
      <c r="AD572" s="575"/>
      <c r="AE572" s="827"/>
      <c r="AF572" s="575"/>
      <c r="AG572" s="960"/>
      <c r="AH572" s="842"/>
      <c r="AI572" s="839">
        <f t="shared" si="28"/>
        <v>0</v>
      </c>
      <c r="AJ572" s="949">
        <v>0</v>
      </c>
      <c r="AK572" s="581">
        <f t="shared" si="26"/>
        <v>0</v>
      </c>
      <c r="AL572" s="750" t="s">
        <v>1441</v>
      </c>
      <c r="AM572" s="743">
        <f t="shared" si="27"/>
        <v>1</v>
      </c>
    </row>
    <row r="573" spans="1:39" s="560" customFormat="1" hidden="1">
      <c r="A573" s="607" t="s">
        <v>1020</v>
      </c>
      <c r="B573" s="607" t="s">
        <v>1345</v>
      </c>
      <c r="C573" s="614" t="s">
        <v>37</v>
      </c>
      <c r="D573" s="580"/>
      <c r="E573" s="981"/>
      <c r="F573" s="581"/>
      <c r="G573" s="581"/>
      <c r="H573" s="581"/>
      <c r="I573" s="949"/>
      <c r="J573" s="949"/>
      <c r="K573" s="949"/>
      <c r="L573" s="989"/>
      <c r="M573" s="575"/>
      <c r="N573" s="575"/>
      <c r="O573" s="575"/>
      <c r="P573" s="575"/>
      <c r="Q573" s="575"/>
      <c r="R573" s="575"/>
      <c r="S573" s="989"/>
      <c r="T573" s="575"/>
      <c r="U573" s="575"/>
      <c r="V573" s="575"/>
      <c r="W573" s="575"/>
      <c r="X573" s="575"/>
      <c r="Y573" s="575"/>
      <c r="Z573" s="989"/>
      <c r="AA573" s="575"/>
      <c r="AB573" s="575"/>
      <c r="AC573" s="575"/>
      <c r="AD573" s="575"/>
      <c r="AE573" s="827"/>
      <c r="AF573" s="575"/>
      <c r="AG573" s="960"/>
      <c r="AH573" s="842"/>
      <c r="AI573" s="839">
        <f t="shared" si="28"/>
        <v>0</v>
      </c>
      <c r="AJ573" s="949">
        <v>0</v>
      </c>
      <c r="AK573" s="581">
        <f t="shared" si="26"/>
        <v>0</v>
      </c>
      <c r="AL573" s="750" t="s">
        <v>1588</v>
      </c>
      <c r="AM573" s="743">
        <f t="shared" si="27"/>
        <v>24</v>
      </c>
    </row>
    <row r="574" spans="1:39" s="560" customFormat="1" hidden="1">
      <c r="A574" s="492" t="s">
        <v>491</v>
      </c>
      <c r="B574" s="608" t="s">
        <v>1346</v>
      </c>
      <c r="C574" s="690"/>
      <c r="D574" s="580"/>
      <c r="E574" s="981"/>
      <c r="F574" s="581"/>
      <c r="G574" s="581"/>
      <c r="H574" s="581"/>
      <c r="I574" s="949"/>
      <c r="J574" s="949"/>
      <c r="K574" s="949"/>
      <c r="L574" s="989"/>
      <c r="M574" s="575"/>
      <c r="N574" s="575"/>
      <c r="O574" s="575"/>
      <c r="P574" s="575"/>
      <c r="Q574" s="575"/>
      <c r="R574" s="575"/>
      <c r="S574" s="989"/>
      <c r="T574" s="575"/>
      <c r="U574" s="575"/>
      <c r="V574" s="575"/>
      <c r="W574" s="575"/>
      <c r="X574" s="575"/>
      <c r="Y574" s="575"/>
      <c r="Z574" s="989"/>
      <c r="AA574" s="575"/>
      <c r="AB574" s="575"/>
      <c r="AC574" s="575"/>
      <c r="AD574" s="575"/>
      <c r="AE574" s="827"/>
      <c r="AF574" s="575"/>
      <c r="AG574" s="960"/>
      <c r="AH574" s="842"/>
      <c r="AI574" s="839">
        <f t="shared" si="28"/>
        <v>0</v>
      </c>
      <c r="AJ574" s="949">
        <v>0</v>
      </c>
      <c r="AK574" s="581">
        <f t="shared" si="26"/>
        <v>0</v>
      </c>
      <c r="AL574" s="750"/>
      <c r="AM574" s="743">
        <f t="shared" si="27"/>
        <v>0</v>
      </c>
    </row>
    <row r="575" spans="1:39" s="560" customFormat="1" hidden="1">
      <c r="A575" s="607" t="s">
        <v>492</v>
      </c>
      <c r="B575" s="607" t="s">
        <v>1347</v>
      </c>
      <c r="C575" s="614" t="s">
        <v>1438</v>
      </c>
      <c r="D575" s="580"/>
      <c r="E575" s="981"/>
      <c r="F575" s="581"/>
      <c r="G575" s="581"/>
      <c r="H575" s="581"/>
      <c r="I575" s="949"/>
      <c r="J575" s="949"/>
      <c r="K575" s="949"/>
      <c r="L575" s="989"/>
      <c r="M575" s="575"/>
      <c r="N575" s="575"/>
      <c r="O575" s="575"/>
      <c r="P575" s="575"/>
      <c r="Q575" s="575"/>
      <c r="R575" s="575"/>
      <c r="S575" s="989"/>
      <c r="T575" s="575"/>
      <c r="U575" s="575"/>
      <c r="V575" s="575"/>
      <c r="W575" s="575"/>
      <c r="X575" s="575"/>
      <c r="Y575" s="575"/>
      <c r="Z575" s="989"/>
      <c r="AA575" s="575"/>
      <c r="AB575" s="575"/>
      <c r="AC575" s="575"/>
      <c r="AD575" s="575"/>
      <c r="AE575" s="827"/>
      <c r="AF575" s="575"/>
      <c r="AG575" s="960"/>
      <c r="AH575" s="842"/>
      <c r="AI575" s="839">
        <f t="shared" si="28"/>
        <v>0</v>
      </c>
      <c r="AJ575" s="949">
        <v>0</v>
      </c>
      <c r="AK575" s="581">
        <f t="shared" si="26"/>
        <v>0</v>
      </c>
      <c r="AL575" s="750" t="s">
        <v>1479</v>
      </c>
      <c r="AM575" s="743">
        <f t="shared" si="27"/>
        <v>15</v>
      </c>
    </row>
    <row r="576" spans="1:39" s="560" customFormat="1" hidden="1">
      <c r="A576" s="607" t="s">
        <v>493</v>
      </c>
      <c r="B576" s="607" t="s">
        <v>1348</v>
      </c>
      <c r="C576" s="614" t="s">
        <v>37</v>
      </c>
      <c r="D576" s="580"/>
      <c r="E576" s="981"/>
      <c r="F576" s="581"/>
      <c r="G576" s="581"/>
      <c r="H576" s="581"/>
      <c r="I576" s="949"/>
      <c r="J576" s="949"/>
      <c r="K576" s="949"/>
      <c r="L576" s="989"/>
      <c r="M576" s="575"/>
      <c r="N576" s="575"/>
      <c r="O576" s="575"/>
      <c r="P576" s="575"/>
      <c r="Q576" s="575"/>
      <c r="R576" s="575"/>
      <c r="S576" s="989"/>
      <c r="T576" s="575"/>
      <c r="U576" s="575"/>
      <c r="V576" s="575"/>
      <c r="W576" s="575"/>
      <c r="X576" s="575"/>
      <c r="Y576" s="575"/>
      <c r="Z576" s="989"/>
      <c r="AA576" s="575"/>
      <c r="AB576" s="575"/>
      <c r="AC576" s="575"/>
      <c r="AD576" s="575"/>
      <c r="AE576" s="827"/>
      <c r="AF576" s="575"/>
      <c r="AG576" s="960"/>
      <c r="AH576" s="842"/>
      <c r="AI576" s="839">
        <f t="shared" si="28"/>
        <v>0</v>
      </c>
      <c r="AJ576" s="949">
        <v>0</v>
      </c>
      <c r="AK576" s="581">
        <f t="shared" si="26"/>
        <v>0</v>
      </c>
      <c r="AL576" s="750" t="s">
        <v>1735</v>
      </c>
      <c r="AM576" s="743">
        <f t="shared" si="27"/>
        <v>31.6</v>
      </c>
    </row>
    <row r="577" spans="1:39" s="560" customFormat="1" hidden="1">
      <c r="A577" s="607" t="s">
        <v>494</v>
      </c>
      <c r="B577" s="607" t="s">
        <v>1349</v>
      </c>
      <c r="C577" s="614" t="s">
        <v>37</v>
      </c>
      <c r="D577" s="580"/>
      <c r="E577" s="981"/>
      <c r="F577" s="581"/>
      <c r="G577" s="581"/>
      <c r="H577" s="581"/>
      <c r="I577" s="949"/>
      <c r="J577" s="949"/>
      <c r="K577" s="949"/>
      <c r="L577" s="989"/>
      <c r="M577" s="575"/>
      <c r="N577" s="575"/>
      <c r="O577" s="575"/>
      <c r="P577" s="575"/>
      <c r="Q577" s="575"/>
      <c r="R577" s="575"/>
      <c r="S577" s="989"/>
      <c r="T577" s="575"/>
      <c r="U577" s="575"/>
      <c r="V577" s="575"/>
      <c r="W577" s="575"/>
      <c r="X577" s="575"/>
      <c r="Y577" s="575"/>
      <c r="Z577" s="989"/>
      <c r="AA577" s="575"/>
      <c r="AB577" s="575"/>
      <c r="AC577" s="575"/>
      <c r="AD577" s="575"/>
      <c r="AE577" s="827"/>
      <c r="AF577" s="575"/>
      <c r="AG577" s="960"/>
      <c r="AH577" s="842"/>
      <c r="AI577" s="839">
        <f t="shared" si="28"/>
        <v>0</v>
      </c>
      <c r="AJ577" s="949">
        <v>0</v>
      </c>
      <c r="AK577" s="581">
        <f t="shared" si="26"/>
        <v>0</v>
      </c>
      <c r="AL577" s="750" t="s">
        <v>1736</v>
      </c>
      <c r="AM577" s="743">
        <f t="shared" si="27"/>
        <v>46.35</v>
      </c>
    </row>
    <row r="578" spans="1:39" s="560" customFormat="1" hidden="1">
      <c r="A578" s="607" t="s">
        <v>1021</v>
      </c>
      <c r="B578" s="607" t="s">
        <v>1350</v>
      </c>
      <c r="C578" s="614" t="s">
        <v>1436</v>
      </c>
      <c r="D578" s="580"/>
      <c r="E578" s="981"/>
      <c r="F578" s="581"/>
      <c r="G578" s="581"/>
      <c r="H578" s="581"/>
      <c r="I578" s="949"/>
      <c r="J578" s="949"/>
      <c r="K578" s="949"/>
      <c r="L578" s="989"/>
      <c r="M578" s="575"/>
      <c r="N578" s="575"/>
      <c r="O578" s="575"/>
      <c r="P578" s="575"/>
      <c r="Q578" s="575"/>
      <c r="R578" s="575"/>
      <c r="S578" s="989"/>
      <c r="T578" s="575"/>
      <c r="U578" s="575"/>
      <c r="V578" s="575"/>
      <c r="W578" s="575"/>
      <c r="X578" s="575"/>
      <c r="Y578" s="575"/>
      <c r="Z578" s="989"/>
      <c r="AA578" s="575"/>
      <c r="AB578" s="575"/>
      <c r="AC578" s="575"/>
      <c r="AD578" s="575"/>
      <c r="AE578" s="827"/>
      <c r="AF578" s="575"/>
      <c r="AG578" s="960"/>
      <c r="AH578" s="842"/>
      <c r="AI578" s="839">
        <f t="shared" si="28"/>
        <v>0</v>
      </c>
      <c r="AJ578" s="949">
        <v>0</v>
      </c>
      <c r="AK578" s="581">
        <f t="shared" si="26"/>
        <v>0</v>
      </c>
      <c r="AL578" s="750" t="s">
        <v>1603</v>
      </c>
      <c r="AM578" s="743">
        <f t="shared" si="27"/>
        <v>6</v>
      </c>
    </row>
    <row r="579" spans="1:39" s="560" customFormat="1" hidden="1">
      <c r="A579" s="607" t="s">
        <v>1022</v>
      </c>
      <c r="B579" s="607" t="s">
        <v>1351</v>
      </c>
      <c r="C579" s="614" t="s">
        <v>1437</v>
      </c>
      <c r="D579" s="580"/>
      <c r="E579" s="981"/>
      <c r="F579" s="581"/>
      <c r="G579" s="581"/>
      <c r="H579" s="581"/>
      <c r="I579" s="949"/>
      <c r="J579" s="949"/>
      <c r="K579" s="949"/>
      <c r="L579" s="989"/>
      <c r="M579" s="575"/>
      <c r="N579" s="575"/>
      <c r="O579" s="575"/>
      <c r="P579" s="575"/>
      <c r="Q579" s="575"/>
      <c r="R579" s="575"/>
      <c r="S579" s="989"/>
      <c r="T579" s="575"/>
      <c r="U579" s="575"/>
      <c r="V579" s="575"/>
      <c r="W579" s="575"/>
      <c r="X579" s="575"/>
      <c r="Y579" s="575"/>
      <c r="Z579" s="989"/>
      <c r="AA579" s="575"/>
      <c r="AB579" s="575"/>
      <c r="AC579" s="575"/>
      <c r="AD579" s="575"/>
      <c r="AE579" s="827"/>
      <c r="AF579" s="575"/>
      <c r="AG579" s="960"/>
      <c r="AH579" s="842"/>
      <c r="AI579" s="839">
        <f t="shared" si="28"/>
        <v>0</v>
      </c>
      <c r="AJ579" s="949">
        <v>0</v>
      </c>
      <c r="AK579" s="581">
        <f t="shared" si="26"/>
        <v>0</v>
      </c>
      <c r="AL579" s="750" t="s">
        <v>1441</v>
      </c>
      <c r="AM579" s="743">
        <f t="shared" si="27"/>
        <v>1</v>
      </c>
    </row>
    <row r="580" spans="1:39" s="560" customFormat="1" hidden="1">
      <c r="A580" s="607" t="s">
        <v>1023</v>
      </c>
      <c r="B580" s="607" t="s">
        <v>1352</v>
      </c>
      <c r="C580" s="614" t="s">
        <v>1436</v>
      </c>
      <c r="D580" s="580"/>
      <c r="E580" s="981"/>
      <c r="F580" s="581"/>
      <c r="G580" s="581"/>
      <c r="H580" s="581"/>
      <c r="I580" s="949"/>
      <c r="J580" s="949"/>
      <c r="K580" s="949"/>
      <c r="L580" s="989"/>
      <c r="M580" s="575"/>
      <c r="N580" s="575"/>
      <c r="O580" s="575"/>
      <c r="P580" s="575"/>
      <c r="Q580" s="575"/>
      <c r="R580" s="575"/>
      <c r="S580" s="989"/>
      <c r="T580" s="575"/>
      <c r="U580" s="575"/>
      <c r="V580" s="575"/>
      <c r="W580" s="575"/>
      <c r="X580" s="575"/>
      <c r="Y580" s="575"/>
      <c r="Z580" s="989"/>
      <c r="AA580" s="575"/>
      <c r="AB580" s="575"/>
      <c r="AC580" s="575"/>
      <c r="AD580" s="575"/>
      <c r="AE580" s="827"/>
      <c r="AF580" s="575"/>
      <c r="AG580" s="960"/>
      <c r="AH580" s="842"/>
      <c r="AI580" s="839">
        <f t="shared" si="28"/>
        <v>0</v>
      </c>
      <c r="AJ580" s="949">
        <v>0</v>
      </c>
      <c r="AK580" s="581">
        <f t="shared" si="26"/>
        <v>0</v>
      </c>
      <c r="AL580" s="750" t="s">
        <v>1684</v>
      </c>
      <c r="AM580" s="743">
        <f t="shared" si="27"/>
        <v>2</v>
      </c>
    </row>
    <row r="581" spans="1:39" s="560" customFormat="1" hidden="1">
      <c r="A581" s="492" t="s">
        <v>1024</v>
      </c>
      <c r="B581" s="608" t="s">
        <v>1353</v>
      </c>
      <c r="C581" s="614"/>
      <c r="D581" s="580"/>
      <c r="E581" s="981"/>
      <c r="F581" s="581"/>
      <c r="G581" s="581"/>
      <c r="H581" s="581"/>
      <c r="I581" s="949"/>
      <c r="J581" s="949"/>
      <c r="K581" s="949"/>
      <c r="L581" s="989"/>
      <c r="M581" s="575"/>
      <c r="N581" s="575"/>
      <c r="O581" s="575"/>
      <c r="P581" s="575"/>
      <c r="Q581" s="575"/>
      <c r="R581" s="575"/>
      <c r="S581" s="989"/>
      <c r="T581" s="575"/>
      <c r="U581" s="575"/>
      <c r="V581" s="575"/>
      <c r="W581" s="575"/>
      <c r="X581" s="575"/>
      <c r="Y581" s="575"/>
      <c r="Z581" s="989"/>
      <c r="AA581" s="575"/>
      <c r="AB581" s="575"/>
      <c r="AC581" s="575"/>
      <c r="AD581" s="575"/>
      <c r="AE581" s="827"/>
      <c r="AF581" s="575"/>
      <c r="AG581" s="960"/>
      <c r="AH581" s="842"/>
      <c r="AI581" s="839">
        <f t="shared" si="28"/>
        <v>0</v>
      </c>
      <c r="AJ581" s="949">
        <v>0</v>
      </c>
      <c r="AK581" s="581">
        <f t="shared" si="26"/>
        <v>0</v>
      </c>
      <c r="AL581" s="750"/>
      <c r="AM581" s="743">
        <f t="shared" si="27"/>
        <v>0</v>
      </c>
    </row>
    <row r="582" spans="1:39" s="560" customFormat="1" hidden="1">
      <c r="A582" s="607" t="s">
        <v>495</v>
      </c>
      <c r="B582" s="607" t="s">
        <v>1354</v>
      </c>
      <c r="C582" s="614" t="s">
        <v>63</v>
      </c>
      <c r="D582" s="580"/>
      <c r="E582" s="981"/>
      <c r="F582" s="581"/>
      <c r="G582" s="581"/>
      <c r="H582" s="581"/>
      <c r="I582" s="949"/>
      <c r="J582" s="949"/>
      <c r="K582" s="949"/>
      <c r="L582" s="989"/>
      <c r="M582" s="575"/>
      <c r="N582" s="575"/>
      <c r="O582" s="575"/>
      <c r="P582" s="575"/>
      <c r="Q582" s="575"/>
      <c r="R582" s="575"/>
      <c r="S582" s="989"/>
      <c r="T582" s="575"/>
      <c r="U582" s="575"/>
      <c r="V582" s="575"/>
      <c r="W582" s="575"/>
      <c r="X582" s="575"/>
      <c r="Y582" s="575"/>
      <c r="Z582" s="989"/>
      <c r="AA582" s="575"/>
      <c r="AB582" s="575"/>
      <c r="AC582" s="575"/>
      <c r="AD582" s="575"/>
      <c r="AE582" s="827"/>
      <c r="AF582" s="575"/>
      <c r="AG582" s="960"/>
      <c r="AH582" s="842"/>
      <c r="AI582" s="839">
        <f t="shared" si="28"/>
        <v>0</v>
      </c>
      <c r="AJ582" s="949">
        <v>0</v>
      </c>
      <c r="AK582" s="581">
        <f t="shared" si="26"/>
        <v>0</v>
      </c>
      <c r="AL582" s="750" t="s">
        <v>1441</v>
      </c>
      <c r="AM582" s="743">
        <f t="shared" si="27"/>
        <v>1</v>
      </c>
    </row>
    <row r="583" spans="1:39" s="560" customFormat="1" hidden="1">
      <c r="A583" s="607" t="s">
        <v>496</v>
      </c>
      <c r="B583" s="607" t="s">
        <v>1355</v>
      </c>
      <c r="C583" s="614" t="s">
        <v>37</v>
      </c>
      <c r="D583" s="580"/>
      <c r="E583" s="981"/>
      <c r="F583" s="581"/>
      <c r="G583" s="581"/>
      <c r="H583" s="581"/>
      <c r="I583" s="949"/>
      <c r="J583" s="949"/>
      <c r="K583" s="949"/>
      <c r="L583" s="989"/>
      <c r="M583" s="575"/>
      <c r="N583" s="575"/>
      <c r="O583" s="575"/>
      <c r="P583" s="575"/>
      <c r="Q583" s="575"/>
      <c r="R583" s="575"/>
      <c r="S583" s="989"/>
      <c r="T583" s="575"/>
      <c r="U583" s="575"/>
      <c r="V583" s="575"/>
      <c r="W583" s="575"/>
      <c r="X583" s="575"/>
      <c r="Y583" s="575"/>
      <c r="Z583" s="989"/>
      <c r="AA583" s="575"/>
      <c r="AB583" s="575"/>
      <c r="AC583" s="575"/>
      <c r="AD583" s="575"/>
      <c r="AE583" s="827"/>
      <c r="AF583" s="575"/>
      <c r="AG583" s="960"/>
      <c r="AH583" s="842"/>
      <c r="AI583" s="839">
        <f t="shared" si="28"/>
        <v>0</v>
      </c>
      <c r="AJ583" s="949">
        <v>0</v>
      </c>
      <c r="AK583" s="581">
        <f t="shared" si="26"/>
        <v>0</v>
      </c>
      <c r="AL583" s="750" t="s">
        <v>1737</v>
      </c>
      <c r="AM583" s="743">
        <f t="shared" si="27"/>
        <v>77.95</v>
      </c>
    </row>
    <row r="584" spans="1:39" s="560" customFormat="1" hidden="1">
      <c r="A584" s="492" t="s">
        <v>1025</v>
      </c>
      <c r="B584" s="608" t="s">
        <v>1356</v>
      </c>
      <c r="C584" s="614"/>
      <c r="D584" s="580"/>
      <c r="E584" s="981"/>
      <c r="F584" s="581"/>
      <c r="G584" s="581"/>
      <c r="H584" s="581"/>
      <c r="I584" s="949"/>
      <c r="J584" s="949"/>
      <c r="K584" s="949"/>
      <c r="L584" s="989"/>
      <c r="M584" s="575"/>
      <c r="N584" s="575"/>
      <c r="O584" s="575"/>
      <c r="P584" s="575"/>
      <c r="Q584" s="575"/>
      <c r="R584" s="575"/>
      <c r="S584" s="989"/>
      <c r="T584" s="575"/>
      <c r="U584" s="575"/>
      <c r="V584" s="575"/>
      <c r="W584" s="575"/>
      <c r="X584" s="575"/>
      <c r="Y584" s="575"/>
      <c r="Z584" s="989"/>
      <c r="AA584" s="575"/>
      <c r="AB584" s="575"/>
      <c r="AC584" s="575"/>
      <c r="AD584" s="575"/>
      <c r="AE584" s="827"/>
      <c r="AF584" s="575"/>
      <c r="AG584" s="960"/>
      <c r="AH584" s="842"/>
      <c r="AI584" s="839">
        <f t="shared" si="28"/>
        <v>0</v>
      </c>
      <c r="AJ584" s="949">
        <v>0</v>
      </c>
      <c r="AK584" s="581">
        <f t="shared" si="26"/>
        <v>0</v>
      </c>
      <c r="AL584" s="750"/>
      <c r="AM584" s="743">
        <f t="shared" si="27"/>
        <v>0</v>
      </c>
    </row>
    <row r="585" spans="1:39" s="560" customFormat="1" hidden="1">
      <c r="A585" s="607" t="s">
        <v>1026</v>
      </c>
      <c r="B585" s="607" t="s">
        <v>1357</v>
      </c>
      <c r="C585" s="614" t="s">
        <v>37</v>
      </c>
      <c r="D585" s="580"/>
      <c r="E585" s="981"/>
      <c r="F585" s="581"/>
      <c r="G585" s="581"/>
      <c r="H585" s="581"/>
      <c r="I585" s="949"/>
      <c r="J585" s="949"/>
      <c r="K585" s="949"/>
      <c r="L585" s="989"/>
      <c r="M585" s="575"/>
      <c r="N585" s="575"/>
      <c r="O585" s="575"/>
      <c r="P585" s="575"/>
      <c r="Q585" s="575"/>
      <c r="R585" s="575"/>
      <c r="S585" s="989"/>
      <c r="T585" s="575"/>
      <c r="U585" s="575"/>
      <c r="V585" s="575"/>
      <c r="W585" s="575"/>
      <c r="X585" s="575"/>
      <c r="Y585" s="575"/>
      <c r="Z585" s="989"/>
      <c r="AA585" s="575"/>
      <c r="AB585" s="575"/>
      <c r="AC585" s="575"/>
      <c r="AD585" s="575"/>
      <c r="AE585" s="827"/>
      <c r="AF585" s="575"/>
      <c r="AG585" s="960"/>
      <c r="AH585" s="842"/>
      <c r="AI585" s="839">
        <f t="shared" si="28"/>
        <v>0</v>
      </c>
      <c r="AJ585" s="949">
        <v>0</v>
      </c>
      <c r="AK585" s="581">
        <f t="shared" si="26"/>
        <v>0</v>
      </c>
      <c r="AL585" s="750" t="s">
        <v>1738</v>
      </c>
      <c r="AM585" s="743">
        <f t="shared" si="27"/>
        <v>110.78</v>
      </c>
    </row>
    <row r="586" spans="1:39" s="560" customFormat="1" hidden="1">
      <c r="A586" s="607" t="s">
        <v>1027</v>
      </c>
      <c r="B586" s="607" t="s">
        <v>1358</v>
      </c>
      <c r="C586" s="614" t="s">
        <v>1436</v>
      </c>
      <c r="D586" s="580"/>
      <c r="E586" s="981"/>
      <c r="F586" s="581"/>
      <c r="G586" s="581"/>
      <c r="H586" s="581"/>
      <c r="I586" s="949"/>
      <c r="J586" s="949"/>
      <c r="K586" s="949"/>
      <c r="L586" s="989"/>
      <c r="M586" s="575"/>
      <c r="N586" s="575"/>
      <c r="O586" s="575"/>
      <c r="P586" s="575"/>
      <c r="Q586" s="575"/>
      <c r="R586" s="575"/>
      <c r="S586" s="989"/>
      <c r="T586" s="575"/>
      <c r="U586" s="575"/>
      <c r="V586" s="575"/>
      <c r="W586" s="575"/>
      <c r="X586" s="575"/>
      <c r="Y586" s="575"/>
      <c r="Z586" s="989"/>
      <c r="AA586" s="575"/>
      <c r="AB586" s="575"/>
      <c r="AC586" s="575"/>
      <c r="AD586" s="575"/>
      <c r="AE586" s="827"/>
      <c r="AF586" s="575"/>
      <c r="AG586" s="960"/>
      <c r="AH586" s="842"/>
      <c r="AI586" s="839">
        <f t="shared" si="28"/>
        <v>0</v>
      </c>
      <c r="AJ586" s="949">
        <v>0</v>
      </c>
      <c r="AK586" s="581">
        <f t="shared" si="26"/>
        <v>0</v>
      </c>
      <c r="AL586" s="750" t="s">
        <v>1739</v>
      </c>
      <c r="AM586" s="743">
        <f t="shared" si="27"/>
        <v>34</v>
      </c>
    </row>
    <row r="587" spans="1:39" s="560" customFormat="1" hidden="1">
      <c r="A587" s="607" t="s">
        <v>1028</v>
      </c>
      <c r="B587" s="607" t="s">
        <v>1359</v>
      </c>
      <c r="C587" s="614" t="s">
        <v>36</v>
      </c>
      <c r="D587" s="580"/>
      <c r="E587" s="981"/>
      <c r="F587" s="581"/>
      <c r="G587" s="581"/>
      <c r="H587" s="581"/>
      <c r="I587" s="949"/>
      <c r="J587" s="949"/>
      <c r="K587" s="949"/>
      <c r="L587" s="989"/>
      <c r="M587" s="575"/>
      <c r="N587" s="575"/>
      <c r="O587" s="575"/>
      <c r="P587" s="575"/>
      <c r="Q587" s="575"/>
      <c r="R587" s="575"/>
      <c r="S587" s="989"/>
      <c r="T587" s="575"/>
      <c r="U587" s="575"/>
      <c r="V587" s="575"/>
      <c r="W587" s="575"/>
      <c r="X587" s="575"/>
      <c r="Y587" s="575"/>
      <c r="Z587" s="989"/>
      <c r="AA587" s="575"/>
      <c r="AB587" s="575"/>
      <c r="AC587" s="575"/>
      <c r="AD587" s="575"/>
      <c r="AE587" s="827"/>
      <c r="AF587" s="575"/>
      <c r="AG587" s="960"/>
      <c r="AH587" s="842"/>
      <c r="AI587" s="839">
        <f t="shared" si="28"/>
        <v>0</v>
      </c>
      <c r="AJ587" s="949">
        <v>0</v>
      </c>
      <c r="AK587" s="581">
        <f t="shared" si="26"/>
        <v>0</v>
      </c>
      <c r="AL587" s="750" t="s">
        <v>1740</v>
      </c>
      <c r="AM587" s="743">
        <f t="shared" si="27"/>
        <v>35.200000000000003</v>
      </c>
    </row>
    <row r="588" spans="1:39" s="560" customFormat="1" hidden="1">
      <c r="A588" s="607" t="s">
        <v>1029</v>
      </c>
      <c r="B588" s="607" t="s">
        <v>1360</v>
      </c>
      <c r="C588" s="614" t="s">
        <v>39</v>
      </c>
      <c r="D588" s="580"/>
      <c r="E588" s="981"/>
      <c r="F588" s="581"/>
      <c r="G588" s="581"/>
      <c r="H588" s="581"/>
      <c r="I588" s="949"/>
      <c r="J588" s="949"/>
      <c r="K588" s="949"/>
      <c r="L588" s="989"/>
      <c r="M588" s="575"/>
      <c r="N588" s="575"/>
      <c r="O588" s="575"/>
      <c r="P588" s="575"/>
      <c r="Q588" s="575"/>
      <c r="R588" s="575"/>
      <c r="S588" s="989"/>
      <c r="T588" s="575"/>
      <c r="U588" s="575"/>
      <c r="V588" s="575"/>
      <c r="W588" s="575"/>
      <c r="X588" s="575"/>
      <c r="Y588" s="575"/>
      <c r="Z588" s="989"/>
      <c r="AA588" s="575"/>
      <c r="AB588" s="575"/>
      <c r="AC588" s="575"/>
      <c r="AD588" s="575"/>
      <c r="AE588" s="827"/>
      <c r="AF588" s="575"/>
      <c r="AG588" s="960"/>
      <c r="AH588" s="842"/>
      <c r="AI588" s="839">
        <f t="shared" si="28"/>
        <v>0</v>
      </c>
      <c r="AJ588" s="949">
        <v>0</v>
      </c>
      <c r="AK588" s="581">
        <f t="shared" si="26"/>
        <v>0</v>
      </c>
      <c r="AL588" s="750" t="s">
        <v>1741</v>
      </c>
      <c r="AM588" s="743">
        <f t="shared" si="27"/>
        <v>1.32</v>
      </c>
    </row>
    <row r="589" spans="1:39" s="560" customFormat="1" hidden="1">
      <c r="A589" s="607" t="s">
        <v>1030</v>
      </c>
      <c r="B589" s="607" t="s">
        <v>1361</v>
      </c>
      <c r="C589" s="614" t="s">
        <v>47</v>
      </c>
      <c r="D589" s="580"/>
      <c r="E589" s="981"/>
      <c r="F589" s="581"/>
      <c r="G589" s="581"/>
      <c r="H589" s="581"/>
      <c r="I589" s="949"/>
      <c r="J589" s="949"/>
      <c r="K589" s="949"/>
      <c r="L589" s="989"/>
      <c r="M589" s="575"/>
      <c r="N589" s="575"/>
      <c r="O589" s="575"/>
      <c r="P589" s="575"/>
      <c r="Q589" s="575"/>
      <c r="R589" s="575"/>
      <c r="S589" s="989"/>
      <c r="T589" s="575"/>
      <c r="U589" s="575"/>
      <c r="V589" s="575"/>
      <c r="W589" s="575"/>
      <c r="X589" s="575"/>
      <c r="Y589" s="575"/>
      <c r="Z589" s="989"/>
      <c r="AA589" s="575"/>
      <c r="AB589" s="575"/>
      <c r="AC589" s="575"/>
      <c r="AD589" s="575"/>
      <c r="AE589" s="827"/>
      <c r="AF589" s="575"/>
      <c r="AG589" s="960"/>
      <c r="AH589" s="842"/>
      <c r="AI589" s="839">
        <f t="shared" si="28"/>
        <v>0</v>
      </c>
      <c r="AJ589" s="949">
        <v>0</v>
      </c>
      <c r="AK589" s="581">
        <f t="shared" si="26"/>
        <v>0</v>
      </c>
      <c r="AL589" s="750" t="s">
        <v>1742</v>
      </c>
      <c r="AM589" s="743">
        <f t="shared" si="27"/>
        <v>114.4</v>
      </c>
    </row>
    <row r="590" spans="1:39" s="560" customFormat="1" hidden="1">
      <c r="A590" s="607" t="s">
        <v>1031</v>
      </c>
      <c r="B590" s="607" t="s">
        <v>1362</v>
      </c>
      <c r="C590" s="614" t="s">
        <v>37</v>
      </c>
      <c r="D590" s="580"/>
      <c r="E590" s="981"/>
      <c r="F590" s="581"/>
      <c r="G590" s="581"/>
      <c r="H590" s="581"/>
      <c r="I590" s="949"/>
      <c r="J590" s="949"/>
      <c r="K590" s="949"/>
      <c r="L590" s="989"/>
      <c r="M590" s="575"/>
      <c r="N590" s="575"/>
      <c r="O590" s="575"/>
      <c r="P590" s="575"/>
      <c r="Q590" s="575"/>
      <c r="R590" s="575"/>
      <c r="S590" s="989"/>
      <c r="T590" s="575"/>
      <c r="U590" s="575"/>
      <c r="V590" s="575"/>
      <c r="W590" s="575"/>
      <c r="X590" s="575"/>
      <c r="Y590" s="575"/>
      <c r="Z590" s="989"/>
      <c r="AA590" s="575"/>
      <c r="AB590" s="575"/>
      <c r="AC590" s="575"/>
      <c r="AD590" s="575"/>
      <c r="AE590" s="827"/>
      <c r="AF590" s="575"/>
      <c r="AG590" s="960"/>
      <c r="AH590" s="842"/>
      <c r="AI590" s="839">
        <f t="shared" si="28"/>
        <v>0</v>
      </c>
      <c r="AJ590" s="949">
        <v>0</v>
      </c>
      <c r="AK590" s="581">
        <f t="shared" ref="AK590:AK653" si="29">AI590+AJ590</f>
        <v>0</v>
      </c>
      <c r="AL590" s="750" t="s">
        <v>1743</v>
      </c>
      <c r="AM590" s="743">
        <f t="shared" ref="AM590:AM653" si="30">AL590-AK590</f>
        <v>89.98</v>
      </c>
    </row>
    <row r="591" spans="1:39" s="560" customFormat="1" hidden="1">
      <c r="A591" s="607" t="s">
        <v>1032</v>
      </c>
      <c r="B591" s="607" t="s">
        <v>1363</v>
      </c>
      <c r="C591" s="614" t="s">
        <v>37</v>
      </c>
      <c r="D591" s="580"/>
      <c r="E591" s="981"/>
      <c r="F591" s="581"/>
      <c r="G591" s="581"/>
      <c r="H591" s="581"/>
      <c r="I591" s="949"/>
      <c r="J591" s="949"/>
      <c r="K591" s="949"/>
      <c r="L591" s="989"/>
      <c r="M591" s="575"/>
      <c r="N591" s="575"/>
      <c r="O591" s="575"/>
      <c r="P591" s="575"/>
      <c r="Q591" s="575"/>
      <c r="R591" s="575"/>
      <c r="S591" s="989"/>
      <c r="T591" s="575"/>
      <c r="U591" s="575"/>
      <c r="V591" s="575"/>
      <c r="W591" s="575"/>
      <c r="X591" s="575"/>
      <c r="Y591" s="575"/>
      <c r="Z591" s="989"/>
      <c r="AA591" s="575"/>
      <c r="AB591" s="575"/>
      <c r="AC591" s="575"/>
      <c r="AD591" s="575"/>
      <c r="AE591" s="827"/>
      <c r="AF591" s="575"/>
      <c r="AG591" s="960"/>
      <c r="AH591" s="842"/>
      <c r="AI591" s="839">
        <f t="shared" ref="AI591:AI654" si="31">ROUND((SUM(D591:AH591)),2)</f>
        <v>0</v>
      </c>
      <c r="AJ591" s="949">
        <v>0</v>
      </c>
      <c r="AK591" s="581">
        <f t="shared" si="29"/>
        <v>0</v>
      </c>
      <c r="AL591" s="750" t="s">
        <v>1744</v>
      </c>
      <c r="AM591" s="743">
        <f t="shared" si="30"/>
        <v>33.78</v>
      </c>
    </row>
    <row r="592" spans="1:39" s="560" customFormat="1" hidden="1">
      <c r="A592" s="607" t="s">
        <v>1033</v>
      </c>
      <c r="B592" s="607" t="s">
        <v>1339</v>
      </c>
      <c r="C592" s="614" t="s">
        <v>39</v>
      </c>
      <c r="D592" s="580"/>
      <c r="E592" s="981"/>
      <c r="F592" s="581"/>
      <c r="G592" s="581"/>
      <c r="H592" s="581"/>
      <c r="I592" s="949"/>
      <c r="J592" s="949"/>
      <c r="K592" s="949"/>
      <c r="L592" s="989"/>
      <c r="M592" s="575"/>
      <c r="N592" s="575"/>
      <c r="O592" s="575"/>
      <c r="P592" s="575"/>
      <c r="Q592" s="575"/>
      <c r="R592" s="575"/>
      <c r="S592" s="989"/>
      <c r="T592" s="575"/>
      <c r="U592" s="575"/>
      <c r="V592" s="575"/>
      <c r="W592" s="575"/>
      <c r="X592" s="575"/>
      <c r="Y592" s="575"/>
      <c r="Z592" s="989"/>
      <c r="AA592" s="575"/>
      <c r="AB592" s="575"/>
      <c r="AC592" s="575"/>
      <c r="AD592" s="575"/>
      <c r="AE592" s="827"/>
      <c r="AF592" s="575"/>
      <c r="AG592" s="960"/>
      <c r="AH592" s="842"/>
      <c r="AI592" s="839">
        <f t="shared" si="31"/>
        <v>0</v>
      </c>
      <c r="AJ592" s="949">
        <v>0</v>
      </c>
      <c r="AK592" s="581">
        <f t="shared" si="29"/>
        <v>0</v>
      </c>
      <c r="AL592" s="750" t="s">
        <v>1745</v>
      </c>
      <c r="AM592" s="743">
        <f t="shared" si="30"/>
        <v>18</v>
      </c>
    </row>
    <row r="593" spans="1:39" s="560" customFormat="1" hidden="1">
      <c r="A593" s="607" t="s">
        <v>1034</v>
      </c>
      <c r="B593" s="607" t="s">
        <v>1364</v>
      </c>
      <c r="C593" s="614" t="s">
        <v>37</v>
      </c>
      <c r="D593" s="580"/>
      <c r="E593" s="981"/>
      <c r="F593" s="581"/>
      <c r="G593" s="581"/>
      <c r="H593" s="581"/>
      <c r="I593" s="949"/>
      <c r="J593" s="949"/>
      <c r="K593" s="949"/>
      <c r="L593" s="989"/>
      <c r="M593" s="575"/>
      <c r="N593" s="575"/>
      <c r="O593" s="575"/>
      <c r="P593" s="575"/>
      <c r="Q593" s="575"/>
      <c r="R593" s="575"/>
      <c r="S593" s="989"/>
      <c r="T593" s="575"/>
      <c r="U593" s="575"/>
      <c r="V593" s="575"/>
      <c r="W593" s="575"/>
      <c r="X593" s="575"/>
      <c r="Y593" s="575"/>
      <c r="Z593" s="989"/>
      <c r="AA593" s="575"/>
      <c r="AB593" s="575"/>
      <c r="AC593" s="575"/>
      <c r="AD593" s="575"/>
      <c r="AE593" s="827"/>
      <c r="AF593" s="575"/>
      <c r="AG593" s="960"/>
      <c r="AH593" s="842"/>
      <c r="AI593" s="839">
        <f t="shared" si="31"/>
        <v>0</v>
      </c>
      <c r="AJ593" s="949">
        <v>0</v>
      </c>
      <c r="AK593" s="581">
        <f t="shared" si="29"/>
        <v>0</v>
      </c>
      <c r="AL593" s="750" t="s">
        <v>1746</v>
      </c>
      <c r="AM593" s="743">
        <f t="shared" si="30"/>
        <v>56.2</v>
      </c>
    </row>
    <row r="594" spans="1:39" s="560" customFormat="1" hidden="1">
      <c r="A594" s="607" t="s">
        <v>1035</v>
      </c>
      <c r="B594" s="607" t="s">
        <v>1365</v>
      </c>
      <c r="C594" s="614" t="s">
        <v>37</v>
      </c>
      <c r="D594" s="580"/>
      <c r="E594" s="981"/>
      <c r="F594" s="581"/>
      <c r="G594" s="581"/>
      <c r="H594" s="581"/>
      <c r="I594" s="949"/>
      <c r="J594" s="949"/>
      <c r="K594" s="949"/>
      <c r="L594" s="989"/>
      <c r="M594" s="575"/>
      <c r="N594" s="575"/>
      <c r="O594" s="575"/>
      <c r="P594" s="575"/>
      <c r="Q594" s="575"/>
      <c r="R594" s="575"/>
      <c r="S594" s="989"/>
      <c r="T594" s="575"/>
      <c r="U594" s="575"/>
      <c r="V594" s="575"/>
      <c r="W594" s="575"/>
      <c r="X594" s="575"/>
      <c r="Y594" s="575"/>
      <c r="Z594" s="989"/>
      <c r="AA594" s="575"/>
      <c r="AB594" s="575"/>
      <c r="AC594" s="575"/>
      <c r="AD594" s="575"/>
      <c r="AE594" s="827"/>
      <c r="AF594" s="575"/>
      <c r="AG594" s="960"/>
      <c r="AH594" s="842"/>
      <c r="AI594" s="839">
        <f t="shared" si="31"/>
        <v>0</v>
      </c>
      <c r="AJ594" s="949">
        <v>0</v>
      </c>
      <c r="AK594" s="581">
        <f t="shared" si="29"/>
        <v>0</v>
      </c>
      <c r="AL594" s="750" t="s">
        <v>1746</v>
      </c>
      <c r="AM594" s="743">
        <f t="shared" si="30"/>
        <v>56.2</v>
      </c>
    </row>
    <row r="595" spans="1:39" s="560" customFormat="1" hidden="1">
      <c r="A595" s="607" t="s">
        <v>1036</v>
      </c>
      <c r="B595" s="607" t="s">
        <v>1366</v>
      </c>
      <c r="C595" s="614" t="s">
        <v>36</v>
      </c>
      <c r="D595" s="580"/>
      <c r="E595" s="981"/>
      <c r="F595" s="581"/>
      <c r="G595" s="581"/>
      <c r="H595" s="581"/>
      <c r="I595" s="949"/>
      <c r="J595" s="949"/>
      <c r="K595" s="949"/>
      <c r="L595" s="989"/>
      <c r="M595" s="575"/>
      <c r="N595" s="575"/>
      <c r="O595" s="575"/>
      <c r="P595" s="575"/>
      <c r="Q595" s="575"/>
      <c r="R595" s="575"/>
      <c r="S595" s="989"/>
      <c r="T595" s="575"/>
      <c r="U595" s="575"/>
      <c r="V595" s="575"/>
      <c r="W595" s="575"/>
      <c r="X595" s="575"/>
      <c r="Y595" s="575"/>
      <c r="Z595" s="989"/>
      <c r="AA595" s="575"/>
      <c r="AB595" s="575"/>
      <c r="AC595" s="575"/>
      <c r="AD595" s="575"/>
      <c r="AE595" s="827"/>
      <c r="AF595" s="575"/>
      <c r="AG595" s="960"/>
      <c r="AH595" s="842"/>
      <c r="AI595" s="839">
        <f t="shared" si="31"/>
        <v>0</v>
      </c>
      <c r="AJ595" s="949">
        <v>0</v>
      </c>
      <c r="AK595" s="581">
        <f t="shared" si="29"/>
        <v>0</v>
      </c>
      <c r="AL595" s="750" t="s">
        <v>1747</v>
      </c>
      <c r="AM595" s="743">
        <f t="shared" si="30"/>
        <v>59.01</v>
      </c>
    </row>
    <row r="596" spans="1:39" s="560" customFormat="1" hidden="1">
      <c r="A596" s="607" t="s">
        <v>1037</v>
      </c>
      <c r="B596" s="607" t="s">
        <v>1367</v>
      </c>
      <c r="C596" s="614" t="s">
        <v>37</v>
      </c>
      <c r="D596" s="580"/>
      <c r="E596" s="981"/>
      <c r="F596" s="581"/>
      <c r="G596" s="581"/>
      <c r="H596" s="581"/>
      <c r="I596" s="949"/>
      <c r="J596" s="949"/>
      <c r="K596" s="949"/>
      <c r="L596" s="989"/>
      <c r="M596" s="575"/>
      <c r="N596" s="575"/>
      <c r="O596" s="575"/>
      <c r="P596" s="575"/>
      <c r="Q596" s="575"/>
      <c r="R596" s="575"/>
      <c r="S596" s="989"/>
      <c r="T596" s="575"/>
      <c r="U596" s="575"/>
      <c r="V596" s="575"/>
      <c r="W596" s="575"/>
      <c r="X596" s="575"/>
      <c r="Y596" s="575"/>
      <c r="Z596" s="989"/>
      <c r="AA596" s="575"/>
      <c r="AB596" s="575"/>
      <c r="AC596" s="575"/>
      <c r="AD596" s="575"/>
      <c r="AE596" s="827"/>
      <c r="AF596" s="575"/>
      <c r="AG596" s="960"/>
      <c r="AH596" s="842"/>
      <c r="AI596" s="839">
        <f t="shared" si="31"/>
        <v>0</v>
      </c>
      <c r="AJ596" s="949">
        <v>0</v>
      </c>
      <c r="AK596" s="581">
        <f t="shared" si="29"/>
        <v>0</v>
      </c>
      <c r="AL596" s="750" t="s">
        <v>1748</v>
      </c>
      <c r="AM596" s="743">
        <f t="shared" si="30"/>
        <v>36.119999999999997</v>
      </c>
    </row>
    <row r="597" spans="1:39" s="560" customFormat="1" ht="13.8" hidden="1" thickBot="1">
      <c r="A597" s="607" t="s">
        <v>1038</v>
      </c>
      <c r="B597" s="607" t="s">
        <v>1368</v>
      </c>
      <c r="C597" s="614" t="s">
        <v>37</v>
      </c>
      <c r="D597" s="580"/>
      <c r="E597" s="981"/>
      <c r="F597" s="581"/>
      <c r="G597" s="581"/>
      <c r="H597" s="581"/>
      <c r="I597" s="949"/>
      <c r="J597" s="949"/>
      <c r="K597" s="949"/>
      <c r="L597" s="989"/>
      <c r="M597" s="575"/>
      <c r="N597" s="575"/>
      <c r="O597" s="575"/>
      <c r="P597" s="575"/>
      <c r="Q597" s="575"/>
      <c r="R597" s="575"/>
      <c r="S597" s="989"/>
      <c r="T597" s="575"/>
      <c r="U597" s="575"/>
      <c r="V597" s="575"/>
      <c r="W597" s="575"/>
      <c r="X597" s="575"/>
      <c r="Y597" s="575"/>
      <c r="Z597" s="989"/>
      <c r="AA597" s="575"/>
      <c r="AB597" s="575"/>
      <c r="AC597" s="575"/>
      <c r="AD597" s="575"/>
      <c r="AE597" s="827"/>
      <c r="AF597" s="575"/>
      <c r="AG597" s="960"/>
      <c r="AH597" s="842"/>
      <c r="AI597" s="839">
        <f t="shared" si="31"/>
        <v>0</v>
      </c>
      <c r="AJ597" s="949">
        <v>0</v>
      </c>
      <c r="AK597" s="581">
        <f t="shared" si="29"/>
        <v>0</v>
      </c>
      <c r="AL597" s="750" t="s">
        <v>1656</v>
      </c>
      <c r="AM597" s="743">
        <f t="shared" si="30"/>
        <v>20</v>
      </c>
    </row>
    <row r="598" spans="1:39" s="782" customFormat="1" hidden="1">
      <c r="A598" s="870" t="s">
        <v>497</v>
      </c>
      <c r="B598" s="870" t="s">
        <v>1369</v>
      </c>
      <c r="C598" s="898"/>
      <c r="D598" s="795"/>
      <c r="E598" s="981"/>
      <c r="F598" s="778"/>
      <c r="G598" s="778"/>
      <c r="H598" s="778"/>
      <c r="I598" s="777"/>
      <c r="J598" s="777"/>
      <c r="K598" s="777"/>
      <c r="L598" s="989"/>
      <c r="M598" s="809"/>
      <c r="N598" s="809"/>
      <c r="O598" s="809"/>
      <c r="P598" s="809"/>
      <c r="Q598" s="809"/>
      <c r="R598" s="809"/>
      <c r="S598" s="989"/>
      <c r="T598" s="809"/>
      <c r="U598" s="809"/>
      <c r="V598" s="809"/>
      <c r="W598" s="809"/>
      <c r="X598" s="809"/>
      <c r="Y598" s="809"/>
      <c r="Z598" s="989"/>
      <c r="AA598" s="809"/>
      <c r="AB598" s="809"/>
      <c r="AC598" s="809"/>
      <c r="AD598" s="809"/>
      <c r="AE598" s="827"/>
      <c r="AF598" s="809"/>
      <c r="AG598" s="960"/>
      <c r="AH598" s="873"/>
      <c r="AI598" s="839">
        <f t="shared" si="31"/>
        <v>0</v>
      </c>
      <c r="AJ598" s="777">
        <v>0</v>
      </c>
      <c r="AK598" s="778">
        <f t="shared" si="29"/>
        <v>0</v>
      </c>
      <c r="AL598" s="901"/>
      <c r="AM598" s="781">
        <f t="shared" si="30"/>
        <v>0</v>
      </c>
    </row>
    <row r="599" spans="1:39" s="560" customFormat="1" hidden="1">
      <c r="A599" s="492" t="s">
        <v>498</v>
      </c>
      <c r="B599" s="608" t="s">
        <v>1370</v>
      </c>
      <c r="C599" s="690"/>
      <c r="D599" s="580"/>
      <c r="E599" s="981"/>
      <c r="F599" s="581"/>
      <c r="G599" s="581"/>
      <c r="H599" s="581"/>
      <c r="I599" s="949"/>
      <c r="J599" s="949"/>
      <c r="K599" s="949"/>
      <c r="L599" s="989"/>
      <c r="M599" s="575"/>
      <c r="N599" s="575"/>
      <c r="O599" s="575"/>
      <c r="P599" s="575"/>
      <c r="Q599" s="575"/>
      <c r="R599" s="575"/>
      <c r="S599" s="989"/>
      <c r="T599" s="575"/>
      <c r="U599" s="575"/>
      <c r="V599" s="575"/>
      <c r="W599" s="575"/>
      <c r="X599" s="575"/>
      <c r="Y599" s="575"/>
      <c r="Z599" s="989"/>
      <c r="AA599" s="575"/>
      <c r="AB599" s="575"/>
      <c r="AC599" s="575"/>
      <c r="AD599" s="575"/>
      <c r="AE599" s="827"/>
      <c r="AF599" s="575"/>
      <c r="AG599" s="960"/>
      <c r="AH599" s="842"/>
      <c r="AI599" s="839">
        <f t="shared" si="31"/>
        <v>0</v>
      </c>
      <c r="AJ599" s="949">
        <v>0</v>
      </c>
      <c r="AK599" s="581">
        <f t="shared" si="29"/>
        <v>0</v>
      </c>
      <c r="AL599" s="750"/>
      <c r="AM599" s="743">
        <f t="shared" si="30"/>
        <v>0</v>
      </c>
    </row>
    <row r="600" spans="1:39" s="560" customFormat="1" hidden="1">
      <c r="A600" s="607" t="s">
        <v>1039</v>
      </c>
      <c r="B600" s="607" t="s">
        <v>1371</v>
      </c>
      <c r="C600" s="690"/>
      <c r="D600" s="580"/>
      <c r="E600" s="981"/>
      <c r="F600" s="581"/>
      <c r="G600" s="581"/>
      <c r="H600" s="581"/>
      <c r="I600" s="949"/>
      <c r="J600" s="949"/>
      <c r="K600" s="949"/>
      <c r="L600" s="989"/>
      <c r="M600" s="575"/>
      <c r="N600" s="575"/>
      <c r="O600" s="575"/>
      <c r="P600" s="575"/>
      <c r="Q600" s="575"/>
      <c r="R600" s="575"/>
      <c r="S600" s="989"/>
      <c r="T600" s="575"/>
      <c r="U600" s="575"/>
      <c r="V600" s="575"/>
      <c r="W600" s="575"/>
      <c r="X600" s="575"/>
      <c r="Y600" s="575"/>
      <c r="Z600" s="989"/>
      <c r="AA600" s="575"/>
      <c r="AB600" s="575"/>
      <c r="AC600" s="575"/>
      <c r="AD600" s="575"/>
      <c r="AE600" s="827"/>
      <c r="AF600" s="575"/>
      <c r="AG600" s="960"/>
      <c r="AH600" s="842"/>
      <c r="AI600" s="839">
        <f t="shared" si="31"/>
        <v>0</v>
      </c>
      <c r="AJ600" s="949">
        <v>0</v>
      </c>
      <c r="AK600" s="581">
        <f t="shared" si="29"/>
        <v>0</v>
      </c>
      <c r="AL600" s="750"/>
      <c r="AM600" s="743">
        <f t="shared" si="30"/>
        <v>0</v>
      </c>
    </row>
    <row r="601" spans="1:39" s="560" customFormat="1" hidden="1">
      <c r="A601" s="604" t="s">
        <v>1040</v>
      </c>
      <c r="B601" s="604" t="s">
        <v>1372</v>
      </c>
      <c r="C601" s="614" t="s">
        <v>1439</v>
      </c>
      <c r="D601" s="580"/>
      <c r="E601" s="981"/>
      <c r="F601" s="581"/>
      <c r="G601" s="581"/>
      <c r="H601" s="581"/>
      <c r="I601" s="949"/>
      <c r="J601" s="949"/>
      <c r="K601" s="949"/>
      <c r="L601" s="989"/>
      <c r="M601" s="575"/>
      <c r="N601" s="575"/>
      <c r="O601" s="575"/>
      <c r="P601" s="575"/>
      <c r="Q601" s="575"/>
      <c r="R601" s="575"/>
      <c r="S601" s="989"/>
      <c r="T601" s="575"/>
      <c r="U601" s="575"/>
      <c r="V601" s="575"/>
      <c r="W601" s="575"/>
      <c r="X601" s="575"/>
      <c r="Y601" s="575"/>
      <c r="Z601" s="989"/>
      <c r="AA601" s="575"/>
      <c r="AB601" s="575"/>
      <c r="AC601" s="575"/>
      <c r="AD601" s="575"/>
      <c r="AE601" s="827"/>
      <c r="AF601" s="575"/>
      <c r="AG601" s="960"/>
      <c r="AH601" s="842"/>
      <c r="AI601" s="839">
        <f t="shared" si="31"/>
        <v>0</v>
      </c>
      <c r="AJ601" s="949">
        <v>0</v>
      </c>
      <c r="AK601" s="581">
        <f t="shared" si="29"/>
        <v>0</v>
      </c>
      <c r="AL601" s="750" t="s">
        <v>1441</v>
      </c>
      <c r="AM601" s="743">
        <f t="shared" si="30"/>
        <v>1</v>
      </c>
    </row>
    <row r="602" spans="1:39" s="560" customFormat="1" hidden="1">
      <c r="A602" s="604" t="s">
        <v>1041</v>
      </c>
      <c r="B602" s="604" t="s">
        <v>1373</v>
      </c>
      <c r="C602" s="614" t="s">
        <v>1439</v>
      </c>
      <c r="D602" s="580"/>
      <c r="E602" s="981"/>
      <c r="F602" s="581"/>
      <c r="G602" s="581"/>
      <c r="H602" s="581"/>
      <c r="I602" s="949"/>
      <c r="J602" s="949"/>
      <c r="K602" s="949"/>
      <c r="L602" s="989"/>
      <c r="M602" s="575"/>
      <c r="N602" s="575"/>
      <c r="O602" s="575"/>
      <c r="P602" s="575"/>
      <c r="Q602" s="575"/>
      <c r="R602" s="575"/>
      <c r="S602" s="989"/>
      <c r="T602" s="575"/>
      <c r="U602" s="575"/>
      <c r="V602" s="575"/>
      <c r="W602" s="575"/>
      <c r="X602" s="575"/>
      <c r="Y602" s="575"/>
      <c r="Z602" s="989"/>
      <c r="AA602" s="575"/>
      <c r="AB602" s="575"/>
      <c r="AC602" s="575"/>
      <c r="AD602" s="575"/>
      <c r="AE602" s="827"/>
      <c r="AF602" s="575"/>
      <c r="AG602" s="960"/>
      <c r="AH602" s="842"/>
      <c r="AI602" s="839">
        <f t="shared" si="31"/>
        <v>0</v>
      </c>
      <c r="AJ602" s="949">
        <v>0</v>
      </c>
      <c r="AK602" s="581">
        <f t="shared" si="29"/>
        <v>0</v>
      </c>
      <c r="AL602" s="750" t="s">
        <v>1441</v>
      </c>
      <c r="AM602" s="743">
        <f t="shared" si="30"/>
        <v>1</v>
      </c>
    </row>
    <row r="603" spans="1:39" s="560" customFormat="1" hidden="1">
      <c r="A603" s="604" t="s">
        <v>1042</v>
      </c>
      <c r="B603" s="604" t="s">
        <v>1374</v>
      </c>
      <c r="C603" s="614" t="s">
        <v>1439</v>
      </c>
      <c r="D603" s="580"/>
      <c r="E603" s="981"/>
      <c r="F603" s="581"/>
      <c r="G603" s="581"/>
      <c r="H603" s="581"/>
      <c r="I603" s="949"/>
      <c r="J603" s="949"/>
      <c r="K603" s="949"/>
      <c r="L603" s="989"/>
      <c r="M603" s="575"/>
      <c r="N603" s="575"/>
      <c r="O603" s="575"/>
      <c r="P603" s="575"/>
      <c r="Q603" s="575"/>
      <c r="R603" s="575"/>
      <c r="S603" s="989"/>
      <c r="T603" s="575"/>
      <c r="U603" s="575"/>
      <c r="V603" s="575"/>
      <c r="W603" s="575"/>
      <c r="X603" s="575"/>
      <c r="Y603" s="575"/>
      <c r="Z603" s="989"/>
      <c r="AA603" s="575"/>
      <c r="AB603" s="575"/>
      <c r="AC603" s="575"/>
      <c r="AD603" s="575"/>
      <c r="AE603" s="827"/>
      <c r="AF603" s="575"/>
      <c r="AG603" s="960"/>
      <c r="AH603" s="842"/>
      <c r="AI603" s="839">
        <f t="shared" si="31"/>
        <v>0</v>
      </c>
      <c r="AJ603" s="949">
        <v>0</v>
      </c>
      <c r="AK603" s="581">
        <f t="shared" si="29"/>
        <v>0</v>
      </c>
      <c r="AL603" s="750" t="s">
        <v>1441</v>
      </c>
      <c r="AM603" s="743">
        <f t="shared" si="30"/>
        <v>1</v>
      </c>
    </row>
    <row r="604" spans="1:39" s="560" customFormat="1" hidden="1">
      <c r="A604" s="604" t="s">
        <v>1043</v>
      </c>
      <c r="B604" s="604" t="s">
        <v>1375</v>
      </c>
      <c r="C604" s="614" t="s">
        <v>1439</v>
      </c>
      <c r="D604" s="580"/>
      <c r="E604" s="981"/>
      <c r="F604" s="581"/>
      <c r="G604" s="581"/>
      <c r="H604" s="581"/>
      <c r="I604" s="949"/>
      <c r="J604" s="949"/>
      <c r="K604" s="949"/>
      <c r="L604" s="989"/>
      <c r="M604" s="575"/>
      <c r="N604" s="575"/>
      <c r="O604" s="575"/>
      <c r="P604" s="575"/>
      <c r="Q604" s="575"/>
      <c r="R604" s="575"/>
      <c r="S604" s="989"/>
      <c r="T604" s="575"/>
      <c r="U604" s="575"/>
      <c r="V604" s="575"/>
      <c r="W604" s="575"/>
      <c r="X604" s="575"/>
      <c r="Y604" s="575"/>
      <c r="Z604" s="989"/>
      <c r="AA604" s="575"/>
      <c r="AB604" s="575"/>
      <c r="AC604" s="575"/>
      <c r="AD604" s="575"/>
      <c r="AE604" s="827"/>
      <c r="AF604" s="575"/>
      <c r="AG604" s="960"/>
      <c r="AH604" s="842"/>
      <c r="AI604" s="839">
        <f t="shared" si="31"/>
        <v>0</v>
      </c>
      <c r="AJ604" s="949">
        <v>0</v>
      </c>
      <c r="AK604" s="581">
        <f t="shared" si="29"/>
        <v>0</v>
      </c>
      <c r="AL604" s="750" t="s">
        <v>1441</v>
      </c>
      <c r="AM604" s="743">
        <f t="shared" si="30"/>
        <v>1</v>
      </c>
    </row>
    <row r="605" spans="1:39" s="782" customFormat="1" hidden="1">
      <c r="A605" s="885" t="s">
        <v>1044</v>
      </c>
      <c r="B605" s="885" t="s">
        <v>1376</v>
      </c>
      <c r="C605" s="898"/>
      <c r="D605" s="795"/>
      <c r="E605" s="981"/>
      <c r="F605" s="778"/>
      <c r="G605" s="778"/>
      <c r="H605" s="778"/>
      <c r="I605" s="777"/>
      <c r="J605" s="777"/>
      <c r="K605" s="777"/>
      <c r="L605" s="989"/>
      <c r="M605" s="809"/>
      <c r="N605" s="809"/>
      <c r="O605" s="809"/>
      <c r="P605" s="809"/>
      <c r="Q605" s="809"/>
      <c r="R605" s="809"/>
      <c r="S605" s="989"/>
      <c r="T605" s="809"/>
      <c r="U605" s="809"/>
      <c r="V605" s="809"/>
      <c r="W605" s="809"/>
      <c r="X605" s="809"/>
      <c r="Y605" s="809"/>
      <c r="Z605" s="989"/>
      <c r="AA605" s="809"/>
      <c r="AB605" s="809"/>
      <c r="AC605" s="809"/>
      <c r="AD605" s="809"/>
      <c r="AE605" s="827"/>
      <c r="AF605" s="809"/>
      <c r="AG605" s="960"/>
      <c r="AH605" s="873"/>
      <c r="AI605" s="839">
        <f t="shared" si="31"/>
        <v>0</v>
      </c>
      <c r="AJ605" s="777">
        <v>0</v>
      </c>
      <c r="AK605" s="778">
        <f t="shared" si="29"/>
        <v>0</v>
      </c>
      <c r="AL605" s="901"/>
      <c r="AM605" s="781">
        <f t="shared" si="30"/>
        <v>0</v>
      </c>
    </row>
    <row r="606" spans="1:39" s="782" customFormat="1" hidden="1">
      <c r="A606" s="772" t="s">
        <v>1045</v>
      </c>
      <c r="B606" s="772" t="s">
        <v>1376</v>
      </c>
      <c r="C606" s="877" t="s">
        <v>1438</v>
      </c>
      <c r="D606" s="795"/>
      <c r="E606" s="981"/>
      <c r="F606" s="778"/>
      <c r="G606" s="778"/>
      <c r="H606" s="778"/>
      <c r="I606" s="777"/>
      <c r="J606" s="777"/>
      <c r="K606" s="777"/>
      <c r="L606" s="989"/>
      <c r="M606" s="809"/>
      <c r="N606" s="809"/>
      <c r="O606" s="809"/>
      <c r="P606" s="809"/>
      <c r="Q606" s="809"/>
      <c r="R606" s="809"/>
      <c r="S606" s="989"/>
      <c r="T606" s="809"/>
      <c r="U606" s="809"/>
      <c r="V606" s="809"/>
      <c r="W606" s="809"/>
      <c r="X606" s="809"/>
      <c r="Y606" s="809"/>
      <c r="Z606" s="989"/>
      <c r="AA606" s="809"/>
      <c r="AB606" s="809"/>
      <c r="AC606" s="809"/>
      <c r="AD606" s="809"/>
      <c r="AE606" s="827"/>
      <c r="AF606" s="809"/>
      <c r="AG606" s="960"/>
      <c r="AH606" s="873"/>
      <c r="AI606" s="839">
        <f t="shared" si="31"/>
        <v>0</v>
      </c>
      <c r="AJ606" s="777">
        <v>0</v>
      </c>
      <c r="AK606" s="778">
        <f t="shared" si="29"/>
        <v>0</v>
      </c>
      <c r="AL606" s="901" t="s">
        <v>1749</v>
      </c>
      <c r="AM606" s="781">
        <f t="shared" si="30"/>
        <v>43</v>
      </c>
    </row>
    <row r="607" spans="1:39" s="782" customFormat="1" hidden="1">
      <c r="A607" s="772" t="s">
        <v>1046</v>
      </c>
      <c r="B607" s="772" t="s">
        <v>1377</v>
      </c>
      <c r="C607" s="877" t="s">
        <v>1438</v>
      </c>
      <c r="D607" s="795"/>
      <c r="E607" s="981"/>
      <c r="F607" s="778"/>
      <c r="G607" s="778"/>
      <c r="H607" s="778"/>
      <c r="I607" s="777"/>
      <c r="J607" s="777"/>
      <c r="K607" s="777"/>
      <c r="L607" s="989"/>
      <c r="M607" s="809"/>
      <c r="N607" s="809"/>
      <c r="O607" s="809"/>
      <c r="P607" s="809"/>
      <c r="Q607" s="809"/>
      <c r="R607" s="809"/>
      <c r="S607" s="989"/>
      <c r="T607" s="809"/>
      <c r="U607" s="809"/>
      <c r="V607" s="809"/>
      <c r="W607" s="809"/>
      <c r="X607" s="809"/>
      <c r="Y607" s="809"/>
      <c r="Z607" s="989"/>
      <c r="AA607" s="809"/>
      <c r="AB607" s="809"/>
      <c r="AC607" s="809"/>
      <c r="AD607" s="809"/>
      <c r="AE607" s="827"/>
      <c r="AF607" s="809"/>
      <c r="AG607" s="960"/>
      <c r="AH607" s="873"/>
      <c r="AI607" s="839">
        <f t="shared" si="31"/>
        <v>0</v>
      </c>
      <c r="AJ607" s="777">
        <v>0</v>
      </c>
      <c r="AK607" s="778">
        <f t="shared" si="29"/>
        <v>0</v>
      </c>
      <c r="AL607" s="901" t="s">
        <v>1750</v>
      </c>
      <c r="AM607" s="781">
        <f t="shared" si="30"/>
        <v>7</v>
      </c>
    </row>
    <row r="608" spans="1:39" s="560" customFormat="1" hidden="1">
      <c r="A608" s="607" t="s">
        <v>1047</v>
      </c>
      <c r="B608" s="607" t="s">
        <v>1378</v>
      </c>
      <c r="C608" s="690"/>
      <c r="D608" s="580"/>
      <c r="E608" s="981"/>
      <c r="F608" s="581"/>
      <c r="G608" s="581"/>
      <c r="H608" s="581"/>
      <c r="I608" s="949"/>
      <c r="J608" s="949"/>
      <c r="K608" s="949"/>
      <c r="L608" s="989"/>
      <c r="M608" s="575"/>
      <c r="N608" s="575"/>
      <c r="O608" s="575"/>
      <c r="P608" s="575"/>
      <c r="Q608" s="575"/>
      <c r="R608" s="575"/>
      <c r="S608" s="989"/>
      <c r="T608" s="575"/>
      <c r="U608" s="575"/>
      <c r="V608" s="575"/>
      <c r="W608" s="575"/>
      <c r="X608" s="575"/>
      <c r="Y608" s="575"/>
      <c r="Z608" s="989"/>
      <c r="AA608" s="575"/>
      <c r="AB608" s="575"/>
      <c r="AC608" s="575"/>
      <c r="AD608" s="575"/>
      <c r="AE608" s="827"/>
      <c r="AF608" s="575"/>
      <c r="AG608" s="960"/>
      <c r="AH608" s="842"/>
      <c r="AI608" s="839">
        <f t="shared" si="31"/>
        <v>0</v>
      </c>
      <c r="AJ608" s="949">
        <v>0</v>
      </c>
      <c r="AK608" s="581">
        <f t="shared" si="29"/>
        <v>0</v>
      </c>
      <c r="AL608" s="750"/>
      <c r="AM608" s="743">
        <f t="shared" si="30"/>
        <v>0</v>
      </c>
    </row>
    <row r="609" spans="1:39" s="560" customFormat="1" hidden="1">
      <c r="A609" s="604" t="s">
        <v>1048</v>
      </c>
      <c r="B609" s="604" t="s">
        <v>1379</v>
      </c>
      <c r="C609" s="614" t="s">
        <v>35</v>
      </c>
      <c r="D609" s="580"/>
      <c r="E609" s="981"/>
      <c r="F609" s="581"/>
      <c r="G609" s="581"/>
      <c r="H609" s="581"/>
      <c r="I609" s="949"/>
      <c r="J609" s="949"/>
      <c r="K609" s="949"/>
      <c r="L609" s="989"/>
      <c r="M609" s="575"/>
      <c r="N609" s="575"/>
      <c r="O609" s="575"/>
      <c r="P609" s="575"/>
      <c r="Q609" s="575"/>
      <c r="R609" s="575"/>
      <c r="S609" s="989"/>
      <c r="T609" s="575"/>
      <c r="U609" s="575"/>
      <c r="V609" s="575"/>
      <c r="W609" s="575"/>
      <c r="X609" s="575"/>
      <c r="Y609" s="575"/>
      <c r="Z609" s="989"/>
      <c r="AA609" s="575"/>
      <c r="AB609" s="575"/>
      <c r="AC609" s="575"/>
      <c r="AD609" s="575"/>
      <c r="AE609" s="827"/>
      <c r="AF609" s="575"/>
      <c r="AG609" s="960"/>
      <c r="AH609" s="842"/>
      <c r="AI609" s="839">
        <f t="shared" si="31"/>
        <v>0</v>
      </c>
      <c r="AJ609" s="949">
        <v>0</v>
      </c>
      <c r="AK609" s="581">
        <f t="shared" si="29"/>
        <v>0</v>
      </c>
      <c r="AL609" s="750" t="s">
        <v>1751</v>
      </c>
      <c r="AM609" s="743">
        <f t="shared" si="30"/>
        <v>17</v>
      </c>
    </row>
    <row r="610" spans="1:39" s="560" customFormat="1" hidden="1">
      <c r="A610" s="604" t="s">
        <v>1049</v>
      </c>
      <c r="B610" s="604" t="s">
        <v>1380</v>
      </c>
      <c r="C610" s="614" t="s">
        <v>35</v>
      </c>
      <c r="D610" s="580"/>
      <c r="E610" s="981"/>
      <c r="F610" s="581"/>
      <c r="G610" s="581"/>
      <c r="H610" s="581"/>
      <c r="I610" s="949"/>
      <c r="J610" s="949"/>
      <c r="K610" s="949"/>
      <c r="L610" s="989"/>
      <c r="M610" s="575"/>
      <c r="N610" s="575"/>
      <c r="O610" s="575"/>
      <c r="P610" s="575"/>
      <c r="Q610" s="575"/>
      <c r="R610" s="575"/>
      <c r="S610" s="989"/>
      <c r="T610" s="575"/>
      <c r="U610" s="575"/>
      <c r="V610" s="575"/>
      <c r="W610" s="575"/>
      <c r="X610" s="575"/>
      <c r="Y610" s="575"/>
      <c r="Z610" s="989"/>
      <c r="AA610" s="575"/>
      <c r="AB610" s="575"/>
      <c r="AC610" s="575"/>
      <c r="AD610" s="575"/>
      <c r="AE610" s="827"/>
      <c r="AF610" s="575"/>
      <c r="AG610" s="960"/>
      <c r="AH610" s="842"/>
      <c r="AI610" s="839">
        <f t="shared" si="31"/>
        <v>0</v>
      </c>
      <c r="AJ610" s="949">
        <v>0</v>
      </c>
      <c r="AK610" s="581">
        <f t="shared" si="29"/>
        <v>0</v>
      </c>
      <c r="AL610" s="750" t="s">
        <v>1752</v>
      </c>
      <c r="AM610" s="743">
        <f t="shared" si="30"/>
        <v>23</v>
      </c>
    </row>
    <row r="611" spans="1:39" s="560" customFormat="1" hidden="1">
      <c r="A611" s="604" t="s">
        <v>1050</v>
      </c>
      <c r="B611" s="604" t="s">
        <v>1381</v>
      </c>
      <c r="C611" s="614" t="s">
        <v>35</v>
      </c>
      <c r="D611" s="580"/>
      <c r="E611" s="981"/>
      <c r="F611" s="581"/>
      <c r="G611" s="581"/>
      <c r="H611" s="581"/>
      <c r="I611" s="949"/>
      <c r="J611" s="949"/>
      <c r="K611" s="949"/>
      <c r="L611" s="989"/>
      <c r="M611" s="575"/>
      <c r="N611" s="575"/>
      <c r="O611" s="575"/>
      <c r="P611" s="575"/>
      <c r="Q611" s="575"/>
      <c r="R611" s="575"/>
      <c r="S611" s="989"/>
      <c r="T611" s="575"/>
      <c r="U611" s="575"/>
      <c r="V611" s="575"/>
      <c r="W611" s="575"/>
      <c r="X611" s="575"/>
      <c r="Y611" s="575"/>
      <c r="Z611" s="989"/>
      <c r="AA611" s="575"/>
      <c r="AB611" s="575"/>
      <c r="AC611" s="575"/>
      <c r="AD611" s="575"/>
      <c r="AE611" s="827"/>
      <c r="AF611" s="575"/>
      <c r="AG611" s="960"/>
      <c r="AH611" s="842"/>
      <c r="AI611" s="839">
        <f t="shared" si="31"/>
        <v>0</v>
      </c>
      <c r="AJ611" s="949">
        <v>0</v>
      </c>
      <c r="AK611" s="581">
        <f t="shared" si="29"/>
        <v>0</v>
      </c>
      <c r="AL611" s="750" t="s">
        <v>1684</v>
      </c>
      <c r="AM611" s="743">
        <f t="shared" si="30"/>
        <v>2</v>
      </c>
    </row>
    <row r="612" spans="1:39" s="560" customFormat="1" hidden="1">
      <c r="A612" s="604" t="s">
        <v>1051</v>
      </c>
      <c r="B612" s="604" t="s">
        <v>1382</v>
      </c>
      <c r="C612" s="614" t="s">
        <v>35</v>
      </c>
      <c r="D612" s="580"/>
      <c r="E612" s="981"/>
      <c r="F612" s="581"/>
      <c r="G612" s="581"/>
      <c r="H612" s="581"/>
      <c r="I612" s="949"/>
      <c r="J612" s="949"/>
      <c r="K612" s="949"/>
      <c r="L612" s="989"/>
      <c r="M612" s="575"/>
      <c r="N612" s="575"/>
      <c r="O612" s="575"/>
      <c r="P612" s="575"/>
      <c r="Q612" s="575"/>
      <c r="R612" s="575"/>
      <c r="S612" s="989"/>
      <c r="T612" s="575"/>
      <c r="U612" s="575"/>
      <c r="V612" s="575"/>
      <c r="W612" s="575"/>
      <c r="X612" s="575"/>
      <c r="Y612" s="575"/>
      <c r="Z612" s="989"/>
      <c r="AA612" s="575"/>
      <c r="AB612" s="575"/>
      <c r="AC612" s="575"/>
      <c r="AD612" s="575"/>
      <c r="AE612" s="827"/>
      <c r="AF612" s="575"/>
      <c r="AG612" s="960"/>
      <c r="AH612" s="842"/>
      <c r="AI612" s="839">
        <f t="shared" si="31"/>
        <v>0</v>
      </c>
      <c r="AJ612" s="949">
        <v>0</v>
      </c>
      <c r="AK612" s="581">
        <f t="shared" si="29"/>
        <v>0</v>
      </c>
      <c r="AL612" s="750" t="s">
        <v>1441</v>
      </c>
      <c r="AM612" s="743">
        <f t="shared" si="30"/>
        <v>1</v>
      </c>
    </row>
    <row r="613" spans="1:39" s="560" customFormat="1" hidden="1">
      <c r="A613" s="604" t="s">
        <v>1052</v>
      </c>
      <c r="B613" s="604" t="s">
        <v>1383</v>
      </c>
      <c r="C613" s="614" t="s">
        <v>35</v>
      </c>
      <c r="D613" s="580"/>
      <c r="E613" s="981"/>
      <c r="F613" s="581"/>
      <c r="G613" s="581"/>
      <c r="H613" s="581"/>
      <c r="I613" s="949"/>
      <c r="J613" s="949"/>
      <c r="K613" s="949"/>
      <c r="L613" s="989"/>
      <c r="M613" s="575"/>
      <c r="N613" s="575"/>
      <c r="O613" s="575"/>
      <c r="P613" s="575"/>
      <c r="Q613" s="575"/>
      <c r="R613" s="575"/>
      <c r="S613" s="989"/>
      <c r="T613" s="575"/>
      <c r="U613" s="575"/>
      <c r="V613" s="575"/>
      <c r="W613" s="575"/>
      <c r="X613" s="575"/>
      <c r="Y613" s="575"/>
      <c r="Z613" s="989"/>
      <c r="AA613" s="575"/>
      <c r="AB613" s="575"/>
      <c r="AC613" s="575"/>
      <c r="AD613" s="575"/>
      <c r="AE613" s="827"/>
      <c r="AF613" s="575"/>
      <c r="AG613" s="960"/>
      <c r="AH613" s="842"/>
      <c r="AI613" s="839">
        <f t="shared" si="31"/>
        <v>0</v>
      </c>
      <c r="AJ613" s="949">
        <v>0</v>
      </c>
      <c r="AK613" s="581">
        <f t="shared" si="29"/>
        <v>0</v>
      </c>
      <c r="AL613" s="750" t="s">
        <v>1750</v>
      </c>
      <c r="AM613" s="743">
        <f t="shared" si="30"/>
        <v>7</v>
      </c>
    </row>
    <row r="614" spans="1:39" s="782" customFormat="1" hidden="1">
      <c r="A614" s="885" t="s">
        <v>1053</v>
      </c>
      <c r="B614" s="885" t="s">
        <v>1384</v>
      </c>
      <c r="C614" s="898"/>
      <c r="D614" s="795"/>
      <c r="E614" s="981"/>
      <c r="F614" s="778"/>
      <c r="G614" s="778"/>
      <c r="H614" s="778"/>
      <c r="I614" s="777"/>
      <c r="J614" s="777"/>
      <c r="K614" s="777"/>
      <c r="L614" s="989"/>
      <c r="M614" s="809"/>
      <c r="N614" s="809"/>
      <c r="O614" s="809"/>
      <c r="P614" s="809"/>
      <c r="Q614" s="809"/>
      <c r="R614" s="809"/>
      <c r="S614" s="989"/>
      <c r="T614" s="809"/>
      <c r="U614" s="809"/>
      <c r="V614" s="809"/>
      <c r="W614" s="809"/>
      <c r="X614" s="809"/>
      <c r="Y614" s="809"/>
      <c r="Z614" s="989"/>
      <c r="AA614" s="809"/>
      <c r="AB614" s="809"/>
      <c r="AC614" s="809"/>
      <c r="AD614" s="809"/>
      <c r="AE614" s="827"/>
      <c r="AF614" s="809"/>
      <c r="AG614" s="960"/>
      <c r="AH614" s="873"/>
      <c r="AI614" s="839">
        <f t="shared" si="31"/>
        <v>0</v>
      </c>
      <c r="AJ614" s="777">
        <v>0</v>
      </c>
      <c r="AK614" s="778">
        <f t="shared" si="29"/>
        <v>0</v>
      </c>
      <c r="AL614" s="901"/>
      <c r="AM614" s="781">
        <f t="shared" si="30"/>
        <v>0</v>
      </c>
    </row>
    <row r="615" spans="1:39" s="782" customFormat="1" hidden="1">
      <c r="A615" s="772" t="s">
        <v>1054</v>
      </c>
      <c r="B615" s="772" t="s">
        <v>1385</v>
      </c>
      <c r="C615" s="877" t="s">
        <v>1438</v>
      </c>
      <c r="D615" s="795"/>
      <c r="E615" s="981"/>
      <c r="F615" s="778"/>
      <c r="G615" s="778"/>
      <c r="H615" s="778"/>
      <c r="I615" s="777"/>
      <c r="J615" s="777"/>
      <c r="K615" s="777"/>
      <c r="L615" s="989"/>
      <c r="M615" s="809"/>
      <c r="N615" s="809"/>
      <c r="O615" s="809"/>
      <c r="P615" s="809"/>
      <c r="Q615" s="809"/>
      <c r="R615" s="809"/>
      <c r="S615" s="989"/>
      <c r="T615" s="809"/>
      <c r="U615" s="809"/>
      <c r="V615" s="809"/>
      <c r="W615" s="809"/>
      <c r="X615" s="809"/>
      <c r="Y615" s="809"/>
      <c r="Z615" s="989"/>
      <c r="AA615" s="809"/>
      <c r="AB615" s="809"/>
      <c r="AC615" s="809"/>
      <c r="AD615" s="809"/>
      <c r="AE615" s="827"/>
      <c r="AF615" s="809"/>
      <c r="AG615" s="960"/>
      <c r="AH615" s="873"/>
      <c r="AI615" s="839">
        <f t="shared" si="31"/>
        <v>0</v>
      </c>
      <c r="AJ615" s="777">
        <v>0</v>
      </c>
      <c r="AK615" s="778">
        <f t="shared" si="29"/>
        <v>0</v>
      </c>
      <c r="AL615" s="901" t="s">
        <v>1475</v>
      </c>
      <c r="AM615" s="781">
        <f t="shared" si="30"/>
        <v>16</v>
      </c>
    </row>
    <row r="616" spans="1:39" s="782" customFormat="1" hidden="1">
      <c r="A616" s="772" t="s">
        <v>1055</v>
      </c>
      <c r="B616" s="772" t="s">
        <v>1386</v>
      </c>
      <c r="C616" s="877" t="s">
        <v>1438</v>
      </c>
      <c r="D616" s="795"/>
      <c r="E616" s="981"/>
      <c r="F616" s="778"/>
      <c r="G616" s="778"/>
      <c r="H616" s="778"/>
      <c r="I616" s="777"/>
      <c r="J616" s="777"/>
      <c r="K616" s="777"/>
      <c r="L616" s="989"/>
      <c r="M616" s="809"/>
      <c r="N616" s="809"/>
      <c r="O616" s="809"/>
      <c r="P616" s="809"/>
      <c r="Q616" s="809"/>
      <c r="R616" s="809"/>
      <c r="S616" s="989"/>
      <c r="T616" s="809"/>
      <c r="U616" s="809"/>
      <c r="V616" s="809"/>
      <c r="W616" s="809"/>
      <c r="X616" s="809"/>
      <c r="Y616" s="809"/>
      <c r="Z616" s="989"/>
      <c r="AA616" s="809"/>
      <c r="AB616" s="809"/>
      <c r="AC616" s="809"/>
      <c r="AD616" s="809"/>
      <c r="AE616" s="827"/>
      <c r="AF616" s="809"/>
      <c r="AG616" s="960"/>
      <c r="AH616" s="873"/>
      <c r="AI616" s="839">
        <f t="shared" si="31"/>
        <v>0</v>
      </c>
      <c r="AJ616" s="777">
        <v>0</v>
      </c>
      <c r="AK616" s="778">
        <f t="shared" si="29"/>
        <v>0</v>
      </c>
      <c r="AL616" s="901" t="s">
        <v>1684</v>
      </c>
      <c r="AM616" s="781">
        <f t="shared" si="30"/>
        <v>2</v>
      </c>
    </row>
    <row r="617" spans="1:39" s="782" customFormat="1" hidden="1">
      <c r="A617" s="772" t="s">
        <v>1056</v>
      </c>
      <c r="B617" s="772" t="s">
        <v>1387</v>
      </c>
      <c r="C617" s="877" t="s">
        <v>1438</v>
      </c>
      <c r="D617" s="795"/>
      <c r="E617" s="981"/>
      <c r="F617" s="778"/>
      <c r="G617" s="778"/>
      <c r="H617" s="778"/>
      <c r="I617" s="777"/>
      <c r="J617" s="777"/>
      <c r="K617" s="777"/>
      <c r="L617" s="989"/>
      <c r="M617" s="809"/>
      <c r="N617" s="809"/>
      <c r="O617" s="809"/>
      <c r="P617" s="809"/>
      <c r="Q617" s="809"/>
      <c r="R617" s="809"/>
      <c r="S617" s="989"/>
      <c r="T617" s="809"/>
      <c r="U617" s="809"/>
      <c r="V617" s="809"/>
      <c r="W617" s="809"/>
      <c r="X617" s="809"/>
      <c r="Y617" s="809"/>
      <c r="Z617" s="989"/>
      <c r="AA617" s="809"/>
      <c r="AB617" s="809"/>
      <c r="AC617" s="809"/>
      <c r="AD617" s="809"/>
      <c r="AE617" s="827"/>
      <c r="AF617" s="809"/>
      <c r="AG617" s="960"/>
      <c r="AH617" s="873"/>
      <c r="AI617" s="839">
        <f t="shared" si="31"/>
        <v>0</v>
      </c>
      <c r="AJ617" s="777">
        <v>0</v>
      </c>
      <c r="AK617" s="778">
        <f t="shared" si="29"/>
        <v>0</v>
      </c>
      <c r="AL617" s="901" t="s">
        <v>1684</v>
      </c>
      <c r="AM617" s="781">
        <f t="shared" si="30"/>
        <v>2</v>
      </c>
    </row>
    <row r="618" spans="1:39" s="782" customFormat="1" hidden="1">
      <c r="A618" s="885" t="s">
        <v>1057</v>
      </c>
      <c r="B618" s="885" t="s">
        <v>1388</v>
      </c>
      <c r="C618" s="898"/>
      <c r="D618" s="795"/>
      <c r="E618" s="981"/>
      <c r="F618" s="778"/>
      <c r="G618" s="778"/>
      <c r="H618" s="778"/>
      <c r="I618" s="777"/>
      <c r="J618" s="777"/>
      <c r="K618" s="777"/>
      <c r="L618" s="989"/>
      <c r="M618" s="809"/>
      <c r="N618" s="809"/>
      <c r="O618" s="809"/>
      <c r="P618" s="809"/>
      <c r="Q618" s="809"/>
      <c r="R618" s="809"/>
      <c r="S618" s="989"/>
      <c r="T618" s="809"/>
      <c r="U618" s="809"/>
      <c r="V618" s="809"/>
      <c r="W618" s="809"/>
      <c r="X618" s="809"/>
      <c r="Y618" s="809"/>
      <c r="Z618" s="989"/>
      <c r="AA618" s="809"/>
      <c r="AB618" s="809"/>
      <c r="AC618" s="809"/>
      <c r="AD618" s="809"/>
      <c r="AE618" s="827"/>
      <c r="AF618" s="809"/>
      <c r="AG618" s="960"/>
      <c r="AH618" s="873"/>
      <c r="AI618" s="839">
        <f t="shared" si="31"/>
        <v>0</v>
      </c>
      <c r="AJ618" s="777">
        <v>0</v>
      </c>
      <c r="AK618" s="778">
        <f t="shared" si="29"/>
        <v>0</v>
      </c>
      <c r="AL618" s="901"/>
      <c r="AM618" s="781">
        <f t="shared" si="30"/>
        <v>0</v>
      </c>
    </row>
    <row r="619" spans="1:39" s="782" customFormat="1" hidden="1">
      <c r="A619" s="772" t="s">
        <v>1058</v>
      </c>
      <c r="B619" s="772" t="s">
        <v>1389</v>
      </c>
      <c r="C619" s="877" t="s">
        <v>1438</v>
      </c>
      <c r="D619" s="795"/>
      <c r="E619" s="981"/>
      <c r="F619" s="778"/>
      <c r="G619" s="778"/>
      <c r="H619" s="778"/>
      <c r="I619" s="777"/>
      <c r="J619" s="777"/>
      <c r="K619" s="777"/>
      <c r="L619" s="989"/>
      <c r="M619" s="809"/>
      <c r="N619" s="809"/>
      <c r="O619" s="809"/>
      <c r="P619" s="809"/>
      <c r="Q619" s="809"/>
      <c r="R619" s="809"/>
      <c r="S619" s="989"/>
      <c r="T619" s="809"/>
      <c r="U619" s="809"/>
      <c r="V619" s="809"/>
      <c r="W619" s="809"/>
      <c r="X619" s="809"/>
      <c r="Y619" s="809"/>
      <c r="Z619" s="989"/>
      <c r="AA619" s="809"/>
      <c r="AB619" s="809"/>
      <c r="AC619" s="809"/>
      <c r="AD619" s="809"/>
      <c r="AE619" s="827"/>
      <c r="AF619" s="809"/>
      <c r="AG619" s="960"/>
      <c r="AH619" s="873"/>
      <c r="AI619" s="839">
        <f t="shared" si="31"/>
        <v>0</v>
      </c>
      <c r="AJ619" s="777">
        <v>0</v>
      </c>
      <c r="AK619" s="778">
        <f t="shared" si="29"/>
        <v>0</v>
      </c>
      <c r="AL619" s="901" t="s">
        <v>1753</v>
      </c>
      <c r="AM619" s="781">
        <f t="shared" si="30"/>
        <v>14</v>
      </c>
    </row>
    <row r="620" spans="1:39" s="782" customFormat="1" hidden="1">
      <c r="A620" s="772" t="s">
        <v>1059</v>
      </c>
      <c r="B620" s="772" t="s">
        <v>1390</v>
      </c>
      <c r="C620" s="877" t="s">
        <v>1438</v>
      </c>
      <c r="D620" s="795"/>
      <c r="E620" s="981"/>
      <c r="F620" s="778"/>
      <c r="G620" s="778"/>
      <c r="H620" s="778"/>
      <c r="I620" s="777"/>
      <c r="J620" s="777"/>
      <c r="K620" s="777"/>
      <c r="L620" s="989"/>
      <c r="M620" s="809"/>
      <c r="N620" s="809"/>
      <c r="O620" s="809"/>
      <c r="P620" s="809"/>
      <c r="Q620" s="809"/>
      <c r="R620" s="809"/>
      <c r="S620" s="989"/>
      <c r="T620" s="809"/>
      <c r="U620" s="809"/>
      <c r="V620" s="809"/>
      <c r="W620" s="809"/>
      <c r="X620" s="809"/>
      <c r="Y620" s="809"/>
      <c r="Z620" s="989"/>
      <c r="AA620" s="809"/>
      <c r="AB620" s="809"/>
      <c r="AC620" s="809"/>
      <c r="AD620" s="809"/>
      <c r="AE620" s="827"/>
      <c r="AF620" s="809"/>
      <c r="AG620" s="960"/>
      <c r="AH620" s="952"/>
      <c r="AI620" s="839">
        <f t="shared" si="31"/>
        <v>0</v>
      </c>
      <c r="AJ620" s="777">
        <v>0</v>
      </c>
      <c r="AK620" s="778">
        <f t="shared" si="29"/>
        <v>0</v>
      </c>
      <c r="AL620" s="901" t="s">
        <v>1441</v>
      </c>
      <c r="AM620" s="781">
        <f t="shared" si="30"/>
        <v>1</v>
      </c>
    </row>
    <row r="621" spans="1:39" s="782" customFormat="1" hidden="1">
      <c r="A621" s="772" t="s">
        <v>1060</v>
      </c>
      <c r="B621" s="772" t="s">
        <v>1391</v>
      </c>
      <c r="C621" s="877" t="s">
        <v>1438</v>
      </c>
      <c r="D621" s="795"/>
      <c r="E621" s="981"/>
      <c r="F621" s="778"/>
      <c r="G621" s="778"/>
      <c r="H621" s="778"/>
      <c r="I621" s="777"/>
      <c r="J621" s="777"/>
      <c r="K621" s="777"/>
      <c r="L621" s="989"/>
      <c r="M621" s="809"/>
      <c r="N621" s="809"/>
      <c r="O621" s="809"/>
      <c r="P621" s="809"/>
      <c r="Q621" s="809"/>
      <c r="R621" s="809"/>
      <c r="S621" s="989"/>
      <c r="T621" s="809"/>
      <c r="U621" s="809"/>
      <c r="V621" s="809"/>
      <c r="W621" s="809"/>
      <c r="X621" s="809"/>
      <c r="Y621" s="809"/>
      <c r="Z621" s="989"/>
      <c r="AA621" s="809"/>
      <c r="AB621" s="809"/>
      <c r="AC621" s="809"/>
      <c r="AD621" s="809"/>
      <c r="AE621" s="827"/>
      <c r="AF621" s="809"/>
      <c r="AG621" s="960"/>
      <c r="AH621" s="952"/>
      <c r="AI621" s="839">
        <f t="shared" si="31"/>
        <v>0</v>
      </c>
      <c r="AJ621" s="777">
        <v>0</v>
      </c>
      <c r="AK621" s="778">
        <f t="shared" si="29"/>
        <v>0</v>
      </c>
      <c r="AL621" s="901" t="s">
        <v>1604</v>
      </c>
      <c r="AM621" s="781">
        <f t="shared" si="30"/>
        <v>3</v>
      </c>
    </row>
    <row r="622" spans="1:39" s="782" customFormat="1" hidden="1">
      <c r="A622" s="772" t="s">
        <v>1061</v>
      </c>
      <c r="B622" s="772" t="s">
        <v>1392</v>
      </c>
      <c r="C622" s="877" t="s">
        <v>1438</v>
      </c>
      <c r="D622" s="795"/>
      <c r="E622" s="981"/>
      <c r="F622" s="778"/>
      <c r="G622" s="778"/>
      <c r="H622" s="778"/>
      <c r="I622" s="777"/>
      <c r="J622" s="777"/>
      <c r="K622" s="777"/>
      <c r="L622" s="989"/>
      <c r="M622" s="809"/>
      <c r="N622" s="809"/>
      <c r="O622" s="809"/>
      <c r="P622" s="809"/>
      <c r="Q622" s="809"/>
      <c r="R622" s="809"/>
      <c r="S622" s="989"/>
      <c r="T622" s="809"/>
      <c r="U622" s="809"/>
      <c r="V622" s="809"/>
      <c r="W622" s="809"/>
      <c r="X622" s="809"/>
      <c r="Y622" s="809"/>
      <c r="Z622" s="989"/>
      <c r="AA622" s="809"/>
      <c r="AB622" s="809"/>
      <c r="AC622" s="809"/>
      <c r="AD622" s="809"/>
      <c r="AE622" s="827"/>
      <c r="AF622" s="809"/>
      <c r="AG622" s="960"/>
      <c r="AH622" s="952"/>
      <c r="AI622" s="839">
        <f t="shared" si="31"/>
        <v>0</v>
      </c>
      <c r="AJ622" s="777">
        <v>0</v>
      </c>
      <c r="AK622" s="778">
        <f t="shared" si="29"/>
        <v>0</v>
      </c>
      <c r="AL622" s="901" t="s">
        <v>1627</v>
      </c>
      <c r="AM622" s="781">
        <f t="shared" si="30"/>
        <v>9</v>
      </c>
    </row>
    <row r="623" spans="1:39" s="782" customFormat="1" hidden="1">
      <c r="A623" s="772" t="s">
        <v>1062</v>
      </c>
      <c r="B623" s="772" t="s">
        <v>1393</v>
      </c>
      <c r="C623" s="877" t="s">
        <v>1438</v>
      </c>
      <c r="D623" s="795"/>
      <c r="E623" s="981"/>
      <c r="F623" s="778"/>
      <c r="G623" s="778"/>
      <c r="H623" s="778"/>
      <c r="I623" s="777"/>
      <c r="J623" s="777"/>
      <c r="K623" s="777"/>
      <c r="L623" s="989"/>
      <c r="M623" s="809"/>
      <c r="N623" s="809"/>
      <c r="O623" s="809"/>
      <c r="P623" s="809"/>
      <c r="Q623" s="809"/>
      <c r="R623" s="809"/>
      <c r="S623" s="989"/>
      <c r="T623" s="809"/>
      <c r="U623" s="809"/>
      <c r="V623" s="809"/>
      <c r="W623" s="809"/>
      <c r="X623" s="809"/>
      <c r="Y623" s="809"/>
      <c r="Z623" s="989"/>
      <c r="AA623" s="809"/>
      <c r="AB623" s="809"/>
      <c r="AC623" s="809"/>
      <c r="AD623" s="809"/>
      <c r="AE623" s="827"/>
      <c r="AF623" s="809"/>
      <c r="AG623" s="960"/>
      <c r="AH623" s="952"/>
      <c r="AI623" s="839">
        <f t="shared" si="31"/>
        <v>0</v>
      </c>
      <c r="AJ623" s="777">
        <v>0</v>
      </c>
      <c r="AK623" s="778">
        <f t="shared" si="29"/>
        <v>0</v>
      </c>
      <c r="AL623" s="901" t="s">
        <v>1441</v>
      </c>
      <c r="AM623" s="781">
        <f t="shared" si="30"/>
        <v>1</v>
      </c>
    </row>
    <row r="624" spans="1:39" s="560" customFormat="1" hidden="1">
      <c r="A624" s="607" t="s">
        <v>1063</v>
      </c>
      <c r="B624" s="607" t="s">
        <v>1394</v>
      </c>
      <c r="C624" s="690"/>
      <c r="D624" s="580"/>
      <c r="E624" s="981"/>
      <c r="F624" s="581"/>
      <c r="G624" s="581"/>
      <c r="H624" s="581"/>
      <c r="I624" s="949"/>
      <c r="J624" s="949"/>
      <c r="K624" s="949"/>
      <c r="L624" s="989"/>
      <c r="M624" s="575"/>
      <c r="N624" s="575"/>
      <c r="O624" s="575"/>
      <c r="P624" s="575"/>
      <c r="Q624" s="575"/>
      <c r="R624" s="575"/>
      <c r="S624" s="989"/>
      <c r="T624" s="575"/>
      <c r="U624" s="575"/>
      <c r="V624" s="575"/>
      <c r="W624" s="575"/>
      <c r="X624" s="575"/>
      <c r="Y624" s="575"/>
      <c r="Z624" s="989"/>
      <c r="AA624" s="575"/>
      <c r="AB624" s="575"/>
      <c r="AC624" s="575"/>
      <c r="AD624" s="575"/>
      <c r="AE624" s="827"/>
      <c r="AF624" s="575"/>
      <c r="AG624" s="960"/>
      <c r="AH624" s="953"/>
      <c r="AI624" s="839">
        <f t="shared" si="31"/>
        <v>0</v>
      </c>
      <c r="AJ624" s="949">
        <v>0</v>
      </c>
      <c r="AK624" s="581">
        <f t="shared" si="29"/>
        <v>0</v>
      </c>
      <c r="AL624" s="750"/>
      <c r="AM624" s="743">
        <f t="shared" si="30"/>
        <v>0</v>
      </c>
    </row>
    <row r="625" spans="1:39" s="560" customFormat="1" hidden="1">
      <c r="A625" s="604" t="s">
        <v>1064</v>
      </c>
      <c r="B625" s="604" t="s">
        <v>1395</v>
      </c>
      <c r="C625" s="614" t="s">
        <v>1438</v>
      </c>
      <c r="D625" s="580"/>
      <c r="E625" s="981"/>
      <c r="F625" s="581"/>
      <c r="G625" s="581"/>
      <c r="H625" s="581"/>
      <c r="I625" s="949"/>
      <c r="J625" s="949"/>
      <c r="K625" s="949"/>
      <c r="L625" s="989"/>
      <c r="M625" s="575"/>
      <c r="N625" s="575"/>
      <c r="O625" s="575"/>
      <c r="P625" s="575"/>
      <c r="Q625" s="575"/>
      <c r="R625" s="575"/>
      <c r="S625" s="989"/>
      <c r="T625" s="575"/>
      <c r="U625" s="575"/>
      <c r="V625" s="575"/>
      <c r="W625" s="575"/>
      <c r="X625" s="575"/>
      <c r="Y625" s="575"/>
      <c r="Z625" s="989"/>
      <c r="AA625" s="575"/>
      <c r="AB625" s="575"/>
      <c r="AC625" s="575"/>
      <c r="AD625" s="575"/>
      <c r="AE625" s="827"/>
      <c r="AF625" s="575"/>
      <c r="AG625" s="960"/>
      <c r="AH625" s="953"/>
      <c r="AI625" s="839">
        <f t="shared" si="31"/>
        <v>0</v>
      </c>
      <c r="AJ625" s="949">
        <v>0</v>
      </c>
      <c r="AK625" s="581">
        <f t="shared" si="29"/>
        <v>0</v>
      </c>
      <c r="AL625" s="750" t="s">
        <v>1441</v>
      </c>
      <c r="AM625" s="743">
        <f t="shared" si="30"/>
        <v>1</v>
      </c>
    </row>
    <row r="626" spans="1:39" s="560" customFormat="1" hidden="1">
      <c r="A626" s="604" t="s">
        <v>1065</v>
      </c>
      <c r="B626" s="604" t="s">
        <v>1396</v>
      </c>
      <c r="C626" s="614" t="s">
        <v>1438</v>
      </c>
      <c r="D626" s="580"/>
      <c r="E626" s="981"/>
      <c r="F626" s="581"/>
      <c r="G626" s="581"/>
      <c r="H626" s="581"/>
      <c r="I626" s="949"/>
      <c r="J626" s="949"/>
      <c r="K626" s="949"/>
      <c r="L626" s="989"/>
      <c r="M626" s="575"/>
      <c r="N626" s="575"/>
      <c r="O626" s="575"/>
      <c r="P626" s="575"/>
      <c r="Q626" s="575"/>
      <c r="R626" s="575"/>
      <c r="S626" s="989"/>
      <c r="T626" s="575"/>
      <c r="U626" s="575"/>
      <c r="V626" s="575"/>
      <c r="W626" s="575"/>
      <c r="X626" s="575"/>
      <c r="Y626" s="575"/>
      <c r="Z626" s="989"/>
      <c r="AA626" s="575"/>
      <c r="AB626" s="575"/>
      <c r="AC626" s="575"/>
      <c r="AD626" s="575"/>
      <c r="AE626" s="827"/>
      <c r="AF626" s="575"/>
      <c r="AG626" s="960"/>
      <c r="AH626" s="953"/>
      <c r="AI626" s="839">
        <f t="shared" si="31"/>
        <v>0</v>
      </c>
      <c r="AJ626" s="949">
        <v>0</v>
      </c>
      <c r="AK626" s="581">
        <f t="shared" si="29"/>
        <v>0</v>
      </c>
      <c r="AL626" s="750" t="s">
        <v>1441</v>
      </c>
      <c r="AM626" s="743">
        <f t="shared" si="30"/>
        <v>1</v>
      </c>
    </row>
    <row r="627" spans="1:39" s="560" customFormat="1" hidden="1">
      <c r="A627" s="604" t="s">
        <v>1066</v>
      </c>
      <c r="B627" s="604" t="s">
        <v>1397</v>
      </c>
      <c r="C627" s="614" t="s">
        <v>1438</v>
      </c>
      <c r="D627" s="580"/>
      <c r="E627" s="981"/>
      <c r="F627" s="581"/>
      <c r="G627" s="581"/>
      <c r="H627" s="581"/>
      <c r="I627" s="949"/>
      <c r="J627" s="949"/>
      <c r="K627" s="949"/>
      <c r="L627" s="989"/>
      <c r="M627" s="575"/>
      <c r="N627" s="575"/>
      <c r="O627" s="575"/>
      <c r="P627" s="575"/>
      <c r="Q627" s="575"/>
      <c r="R627" s="575"/>
      <c r="S627" s="989"/>
      <c r="T627" s="575"/>
      <c r="U627" s="575"/>
      <c r="V627" s="575"/>
      <c r="W627" s="575"/>
      <c r="X627" s="575"/>
      <c r="Y627" s="575"/>
      <c r="Z627" s="989"/>
      <c r="AA627" s="575"/>
      <c r="AB627" s="575"/>
      <c r="AC627" s="575"/>
      <c r="AD627" s="575"/>
      <c r="AE627" s="827"/>
      <c r="AF627" s="575"/>
      <c r="AG627" s="960"/>
      <c r="AH627" s="953"/>
      <c r="AI627" s="839">
        <f t="shared" si="31"/>
        <v>0</v>
      </c>
      <c r="AJ627" s="949">
        <v>0</v>
      </c>
      <c r="AK627" s="581">
        <f t="shared" si="29"/>
        <v>0</v>
      </c>
      <c r="AL627" s="750" t="s">
        <v>1712</v>
      </c>
      <c r="AM627" s="743">
        <f t="shared" si="30"/>
        <v>11</v>
      </c>
    </row>
    <row r="628" spans="1:39" s="560" customFormat="1" hidden="1">
      <c r="A628" s="604" t="s">
        <v>1067</v>
      </c>
      <c r="B628" s="604" t="s">
        <v>1398</v>
      </c>
      <c r="C628" s="614" t="s">
        <v>1438</v>
      </c>
      <c r="D628" s="580"/>
      <c r="E628" s="981"/>
      <c r="F628" s="581"/>
      <c r="G628" s="581"/>
      <c r="H628" s="581"/>
      <c r="I628" s="949"/>
      <c r="J628" s="949"/>
      <c r="K628" s="949"/>
      <c r="L628" s="989"/>
      <c r="M628" s="575"/>
      <c r="N628" s="575"/>
      <c r="O628" s="575"/>
      <c r="P628" s="575"/>
      <c r="Q628" s="575"/>
      <c r="R628" s="575"/>
      <c r="S628" s="989"/>
      <c r="T628" s="575"/>
      <c r="U628" s="575"/>
      <c r="V628" s="575"/>
      <c r="W628" s="575"/>
      <c r="X628" s="575"/>
      <c r="Y628" s="575"/>
      <c r="Z628" s="989"/>
      <c r="AA628" s="575"/>
      <c r="AB628" s="575"/>
      <c r="AC628" s="575"/>
      <c r="AD628" s="575"/>
      <c r="AE628" s="827"/>
      <c r="AF628" s="575"/>
      <c r="AG628" s="960"/>
      <c r="AH628" s="953"/>
      <c r="AI628" s="839">
        <f t="shared" si="31"/>
        <v>0</v>
      </c>
      <c r="AJ628" s="949">
        <v>0</v>
      </c>
      <c r="AK628" s="581">
        <f t="shared" si="29"/>
        <v>0</v>
      </c>
      <c r="AL628" s="750" t="s">
        <v>1684</v>
      </c>
      <c r="AM628" s="743">
        <f t="shared" si="30"/>
        <v>2</v>
      </c>
    </row>
    <row r="629" spans="1:39" s="560" customFormat="1" hidden="1">
      <c r="A629" s="604" t="s">
        <v>1068</v>
      </c>
      <c r="B629" s="604" t="s">
        <v>1399</v>
      </c>
      <c r="C629" s="614" t="s">
        <v>1438</v>
      </c>
      <c r="D629" s="580"/>
      <c r="E629" s="981"/>
      <c r="F629" s="581"/>
      <c r="G629" s="581"/>
      <c r="H629" s="581"/>
      <c r="I629" s="949"/>
      <c r="J629" s="949"/>
      <c r="K629" s="949"/>
      <c r="L629" s="989"/>
      <c r="M629" s="575"/>
      <c r="N629" s="575"/>
      <c r="O629" s="575"/>
      <c r="P629" s="575"/>
      <c r="Q629" s="575"/>
      <c r="R629" s="575"/>
      <c r="S629" s="989"/>
      <c r="T629" s="575"/>
      <c r="U629" s="575"/>
      <c r="V629" s="575"/>
      <c r="W629" s="575"/>
      <c r="X629" s="575"/>
      <c r="Y629" s="575"/>
      <c r="Z629" s="989"/>
      <c r="AA629" s="575"/>
      <c r="AB629" s="575"/>
      <c r="AC629" s="575"/>
      <c r="AD629" s="575"/>
      <c r="AE629" s="827"/>
      <c r="AF629" s="575"/>
      <c r="AG629" s="960"/>
      <c r="AH629" s="953"/>
      <c r="AI629" s="839">
        <f t="shared" si="31"/>
        <v>0</v>
      </c>
      <c r="AJ629" s="949">
        <v>0</v>
      </c>
      <c r="AK629" s="581">
        <f t="shared" si="29"/>
        <v>0</v>
      </c>
      <c r="AL629" s="750" t="s">
        <v>1684</v>
      </c>
      <c r="AM629" s="743">
        <f t="shared" si="30"/>
        <v>2</v>
      </c>
    </row>
    <row r="630" spans="1:39" s="782" customFormat="1" hidden="1">
      <c r="A630" s="885" t="s">
        <v>1069</v>
      </c>
      <c r="B630" s="885" t="s">
        <v>1400</v>
      </c>
      <c r="C630" s="898"/>
      <c r="D630" s="795"/>
      <c r="E630" s="981"/>
      <c r="F630" s="778"/>
      <c r="G630" s="778"/>
      <c r="H630" s="778"/>
      <c r="I630" s="777"/>
      <c r="J630" s="777"/>
      <c r="K630" s="777"/>
      <c r="L630" s="989"/>
      <c r="M630" s="809"/>
      <c r="N630" s="809"/>
      <c r="O630" s="809"/>
      <c r="P630" s="809"/>
      <c r="Q630" s="809"/>
      <c r="R630" s="809"/>
      <c r="S630" s="989"/>
      <c r="T630" s="809"/>
      <c r="U630" s="809"/>
      <c r="V630" s="809"/>
      <c r="W630" s="809"/>
      <c r="X630" s="809"/>
      <c r="Y630" s="809"/>
      <c r="Z630" s="989"/>
      <c r="AA630" s="809"/>
      <c r="AB630" s="809"/>
      <c r="AC630" s="809"/>
      <c r="AD630" s="809"/>
      <c r="AE630" s="827"/>
      <c r="AF630" s="809"/>
      <c r="AG630" s="960"/>
      <c r="AH630" s="952"/>
      <c r="AI630" s="839">
        <f t="shared" si="31"/>
        <v>0</v>
      </c>
      <c r="AJ630" s="777">
        <v>0</v>
      </c>
      <c r="AK630" s="778">
        <f t="shared" si="29"/>
        <v>0</v>
      </c>
      <c r="AL630" s="901"/>
      <c r="AM630" s="781">
        <f t="shared" si="30"/>
        <v>0</v>
      </c>
    </row>
    <row r="631" spans="1:39" s="782" customFormat="1" hidden="1">
      <c r="A631" s="772" t="s">
        <v>1070</v>
      </c>
      <c r="B631" s="772" t="s">
        <v>1401</v>
      </c>
      <c r="C631" s="877" t="s">
        <v>35</v>
      </c>
      <c r="D631" s="795"/>
      <c r="E631" s="981"/>
      <c r="F631" s="778"/>
      <c r="G631" s="778"/>
      <c r="H631" s="778"/>
      <c r="I631" s="777"/>
      <c r="J631" s="777"/>
      <c r="K631" s="777"/>
      <c r="L631" s="989"/>
      <c r="M631" s="809"/>
      <c r="N631" s="809"/>
      <c r="O631" s="809"/>
      <c r="P631" s="809"/>
      <c r="Q631" s="809"/>
      <c r="R631" s="809"/>
      <c r="S631" s="989"/>
      <c r="T631" s="809"/>
      <c r="U631" s="809"/>
      <c r="V631" s="809"/>
      <c r="W631" s="809"/>
      <c r="X631" s="809"/>
      <c r="Y631" s="809"/>
      <c r="Z631" s="989"/>
      <c r="AA631" s="809"/>
      <c r="AB631" s="809"/>
      <c r="AC631" s="809"/>
      <c r="AD631" s="809"/>
      <c r="AE631" s="827"/>
      <c r="AF631" s="809"/>
      <c r="AG631" s="960"/>
      <c r="AH631" s="952"/>
      <c r="AI631" s="839">
        <f t="shared" si="31"/>
        <v>0</v>
      </c>
      <c r="AJ631" s="777">
        <v>0</v>
      </c>
      <c r="AK631" s="778">
        <f t="shared" si="29"/>
        <v>0</v>
      </c>
      <c r="AL631" s="901" t="s">
        <v>1441</v>
      </c>
      <c r="AM631" s="781">
        <f t="shared" si="30"/>
        <v>1</v>
      </c>
    </row>
    <row r="632" spans="1:39" s="560" customFormat="1" hidden="1">
      <c r="A632" s="607" t="s">
        <v>1071</v>
      </c>
      <c r="B632" s="607" t="s">
        <v>1402</v>
      </c>
      <c r="C632" s="690"/>
      <c r="D632" s="580"/>
      <c r="E632" s="981"/>
      <c r="F632" s="581"/>
      <c r="G632" s="581"/>
      <c r="H632" s="581"/>
      <c r="I632" s="949"/>
      <c r="J632" s="949"/>
      <c r="K632" s="949"/>
      <c r="L632" s="989"/>
      <c r="M632" s="575"/>
      <c r="N632" s="575"/>
      <c r="O632" s="575"/>
      <c r="P632" s="575"/>
      <c r="Q632" s="575"/>
      <c r="R632" s="575"/>
      <c r="S632" s="989"/>
      <c r="T632" s="575"/>
      <c r="U632" s="575"/>
      <c r="V632" s="575"/>
      <c r="W632" s="575"/>
      <c r="X632" s="575"/>
      <c r="Y632" s="575"/>
      <c r="Z632" s="989"/>
      <c r="AA632" s="575"/>
      <c r="AB632" s="575"/>
      <c r="AC632" s="575"/>
      <c r="AD632" s="575"/>
      <c r="AE632" s="827"/>
      <c r="AF632" s="575"/>
      <c r="AG632" s="960"/>
      <c r="AH632" s="953"/>
      <c r="AI632" s="839">
        <f t="shared" si="31"/>
        <v>0</v>
      </c>
      <c r="AJ632" s="949">
        <v>0</v>
      </c>
      <c r="AK632" s="581">
        <f t="shared" si="29"/>
        <v>0</v>
      </c>
      <c r="AL632" s="750"/>
      <c r="AM632" s="743">
        <f t="shared" si="30"/>
        <v>0</v>
      </c>
    </row>
    <row r="633" spans="1:39" s="560" customFormat="1" hidden="1">
      <c r="A633" s="604" t="s">
        <v>1072</v>
      </c>
      <c r="B633" s="604" t="s">
        <v>1403</v>
      </c>
      <c r="C633" s="614" t="s">
        <v>35</v>
      </c>
      <c r="D633" s="580"/>
      <c r="E633" s="981"/>
      <c r="F633" s="581"/>
      <c r="G633" s="581"/>
      <c r="H633" s="581"/>
      <c r="I633" s="949"/>
      <c r="J633" s="949"/>
      <c r="K633" s="949"/>
      <c r="L633" s="989"/>
      <c r="M633" s="575"/>
      <c r="N633" s="575"/>
      <c r="O633" s="575"/>
      <c r="P633" s="575"/>
      <c r="Q633" s="575"/>
      <c r="R633" s="575"/>
      <c r="S633" s="989"/>
      <c r="T633" s="575"/>
      <c r="U633" s="575"/>
      <c r="V633" s="575"/>
      <c r="W633" s="575"/>
      <c r="X633" s="575"/>
      <c r="Y633" s="575"/>
      <c r="Z633" s="989"/>
      <c r="AA633" s="575"/>
      <c r="AB633" s="575"/>
      <c r="AC633" s="575"/>
      <c r="AD633" s="575"/>
      <c r="AE633" s="827"/>
      <c r="AF633" s="575"/>
      <c r="AG633" s="960"/>
      <c r="AH633" s="953"/>
      <c r="AI633" s="839">
        <f t="shared" si="31"/>
        <v>0</v>
      </c>
      <c r="AJ633" s="949">
        <v>0</v>
      </c>
      <c r="AK633" s="581">
        <f t="shared" si="29"/>
        <v>0</v>
      </c>
      <c r="AL633" s="750" t="s">
        <v>1441</v>
      </c>
      <c r="AM633" s="743">
        <f t="shared" si="30"/>
        <v>1</v>
      </c>
    </row>
    <row r="634" spans="1:39" s="560" customFormat="1" hidden="1">
      <c r="A634" s="492" t="s">
        <v>499</v>
      </c>
      <c r="B634" s="608" t="s">
        <v>1404</v>
      </c>
      <c r="C634" s="690"/>
      <c r="D634" s="580"/>
      <c r="E634" s="981"/>
      <c r="F634" s="581"/>
      <c r="G634" s="581"/>
      <c r="H634" s="581"/>
      <c r="I634" s="949"/>
      <c r="J634" s="949"/>
      <c r="K634" s="949"/>
      <c r="L634" s="989"/>
      <c r="M634" s="575"/>
      <c r="N634" s="575"/>
      <c r="O634" s="575"/>
      <c r="P634" s="575"/>
      <c r="Q634" s="575"/>
      <c r="R634" s="575"/>
      <c r="S634" s="989"/>
      <c r="T634" s="575"/>
      <c r="U634" s="575"/>
      <c r="V634" s="575"/>
      <c r="W634" s="575"/>
      <c r="X634" s="575"/>
      <c r="Y634" s="575"/>
      <c r="Z634" s="989"/>
      <c r="AA634" s="575"/>
      <c r="AB634" s="575"/>
      <c r="AC634" s="575"/>
      <c r="AD634" s="575"/>
      <c r="AE634" s="827"/>
      <c r="AF634" s="575"/>
      <c r="AG634" s="960"/>
      <c r="AH634" s="953"/>
      <c r="AI634" s="839">
        <f t="shared" si="31"/>
        <v>0</v>
      </c>
      <c r="AJ634" s="949">
        <v>0</v>
      </c>
      <c r="AK634" s="581">
        <f t="shared" si="29"/>
        <v>0</v>
      </c>
      <c r="AL634" s="750"/>
      <c r="AM634" s="743">
        <f t="shared" si="30"/>
        <v>0</v>
      </c>
    </row>
    <row r="635" spans="1:39" s="560" customFormat="1" hidden="1">
      <c r="A635" s="607" t="s">
        <v>1073</v>
      </c>
      <c r="B635" s="607" t="s">
        <v>1405</v>
      </c>
      <c r="C635" s="690"/>
      <c r="D635" s="580"/>
      <c r="E635" s="981"/>
      <c r="F635" s="581"/>
      <c r="G635" s="581"/>
      <c r="H635" s="581"/>
      <c r="I635" s="949"/>
      <c r="J635" s="949"/>
      <c r="K635" s="949"/>
      <c r="L635" s="989"/>
      <c r="M635" s="575"/>
      <c r="N635" s="575"/>
      <c r="O635" s="575"/>
      <c r="P635" s="575"/>
      <c r="Q635" s="575"/>
      <c r="R635" s="575"/>
      <c r="S635" s="989"/>
      <c r="T635" s="575"/>
      <c r="U635" s="575"/>
      <c r="V635" s="575"/>
      <c r="W635" s="575"/>
      <c r="X635" s="575"/>
      <c r="Y635" s="575"/>
      <c r="Z635" s="989"/>
      <c r="AA635" s="575"/>
      <c r="AB635" s="575"/>
      <c r="AC635" s="575"/>
      <c r="AD635" s="575"/>
      <c r="AE635" s="827"/>
      <c r="AF635" s="575"/>
      <c r="AG635" s="960"/>
      <c r="AH635" s="953"/>
      <c r="AI635" s="839">
        <f t="shared" si="31"/>
        <v>0</v>
      </c>
      <c r="AJ635" s="949">
        <v>0</v>
      </c>
      <c r="AK635" s="581">
        <f t="shared" si="29"/>
        <v>0</v>
      </c>
      <c r="AL635" s="750"/>
      <c r="AM635" s="743">
        <f t="shared" si="30"/>
        <v>0</v>
      </c>
    </row>
    <row r="636" spans="1:39" s="560" customFormat="1" hidden="1">
      <c r="A636" s="604" t="s">
        <v>1074</v>
      </c>
      <c r="B636" s="604" t="s">
        <v>1406</v>
      </c>
      <c r="C636" s="614" t="s">
        <v>37</v>
      </c>
      <c r="D636" s="580"/>
      <c r="E636" s="981"/>
      <c r="F636" s="581"/>
      <c r="G636" s="581"/>
      <c r="H636" s="581"/>
      <c r="I636" s="949"/>
      <c r="J636" s="949"/>
      <c r="K636" s="949"/>
      <c r="L636" s="989"/>
      <c r="M636" s="575"/>
      <c r="N636" s="575"/>
      <c r="O636" s="575"/>
      <c r="P636" s="575"/>
      <c r="Q636" s="575"/>
      <c r="R636" s="575"/>
      <c r="S636" s="989"/>
      <c r="T636" s="575"/>
      <c r="U636" s="575"/>
      <c r="V636" s="575"/>
      <c r="W636" s="575"/>
      <c r="X636" s="575"/>
      <c r="Y636" s="575"/>
      <c r="Z636" s="989"/>
      <c r="AA636" s="575"/>
      <c r="AB636" s="575"/>
      <c r="AC636" s="575"/>
      <c r="AD636" s="575"/>
      <c r="AE636" s="827"/>
      <c r="AF636" s="575"/>
      <c r="AG636" s="960"/>
      <c r="AH636" s="953"/>
      <c r="AI636" s="839">
        <f t="shared" si="31"/>
        <v>0</v>
      </c>
      <c r="AJ636" s="949">
        <v>0</v>
      </c>
      <c r="AK636" s="581">
        <f t="shared" si="29"/>
        <v>0</v>
      </c>
      <c r="AL636" s="750" t="s">
        <v>1754</v>
      </c>
      <c r="AM636" s="743">
        <f t="shared" si="30"/>
        <v>29</v>
      </c>
    </row>
    <row r="637" spans="1:39" s="560" customFormat="1" hidden="1">
      <c r="A637" s="607" t="s">
        <v>1075</v>
      </c>
      <c r="B637" s="607" t="s">
        <v>1407</v>
      </c>
      <c r="C637" s="690"/>
      <c r="D637" s="580"/>
      <c r="E637" s="981"/>
      <c r="F637" s="581"/>
      <c r="G637" s="581"/>
      <c r="H637" s="581"/>
      <c r="I637" s="949"/>
      <c r="J637" s="949"/>
      <c r="K637" s="949"/>
      <c r="L637" s="989"/>
      <c r="M637" s="575"/>
      <c r="N637" s="575"/>
      <c r="O637" s="575"/>
      <c r="P637" s="575"/>
      <c r="Q637" s="575"/>
      <c r="R637" s="575"/>
      <c r="S637" s="989"/>
      <c r="T637" s="575"/>
      <c r="U637" s="575"/>
      <c r="V637" s="575"/>
      <c r="W637" s="575"/>
      <c r="X637" s="575"/>
      <c r="Y637" s="575"/>
      <c r="Z637" s="989"/>
      <c r="AA637" s="575"/>
      <c r="AB637" s="575"/>
      <c r="AC637" s="575"/>
      <c r="AD637" s="575"/>
      <c r="AE637" s="827"/>
      <c r="AF637" s="575"/>
      <c r="AG637" s="960"/>
      <c r="AH637" s="953"/>
      <c r="AI637" s="839">
        <f t="shared" si="31"/>
        <v>0</v>
      </c>
      <c r="AJ637" s="949">
        <v>0</v>
      </c>
      <c r="AK637" s="581">
        <f t="shared" si="29"/>
        <v>0</v>
      </c>
      <c r="AL637" s="750"/>
      <c r="AM637" s="743">
        <f t="shared" si="30"/>
        <v>0</v>
      </c>
    </row>
    <row r="638" spans="1:39" s="560" customFormat="1" hidden="1">
      <c r="A638" s="604" t="s">
        <v>1076</v>
      </c>
      <c r="B638" s="604" t="s">
        <v>1408</v>
      </c>
      <c r="C638" s="614" t="s">
        <v>37</v>
      </c>
      <c r="D638" s="580"/>
      <c r="E638" s="981"/>
      <c r="F638" s="581"/>
      <c r="G638" s="581"/>
      <c r="H638" s="581"/>
      <c r="I638" s="949"/>
      <c r="J638" s="949"/>
      <c r="K638" s="949"/>
      <c r="L638" s="989"/>
      <c r="M638" s="575"/>
      <c r="N638" s="575"/>
      <c r="O638" s="575"/>
      <c r="P638" s="575"/>
      <c r="Q638" s="575"/>
      <c r="R638" s="575"/>
      <c r="S638" s="989"/>
      <c r="T638" s="575"/>
      <c r="U638" s="575"/>
      <c r="V638" s="575"/>
      <c r="W638" s="575"/>
      <c r="X638" s="575"/>
      <c r="Y638" s="575"/>
      <c r="Z638" s="989"/>
      <c r="AA638" s="575"/>
      <c r="AB638" s="575"/>
      <c r="AC638" s="575"/>
      <c r="AD638" s="575"/>
      <c r="AE638" s="827"/>
      <c r="AF638" s="575"/>
      <c r="AG638" s="960"/>
      <c r="AH638" s="953"/>
      <c r="AI638" s="839">
        <f t="shared" si="31"/>
        <v>0</v>
      </c>
      <c r="AJ638" s="949">
        <v>0</v>
      </c>
      <c r="AK638" s="581">
        <f t="shared" si="29"/>
        <v>0</v>
      </c>
      <c r="AL638" s="750" t="s">
        <v>1722</v>
      </c>
      <c r="AM638" s="743">
        <f t="shared" si="30"/>
        <v>64</v>
      </c>
    </row>
    <row r="639" spans="1:39" s="560" customFormat="1" hidden="1">
      <c r="A639" s="607" t="s">
        <v>1077</v>
      </c>
      <c r="B639" s="607" t="s">
        <v>1409</v>
      </c>
      <c r="C639" s="690"/>
      <c r="D639" s="580"/>
      <c r="E639" s="981"/>
      <c r="F639" s="581"/>
      <c r="G639" s="581"/>
      <c r="H639" s="581"/>
      <c r="I639" s="949"/>
      <c r="J639" s="949"/>
      <c r="K639" s="949"/>
      <c r="L639" s="989"/>
      <c r="M639" s="575"/>
      <c r="N639" s="575"/>
      <c r="O639" s="575"/>
      <c r="P639" s="575"/>
      <c r="Q639" s="575"/>
      <c r="R639" s="575"/>
      <c r="S639" s="989"/>
      <c r="T639" s="575"/>
      <c r="U639" s="575"/>
      <c r="V639" s="575"/>
      <c r="W639" s="575"/>
      <c r="X639" s="575"/>
      <c r="Y639" s="575"/>
      <c r="Z639" s="989"/>
      <c r="AA639" s="575"/>
      <c r="AB639" s="575"/>
      <c r="AC639" s="575"/>
      <c r="AD639" s="575"/>
      <c r="AE639" s="827"/>
      <c r="AF639" s="575"/>
      <c r="AG639" s="960"/>
      <c r="AH639" s="953"/>
      <c r="AI639" s="839">
        <f t="shared" si="31"/>
        <v>0</v>
      </c>
      <c r="AJ639" s="949">
        <v>0</v>
      </c>
      <c r="AK639" s="581">
        <f t="shared" si="29"/>
        <v>0</v>
      </c>
      <c r="AL639" s="750"/>
      <c r="AM639" s="743">
        <f t="shared" si="30"/>
        <v>0</v>
      </c>
    </row>
    <row r="640" spans="1:39" s="560" customFormat="1" hidden="1">
      <c r="A640" s="604" t="s">
        <v>1078</v>
      </c>
      <c r="B640" s="604" t="s">
        <v>1410</v>
      </c>
      <c r="C640" s="614" t="s">
        <v>37</v>
      </c>
      <c r="D640" s="580"/>
      <c r="E640" s="981"/>
      <c r="F640" s="581"/>
      <c r="G640" s="581"/>
      <c r="H640" s="581"/>
      <c r="I640" s="949"/>
      <c r="J640" s="949"/>
      <c r="K640" s="949"/>
      <c r="L640" s="989"/>
      <c r="M640" s="575"/>
      <c r="N640" s="575"/>
      <c r="O640" s="575"/>
      <c r="P640" s="575"/>
      <c r="Q640" s="575"/>
      <c r="R640" s="575"/>
      <c r="S640" s="989"/>
      <c r="T640" s="575"/>
      <c r="U640" s="575"/>
      <c r="V640" s="575"/>
      <c r="W640" s="575"/>
      <c r="X640" s="575"/>
      <c r="Y640" s="575"/>
      <c r="Z640" s="989"/>
      <c r="AA640" s="575"/>
      <c r="AB640" s="575"/>
      <c r="AC640" s="575"/>
      <c r="AD640" s="575"/>
      <c r="AE640" s="827"/>
      <c r="AF640" s="575"/>
      <c r="AG640" s="960"/>
      <c r="AH640" s="953"/>
      <c r="AI640" s="839">
        <f t="shared" si="31"/>
        <v>0</v>
      </c>
      <c r="AJ640" s="949">
        <v>0</v>
      </c>
      <c r="AK640" s="581">
        <f t="shared" si="29"/>
        <v>0</v>
      </c>
      <c r="AL640" s="750" t="s">
        <v>1722</v>
      </c>
      <c r="AM640" s="743">
        <f t="shared" si="30"/>
        <v>64</v>
      </c>
    </row>
    <row r="641" spans="1:39" s="560" customFormat="1" hidden="1">
      <c r="A641" s="607" t="s">
        <v>1079</v>
      </c>
      <c r="B641" s="607" t="s">
        <v>1411</v>
      </c>
      <c r="C641" s="690"/>
      <c r="D641" s="580"/>
      <c r="E641" s="981"/>
      <c r="F641" s="581"/>
      <c r="G641" s="581"/>
      <c r="H641" s="581"/>
      <c r="I641" s="949"/>
      <c r="J641" s="949"/>
      <c r="K641" s="949"/>
      <c r="L641" s="989"/>
      <c r="M641" s="575"/>
      <c r="N641" s="575"/>
      <c r="O641" s="575"/>
      <c r="P641" s="575"/>
      <c r="Q641" s="575"/>
      <c r="R641" s="575"/>
      <c r="S641" s="989"/>
      <c r="T641" s="575"/>
      <c r="U641" s="575"/>
      <c r="V641" s="575"/>
      <c r="W641" s="575"/>
      <c r="X641" s="575"/>
      <c r="Y641" s="575"/>
      <c r="Z641" s="989"/>
      <c r="AA641" s="575"/>
      <c r="AB641" s="575"/>
      <c r="AC641" s="575"/>
      <c r="AD641" s="575"/>
      <c r="AE641" s="827"/>
      <c r="AF641" s="575"/>
      <c r="AG641" s="960"/>
      <c r="AH641" s="953"/>
      <c r="AI641" s="839">
        <f t="shared" si="31"/>
        <v>0</v>
      </c>
      <c r="AJ641" s="949">
        <v>0</v>
      </c>
      <c r="AK641" s="581">
        <f t="shared" si="29"/>
        <v>0</v>
      </c>
      <c r="AL641" s="750"/>
      <c r="AM641" s="743">
        <f t="shared" si="30"/>
        <v>0</v>
      </c>
    </row>
    <row r="642" spans="1:39" s="560" customFormat="1" hidden="1">
      <c r="A642" s="604" t="s">
        <v>1080</v>
      </c>
      <c r="B642" s="604" t="s">
        <v>1412</v>
      </c>
      <c r="C642" s="614" t="s">
        <v>1438</v>
      </c>
      <c r="D642" s="580"/>
      <c r="E642" s="981"/>
      <c r="F642" s="581"/>
      <c r="G642" s="581"/>
      <c r="H642" s="581"/>
      <c r="I642" s="949"/>
      <c r="J642" s="949"/>
      <c r="K642" s="949"/>
      <c r="L642" s="989"/>
      <c r="M642" s="575"/>
      <c r="N642" s="575"/>
      <c r="O642" s="575"/>
      <c r="P642" s="575"/>
      <c r="Q642" s="575"/>
      <c r="R642" s="575"/>
      <c r="S642" s="989"/>
      <c r="T642" s="575"/>
      <c r="U642" s="575"/>
      <c r="V642" s="575"/>
      <c r="W642" s="575"/>
      <c r="X642" s="575"/>
      <c r="Y642" s="575"/>
      <c r="Z642" s="989"/>
      <c r="AA642" s="575"/>
      <c r="AB642" s="575"/>
      <c r="AC642" s="575"/>
      <c r="AD642" s="575"/>
      <c r="AE642" s="827"/>
      <c r="AF642" s="575"/>
      <c r="AG642" s="960"/>
      <c r="AH642" s="953"/>
      <c r="AI642" s="839">
        <f t="shared" si="31"/>
        <v>0</v>
      </c>
      <c r="AJ642" s="949">
        <v>0</v>
      </c>
      <c r="AK642" s="581">
        <f t="shared" si="29"/>
        <v>0</v>
      </c>
      <c r="AL642" s="750" t="s">
        <v>1603</v>
      </c>
      <c r="AM642" s="743">
        <f t="shared" si="30"/>
        <v>6</v>
      </c>
    </row>
    <row r="643" spans="1:39" s="560" customFormat="1" hidden="1">
      <c r="A643" s="607" t="s">
        <v>1081</v>
      </c>
      <c r="B643" s="607" t="s">
        <v>1378</v>
      </c>
      <c r="C643" s="690"/>
      <c r="D643" s="580"/>
      <c r="E643" s="981"/>
      <c r="F643" s="581"/>
      <c r="G643" s="581"/>
      <c r="H643" s="581"/>
      <c r="I643" s="949"/>
      <c r="J643" s="949"/>
      <c r="K643" s="949"/>
      <c r="L643" s="989"/>
      <c r="M643" s="575"/>
      <c r="N643" s="575"/>
      <c r="O643" s="575"/>
      <c r="P643" s="575"/>
      <c r="Q643" s="575"/>
      <c r="R643" s="575"/>
      <c r="S643" s="989"/>
      <c r="T643" s="575"/>
      <c r="U643" s="575"/>
      <c r="V643" s="575"/>
      <c r="W643" s="575"/>
      <c r="X643" s="575"/>
      <c r="Y643" s="575"/>
      <c r="Z643" s="989"/>
      <c r="AA643" s="575"/>
      <c r="AB643" s="575"/>
      <c r="AC643" s="575"/>
      <c r="AD643" s="575"/>
      <c r="AE643" s="827"/>
      <c r="AF643" s="575"/>
      <c r="AG643" s="960"/>
      <c r="AH643" s="953"/>
      <c r="AI643" s="839">
        <f t="shared" si="31"/>
        <v>0</v>
      </c>
      <c r="AJ643" s="949">
        <v>0</v>
      </c>
      <c r="AK643" s="581">
        <f t="shared" si="29"/>
        <v>0</v>
      </c>
      <c r="AL643" s="750"/>
      <c r="AM643" s="743">
        <f t="shared" si="30"/>
        <v>0</v>
      </c>
    </row>
    <row r="644" spans="1:39" s="560" customFormat="1" hidden="1">
      <c r="A644" s="604" t="s">
        <v>1082</v>
      </c>
      <c r="B644" s="604" t="s">
        <v>1413</v>
      </c>
      <c r="C644" s="614" t="s">
        <v>35</v>
      </c>
      <c r="D644" s="580"/>
      <c r="E644" s="981"/>
      <c r="F644" s="581"/>
      <c r="G644" s="581"/>
      <c r="H644" s="581"/>
      <c r="I644" s="949"/>
      <c r="J644" s="949"/>
      <c r="K644" s="949"/>
      <c r="L644" s="989"/>
      <c r="M644" s="575"/>
      <c r="N644" s="575"/>
      <c r="O644" s="575"/>
      <c r="P644" s="575"/>
      <c r="Q644" s="575"/>
      <c r="R644" s="575"/>
      <c r="S644" s="989"/>
      <c r="T644" s="575"/>
      <c r="U644" s="575"/>
      <c r="V644" s="575"/>
      <c r="W644" s="575"/>
      <c r="X644" s="575"/>
      <c r="Y644" s="575"/>
      <c r="Z644" s="989"/>
      <c r="AA644" s="575"/>
      <c r="AB644" s="575"/>
      <c r="AC644" s="575"/>
      <c r="AD644" s="575"/>
      <c r="AE644" s="827"/>
      <c r="AF644" s="575"/>
      <c r="AG644" s="960"/>
      <c r="AH644" s="953"/>
      <c r="AI644" s="839">
        <f t="shared" si="31"/>
        <v>0</v>
      </c>
      <c r="AJ644" s="949">
        <v>0</v>
      </c>
      <c r="AK644" s="581">
        <f t="shared" si="29"/>
        <v>0</v>
      </c>
      <c r="AL644" s="750" t="s">
        <v>1603</v>
      </c>
      <c r="AM644" s="743">
        <f t="shared" si="30"/>
        <v>6</v>
      </c>
    </row>
    <row r="645" spans="1:39" s="560" customFormat="1" hidden="1">
      <c r="A645" s="492" t="s">
        <v>1083</v>
      </c>
      <c r="B645" s="608" t="s">
        <v>1414</v>
      </c>
      <c r="C645" s="690"/>
      <c r="D645" s="580"/>
      <c r="E645" s="981"/>
      <c r="F645" s="581"/>
      <c r="G645" s="581"/>
      <c r="H645" s="581"/>
      <c r="I645" s="949"/>
      <c r="J645" s="949"/>
      <c r="K645" s="949"/>
      <c r="L645" s="989"/>
      <c r="M645" s="575"/>
      <c r="N645" s="575"/>
      <c r="O645" s="575"/>
      <c r="P645" s="575"/>
      <c r="Q645" s="575"/>
      <c r="R645" s="575"/>
      <c r="S645" s="989"/>
      <c r="T645" s="575"/>
      <c r="U645" s="575"/>
      <c r="V645" s="575"/>
      <c r="W645" s="575"/>
      <c r="X645" s="575"/>
      <c r="Y645" s="575"/>
      <c r="Z645" s="989"/>
      <c r="AA645" s="575"/>
      <c r="AB645" s="575"/>
      <c r="AC645" s="575"/>
      <c r="AD645" s="575"/>
      <c r="AE645" s="827"/>
      <c r="AF645" s="575"/>
      <c r="AG645" s="960"/>
      <c r="AH645" s="953"/>
      <c r="AI645" s="839">
        <f t="shared" si="31"/>
        <v>0</v>
      </c>
      <c r="AJ645" s="949">
        <v>0</v>
      </c>
      <c r="AK645" s="581">
        <f t="shared" si="29"/>
        <v>0</v>
      </c>
      <c r="AL645" s="750"/>
      <c r="AM645" s="743">
        <f t="shared" si="30"/>
        <v>0</v>
      </c>
    </row>
    <row r="646" spans="1:39" s="560" customFormat="1" hidden="1">
      <c r="A646" s="607" t="s">
        <v>1084</v>
      </c>
      <c r="B646" s="607" t="s">
        <v>1405</v>
      </c>
      <c r="C646" s="690"/>
      <c r="D646" s="580"/>
      <c r="E646" s="981"/>
      <c r="F646" s="581"/>
      <c r="G646" s="581"/>
      <c r="H646" s="581"/>
      <c r="I646" s="949"/>
      <c r="J646" s="949"/>
      <c r="K646" s="949"/>
      <c r="L646" s="989"/>
      <c r="M646" s="575"/>
      <c r="N646" s="575"/>
      <c r="O646" s="575"/>
      <c r="P646" s="575"/>
      <c r="Q646" s="575"/>
      <c r="R646" s="575"/>
      <c r="S646" s="989"/>
      <c r="T646" s="575"/>
      <c r="U646" s="575"/>
      <c r="V646" s="575"/>
      <c r="W646" s="575"/>
      <c r="X646" s="575"/>
      <c r="Y646" s="575"/>
      <c r="Z646" s="989"/>
      <c r="AA646" s="575"/>
      <c r="AB646" s="575"/>
      <c r="AC646" s="575"/>
      <c r="AD646" s="575"/>
      <c r="AE646" s="827"/>
      <c r="AF646" s="575"/>
      <c r="AG646" s="960"/>
      <c r="AH646" s="953"/>
      <c r="AI646" s="839">
        <f t="shared" si="31"/>
        <v>0</v>
      </c>
      <c r="AJ646" s="949">
        <v>0</v>
      </c>
      <c r="AK646" s="581">
        <f t="shared" si="29"/>
        <v>0</v>
      </c>
      <c r="AL646" s="750"/>
      <c r="AM646" s="743">
        <f t="shared" si="30"/>
        <v>0</v>
      </c>
    </row>
    <row r="647" spans="1:39" s="560" customFormat="1" hidden="1">
      <c r="A647" s="604" t="s">
        <v>1085</v>
      </c>
      <c r="B647" s="604" t="s">
        <v>1406</v>
      </c>
      <c r="C647" s="614" t="s">
        <v>37</v>
      </c>
      <c r="D647" s="580"/>
      <c r="E647" s="981"/>
      <c r="F647" s="581"/>
      <c r="G647" s="581"/>
      <c r="H647" s="581"/>
      <c r="I647" s="949"/>
      <c r="J647" s="949"/>
      <c r="K647" s="949"/>
      <c r="L647" s="989"/>
      <c r="M647" s="575"/>
      <c r="N647" s="575"/>
      <c r="O647" s="575"/>
      <c r="P647" s="575"/>
      <c r="Q647" s="575"/>
      <c r="R647" s="575"/>
      <c r="S647" s="989"/>
      <c r="T647" s="575"/>
      <c r="U647" s="575"/>
      <c r="V647" s="575"/>
      <c r="W647" s="575"/>
      <c r="X647" s="575"/>
      <c r="Y647" s="575"/>
      <c r="Z647" s="989"/>
      <c r="AA647" s="575"/>
      <c r="AB647" s="575"/>
      <c r="AC647" s="575"/>
      <c r="AD647" s="575"/>
      <c r="AE647" s="827"/>
      <c r="AF647" s="575"/>
      <c r="AG647" s="960"/>
      <c r="AH647" s="953"/>
      <c r="AI647" s="839">
        <f t="shared" si="31"/>
        <v>0</v>
      </c>
      <c r="AJ647" s="949">
        <v>0</v>
      </c>
      <c r="AK647" s="581">
        <f t="shared" si="29"/>
        <v>0</v>
      </c>
      <c r="AL647" s="750" t="s">
        <v>1755</v>
      </c>
      <c r="AM647" s="743">
        <f t="shared" si="30"/>
        <v>56</v>
      </c>
    </row>
    <row r="648" spans="1:39" s="560" customFormat="1" hidden="1">
      <c r="A648" s="607" t="s">
        <v>1086</v>
      </c>
      <c r="B648" s="607" t="s">
        <v>1407</v>
      </c>
      <c r="C648" s="690"/>
      <c r="D648" s="580"/>
      <c r="E648" s="981"/>
      <c r="F648" s="581"/>
      <c r="G648" s="581"/>
      <c r="H648" s="581"/>
      <c r="I648" s="949"/>
      <c r="J648" s="949"/>
      <c r="K648" s="949"/>
      <c r="L648" s="989"/>
      <c r="M648" s="575"/>
      <c r="N648" s="575"/>
      <c r="O648" s="575"/>
      <c r="P648" s="575"/>
      <c r="Q648" s="575"/>
      <c r="R648" s="575"/>
      <c r="S648" s="989"/>
      <c r="T648" s="575"/>
      <c r="U648" s="575"/>
      <c r="V648" s="575"/>
      <c r="W648" s="575"/>
      <c r="X648" s="575"/>
      <c r="Y648" s="575"/>
      <c r="Z648" s="989"/>
      <c r="AA648" s="575"/>
      <c r="AB648" s="575"/>
      <c r="AC648" s="575"/>
      <c r="AD648" s="575"/>
      <c r="AE648" s="827"/>
      <c r="AF648" s="575"/>
      <c r="AG648" s="960"/>
      <c r="AH648" s="953"/>
      <c r="AI648" s="839">
        <f t="shared" si="31"/>
        <v>0</v>
      </c>
      <c r="AJ648" s="949">
        <v>0</v>
      </c>
      <c r="AK648" s="581">
        <f t="shared" si="29"/>
        <v>0</v>
      </c>
      <c r="AL648" s="750"/>
      <c r="AM648" s="743">
        <f t="shared" si="30"/>
        <v>0</v>
      </c>
    </row>
    <row r="649" spans="1:39" s="560" customFormat="1" hidden="1">
      <c r="A649" s="604" t="s">
        <v>1087</v>
      </c>
      <c r="B649" s="604" t="s">
        <v>1415</v>
      </c>
      <c r="C649" s="614" t="s">
        <v>37</v>
      </c>
      <c r="D649" s="580"/>
      <c r="E649" s="981"/>
      <c r="F649" s="581"/>
      <c r="G649" s="581"/>
      <c r="H649" s="581"/>
      <c r="I649" s="949"/>
      <c r="J649" s="949"/>
      <c r="K649" s="949"/>
      <c r="L649" s="989"/>
      <c r="M649" s="575"/>
      <c r="N649" s="575"/>
      <c r="O649" s="575"/>
      <c r="P649" s="575"/>
      <c r="Q649" s="575"/>
      <c r="R649" s="575"/>
      <c r="S649" s="989"/>
      <c r="T649" s="575"/>
      <c r="U649" s="575"/>
      <c r="V649" s="575"/>
      <c r="W649" s="575"/>
      <c r="X649" s="575"/>
      <c r="Y649" s="575"/>
      <c r="Z649" s="989"/>
      <c r="AA649" s="575"/>
      <c r="AB649" s="575"/>
      <c r="AC649" s="575"/>
      <c r="AD649" s="575"/>
      <c r="AE649" s="827"/>
      <c r="AF649" s="575"/>
      <c r="AG649" s="960"/>
      <c r="AH649" s="953"/>
      <c r="AI649" s="839">
        <f t="shared" si="31"/>
        <v>0</v>
      </c>
      <c r="AJ649" s="949">
        <v>0</v>
      </c>
      <c r="AK649" s="581">
        <f t="shared" si="29"/>
        <v>0</v>
      </c>
      <c r="AL649" s="750" t="s">
        <v>1756</v>
      </c>
      <c r="AM649" s="743">
        <f t="shared" si="30"/>
        <v>80</v>
      </c>
    </row>
    <row r="650" spans="1:39" s="560" customFormat="1" hidden="1">
      <c r="A650" s="607" t="s">
        <v>1088</v>
      </c>
      <c r="B650" s="607" t="s">
        <v>1409</v>
      </c>
      <c r="C650" s="690"/>
      <c r="D650" s="580"/>
      <c r="E650" s="981"/>
      <c r="F650" s="581"/>
      <c r="G650" s="581"/>
      <c r="H650" s="581"/>
      <c r="I650" s="949"/>
      <c r="J650" s="949"/>
      <c r="K650" s="949"/>
      <c r="L650" s="989"/>
      <c r="M650" s="575"/>
      <c r="N650" s="575"/>
      <c r="O650" s="575"/>
      <c r="P650" s="575"/>
      <c r="Q650" s="575"/>
      <c r="R650" s="575"/>
      <c r="S650" s="989"/>
      <c r="T650" s="575"/>
      <c r="U650" s="575"/>
      <c r="V650" s="575"/>
      <c r="W650" s="575"/>
      <c r="X650" s="575"/>
      <c r="Y650" s="575"/>
      <c r="Z650" s="989"/>
      <c r="AA650" s="575"/>
      <c r="AB650" s="575"/>
      <c r="AC650" s="575"/>
      <c r="AD650" s="575"/>
      <c r="AE650" s="827"/>
      <c r="AF650" s="575"/>
      <c r="AG650" s="960"/>
      <c r="AH650" s="953"/>
      <c r="AI650" s="839">
        <f t="shared" si="31"/>
        <v>0</v>
      </c>
      <c r="AJ650" s="949">
        <v>0</v>
      </c>
      <c r="AK650" s="581">
        <f t="shared" si="29"/>
        <v>0</v>
      </c>
      <c r="AL650" s="750"/>
      <c r="AM650" s="743">
        <f t="shared" si="30"/>
        <v>0</v>
      </c>
    </row>
    <row r="651" spans="1:39" s="560" customFormat="1" hidden="1">
      <c r="A651" s="604" t="s">
        <v>1089</v>
      </c>
      <c r="B651" s="604" t="s">
        <v>1416</v>
      </c>
      <c r="C651" s="614" t="s">
        <v>37</v>
      </c>
      <c r="D651" s="580"/>
      <c r="E651" s="981"/>
      <c r="F651" s="581"/>
      <c r="G651" s="581"/>
      <c r="H651" s="581"/>
      <c r="I651" s="949"/>
      <c r="J651" s="949"/>
      <c r="K651" s="949"/>
      <c r="L651" s="989"/>
      <c r="M651" s="575"/>
      <c r="N651" s="575"/>
      <c r="O651" s="575"/>
      <c r="P651" s="575"/>
      <c r="Q651" s="575"/>
      <c r="R651" s="575"/>
      <c r="S651" s="989"/>
      <c r="T651" s="575"/>
      <c r="U651" s="575"/>
      <c r="V651" s="575"/>
      <c r="W651" s="575"/>
      <c r="X651" s="575"/>
      <c r="Y651" s="575"/>
      <c r="Z651" s="989"/>
      <c r="AA651" s="575"/>
      <c r="AB651" s="575"/>
      <c r="AC651" s="575"/>
      <c r="AD651" s="575"/>
      <c r="AE651" s="827"/>
      <c r="AF651" s="575"/>
      <c r="AG651" s="960"/>
      <c r="AH651" s="953"/>
      <c r="AI651" s="839">
        <f t="shared" si="31"/>
        <v>0</v>
      </c>
      <c r="AJ651" s="949">
        <v>0</v>
      </c>
      <c r="AK651" s="581">
        <f t="shared" si="29"/>
        <v>0</v>
      </c>
      <c r="AL651" s="750" t="s">
        <v>1755</v>
      </c>
      <c r="AM651" s="743">
        <f t="shared" si="30"/>
        <v>56</v>
      </c>
    </row>
    <row r="652" spans="1:39" s="560" customFormat="1" hidden="1">
      <c r="A652" s="607" t="s">
        <v>1090</v>
      </c>
      <c r="B652" s="607" t="s">
        <v>1417</v>
      </c>
      <c r="C652" s="690"/>
      <c r="D652" s="580"/>
      <c r="E652" s="981"/>
      <c r="F652" s="581"/>
      <c r="G652" s="581"/>
      <c r="H652" s="581"/>
      <c r="I652" s="949"/>
      <c r="J652" s="949"/>
      <c r="K652" s="949"/>
      <c r="L652" s="989"/>
      <c r="M652" s="575"/>
      <c r="N652" s="575"/>
      <c r="O652" s="575"/>
      <c r="P652" s="575"/>
      <c r="Q652" s="575"/>
      <c r="R652" s="575"/>
      <c r="S652" s="989"/>
      <c r="T652" s="575"/>
      <c r="U652" s="575"/>
      <c r="V652" s="575"/>
      <c r="W652" s="575"/>
      <c r="X652" s="575"/>
      <c r="Y652" s="575"/>
      <c r="Z652" s="989"/>
      <c r="AA652" s="575"/>
      <c r="AB652" s="575"/>
      <c r="AC652" s="575"/>
      <c r="AD652" s="575"/>
      <c r="AE652" s="827"/>
      <c r="AF652" s="575"/>
      <c r="AG652" s="960"/>
      <c r="AH652" s="953"/>
      <c r="AI652" s="839">
        <f t="shared" si="31"/>
        <v>0</v>
      </c>
      <c r="AJ652" s="949">
        <v>0</v>
      </c>
      <c r="AK652" s="581">
        <f t="shared" si="29"/>
        <v>0</v>
      </c>
      <c r="AL652" s="750"/>
      <c r="AM652" s="743">
        <f t="shared" si="30"/>
        <v>0</v>
      </c>
    </row>
    <row r="653" spans="1:39" s="560" customFormat="1" hidden="1">
      <c r="A653" s="604" t="s">
        <v>1091</v>
      </c>
      <c r="B653" s="604" t="s">
        <v>1418</v>
      </c>
      <c r="C653" s="614" t="s">
        <v>35</v>
      </c>
      <c r="D653" s="580"/>
      <c r="E653" s="981"/>
      <c r="F653" s="581"/>
      <c r="G653" s="581"/>
      <c r="H653" s="581"/>
      <c r="I653" s="949"/>
      <c r="J653" s="949"/>
      <c r="K653" s="949"/>
      <c r="L653" s="989"/>
      <c r="M653" s="575"/>
      <c r="N653" s="575"/>
      <c r="O653" s="575"/>
      <c r="P653" s="575"/>
      <c r="Q653" s="575"/>
      <c r="R653" s="575"/>
      <c r="S653" s="989"/>
      <c r="T653" s="575"/>
      <c r="U653" s="575"/>
      <c r="V653" s="575"/>
      <c r="W653" s="575"/>
      <c r="X653" s="575"/>
      <c r="Y653" s="575"/>
      <c r="Z653" s="989"/>
      <c r="AA653" s="575"/>
      <c r="AB653" s="575"/>
      <c r="AC653" s="575"/>
      <c r="AD653" s="575"/>
      <c r="AE653" s="827"/>
      <c r="AF653" s="575"/>
      <c r="AG653" s="960"/>
      <c r="AH653" s="953"/>
      <c r="AI653" s="839">
        <f t="shared" si="31"/>
        <v>0</v>
      </c>
      <c r="AJ653" s="949">
        <v>0</v>
      </c>
      <c r="AK653" s="581">
        <f t="shared" si="29"/>
        <v>0</v>
      </c>
      <c r="AL653" s="750" t="s">
        <v>1603</v>
      </c>
      <c r="AM653" s="743">
        <f t="shared" si="30"/>
        <v>6</v>
      </c>
    </row>
    <row r="654" spans="1:39" s="560" customFormat="1" hidden="1">
      <c r="A654" s="607" t="s">
        <v>1092</v>
      </c>
      <c r="B654" s="607" t="s">
        <v>1419</v>
      </c>
      <c r="C654" s="690"/>
      <c r="D654" s="580"/>
      <c r="E654" s="981"/>
      <c r="F654" s="581"/>
      <c r="G654" s="581"/>
      <c r="H654" s="581"/>
      <c r="I654" s="949"/>
      <c r="J654" s="949"/>
      <c r="K654" s="949"/>
      <c r="L654" s="989"/>
      <c r="M654" s="575"/>
      <c r="N654" s="575"/>
      <c r="O654" s="575"/>
      <c r="P654" s="575"/>
      <c r="Q654" s="575"/>
      <c r="R654" s="575"/>
      <c r="S654" s="989"/>
      <c r="T654" s="575"/>
      <c r="U654" s="575"/>
      <c r="V654" s="575"/>
      <c r="W654" s="575"/>
      <c r="X654" s="575"/>
      <c r="Y654" s="575"/>
      <c r="Z654" s="989"/>
      <c r="AA654" s="575"/>
      <c r="AB654" s="575"/>
      <c r="AC654" s="575"/>
      <c r="AD654" s="575"/>
      <c r="AE654" s="827"/>
      <c r="AF654" s="575"/>
      <c r="AG654" s="960"/>
      <c r="AH654" s="953"/>
      <c r="AI654" s="839">
        <f t="shared" si="31"/>
        <v>0</v>
      </c>
      <c r="AJ654" s="949">
        <v>0</v>
      </c>
      <c r="AK654" s="581">
        <f t="shared" ref="AK654:AK679" si="32">AI654+AJ654</f>
        <v>0</v>
      </c>
      <c r="AL654" s="750"/>
      <c r="AM654" s="743">
        <f t="shared" ref="AM654:AM680" si="33">AL654-AK654</f>
        <v>0</v>
      </c>
    </row>
    <row r="655" spans="1:39" s="560" customFormat="1" hidden="1">
      <c r="A655" s="604" t="s">
        <v>1093</v>
      </c>
      <c r="B655" s="604" t="s">
        <v>1420</v>
      </c>
      <c r="C655" s="614" t="s">
        <v>1438</v>
      </c>
      <c r="D655" s="580"/>
      <c r="E655" s="981"/>
      <c r="F655" s="581"/>
      <c r="G655" s="581"/>
      <c r="H655" s="581"/>
      <c r="I655" s="949"/>
      <c r="J655" s="949"/>
      <c r="K655" s="949"/>
      <c r="L655" s="989"/>
      <c r="M655" s="575"/>
      <c r="N655" s="575"/>
      <c r="O655" s="575"/>
      <c r="P655" s="575"/>
      <c r="Q655" s="575"/>
      <c r="R655" s="575"/>
      <c r="S655" s="989"/>
      <c r="T655" s="575"/>
      <c r="U655" s="575"/>
      <c r="V655" s="575"/>
      <c r="W655" s="575"/>
      <c r="X655" s="575"/>
      <c r="Y655" s="575"/>
      <c r="Z655" s="989"/>
      <c r="AA655" s="575"/>
      <c r="AB655" s="575"/>
      <c r="AC655" s="575"/>
      <c r="AD655" s="575"/>
      <c r="AE655" s="827"/>
      <c r="AF655" s="575"/>
      <c r="AG655" s="960"/>
      <c r="AH655" s="953"/>
      <c r="AI655" s="839">
        <f t="shared" ref="AI655:AI680" si="34">ROUND((SUM(D655:AH655)),2)</f>
        <v>0</v>
      </c>
      <c r="AJ655" s="949">
        <v>0</v>
      </c>
      <c r="AK655" s="581">
        <f t="shared" si="32"/>
        <v>0</v>
      </c>
      <c r="AL655" s="750" t="s">
        <v>1603</v>
      </c>
      <c r="AM655" s="743">
        <f t="shared" si="33"/>
        <v>6</v>
      </c>
    </row>
    <row r="656" spans="1:39" s="560" customFormat="1" hidden="1">
      <c r="A656" s="607" t="s">
        <v>1094</v>
      </c>
      <c r="B656" s="607" t="s">
        <v>1402</v>
      </c>
      <c r="C656" s="690"/>
      <c r="D656" s="580"/>
      <c r="E656" s="981"/>
      <c r="F656" s="581"/>
      <c r="G656" s="581"/>
      <c r="H656" s="581"/>
      <c r="I656" s="949"/>
      <c r="J656" s="949"/>
      <c r="K656" s="949"/>
      <c r="L656" s="989"/>
      <c r="M656" s="575"/>
      <c r="N656" s="575"/>
      <c r="O656" s="575"/>
      <c r="P656" s="575"/>
      <c r="Q656" s="575"/>
      <c r="R656" s="575"/>
      <c r="S656" s="989"/>
      <c r="T656" s="575"/>
      <c r="U656" s="575"/>
      <c r="V656" s="575"/>
      <c r="W656" s="575"/>
      <c r="X656" s="575"/>
      <c r="Y656" s="575"/>
      <c r="Z656" s="989"/>
      <c r="AA656" s="575"/>
      <c r="AB656" s="575"/>
      <c r="AC656" s="575"/>
      <c r="AD656" s="575"/>
      <c r="AE656" s="827"/>
      <c r="AF656" s="575"/>
      <c r="AG656" s="960"/>
      <c r="AH656" s="953"/>
      <c r="AI656" s="839">
        <f t="shared" si="34"/>
        <v>0</v>
      </c>
      <c r="AJ656" s="949">
        <v>0</v>
      </c>
      <c r="AK656" s="581">
        <f t="shared" si="32"/>
        <v>0</v>
      </c>
      <c r="AL656" s="750"/>
      <c r="AM656" s="743">
        <f t="shared" si="33"/>
        <v>0</v>
      </c>
    </row>
    <row r="657" spans="1:39" s="560" customFormat="1" hidden="1">
      <c r="A657" s="604" t="s">
        <v>1095</v>
      </c>
      <c r="B657" s="604" t="s">
        <v>1421</v>
      </c>
      <c r="C657" s="614" t="s">
        <v>35</v>
      </c>
      <c r="D657" s="580"/>
      <c r="E657" s="981"/>
      <c r="F657" s="581"/>
      <c r="G657" s="581"/>
      <c r="H657" s="581"/>
      <c r="I657" s="949"/>
      <c r="J657" s="949"/>
      <c r="K657" s="949"/>
      <c r="L657" s="989"/>
      <c r="M657" s="575"/>
      <c r="N657" s="575"/>
      <c r="O657" s="575"/>
      <c r="P657" s="575"/>
      <c r="Q657" s="575"/>
      <c r="R657" s="575"/>
      <c r="S657" s="989"/>
      <c r="T657" s="575"/>
      <c r="U657" s="575"/>
      <c r="V657" s="575"/>
      <c r="W657" s="575"/>
      <c r="X657" s="575"/>
      <c r="Y657" s="575"/>
      <c r="Z657" s="989"/>
      <c r="AA657" s="575"/>
      <c r="AB657" s="575"/>
      <c r="AC657" s="575"/>
      <c r="AD657" s="575"/>
      <c r="AE657" s="827"/>
      <c r="AF657" s="575"/>
      <c r="AG657" s="960"/>
      <c r="AH657" s="953"/>
      <c r="AI657" s="839">
        <f t="shared" si="34"/>
        <v>0</v>
      </c>
      <c r="AJ657" s="949">
        <v>0</v>
      </c>
      <c r="AK657" s="581">
        <f t="shared" si="32"/>
        <v>0</v>
      </c>
      <c r="AL657" s="750" t="s">
        <v>1603</v>
      </c>
      <c r="AM657" s="743">
        <f t="shared" si="33"/>
        <v>6</v>
      </c>
    </row>
    <row r="658" spans="1:39" s="560" customFormat="1" hidden="1">
      <c r="A658" s="607" t="s">
        <v>1096</v>
      </c>
      <c r="B658" s="607" t="s">
        <v>1411</v>
      </c>
      <c r="C658" s="690"/>
      <c r="D658" s="580"/>
      <c r="E658" s="981"/>
      <c r="F658" s="581"/>
      <c r="G658" s="581"/>
      <c r="H658" s="581"/>
      <c r="I658" s="949"/>
      <c r="J658" s="949"/>
      <c r="K658" s="949"/>
      <c r="L658" s="989"/>
      <c r="M658" s="575"/>
      <c r="N658" s="575"/>
      <c r="O658" s="575"/>
      <c r="P658" s="575"/>
      <c r="Q658" s="575"/>
      <c r="R658" s="575"/>
      <c r="S658" s="989"/>
      <c r="T658" s="575"/>
      <c r="U658" s="575"/>
      <c r="V658" s="575"/>
      <c r="W658" s="575"/>
      <c r="X658" s="575"/>
      <c r="Y658" s="575"/>
      <c r="Z658" s="989"/>
      <c r="AA658" s="575"/>
      <c r="AB658" s="575"/>
      <c r="AC658" s="575"/>
      <c r="AD658" s="575"/>
      <c r="AE658" s="827"/>
      <c r="AF658" s="575"/>
      <c r="AG658" s="960"/>
      <c r="AH658" s="953"/>
      <c r="AI658" s="839">
        <f t="shared" si="34"/>
        <v>0</v>
      </c>
      <c r="AJ658" s="949">
        <v>0</v>
      </c>
      <c r="AK658" s="581">
        <f t="shared" si="32"/>
        <v>0</v>
      </c>
      <c r="AL658" s="750"/>
      <c r="AM658" s="743">
        <f t="shared" si="33"/>
        <v>0</v>
      </c>
    </row>
    <row r="659" spans="1:39" s="560" customFormat="1" hidden="1">
      <c r="A659" s="604" t="s">
        <v>1097</v>
      </c>
      <c r="B659" s="604" t="s">
        <v>1422</v>
      </c>
      <c r="C659" s="614" t="s">
        <v>1438</v>
      </c>
      <c r="D659" s="580"/>
      <c r="E659" s="981"/>
      <c r="F659" s="581"/>
      <c r="G659" s="581"/>
      <c r="H659" s="581"/>
      <c r="I659" s="949"/>
      <c r="J659" s="949"/>
      <c r="K659" s="949"/>
      <c r="L659" s="989"/>
      <c r="M659" s="575"/>
      <c r="N659" s="575"/>
      <c r="O659" s="575"/>
      <c r="P659" s="575"/>
      <c r="Q659" s="575"/>
      <c r="R659" s="575"/>
      <c r="S659" s="989"/>
      <c r="T659" s="575"/>
      <c r="U659" s="575"/>
      <c r="V659" s="575"/>
      <c r="W659" s="575"/>
      <c r="X659" s="575"/>
      <c r="Y659" s="575"/>
      <c r="Z659" s="989"/>
      <c r="AA659" s="575"/>
      <c r="AB659" s="575"/>
      <c r="AC659" s="575"/>
      <c r="AD659" s="575"/>
      <c r="AE659" s="827"/>
      <c r="AF659" s="575"/>
      <c r="AG659" s="960"/>
      <c r="AH659" s="953"/>
      <c r="AI659" s="839">
        <f t="shared" si="34"/>
        <v>0</v>
      </c>
      <c r="AJ659" s="949">
        <v>0</v>
      </c>
      <c r="AK659" s="581">
        <f t="shared" si="32"/>
        <v>0</v>
      </c>
      <c r="AL659" s="750" t="s">
        <v>1603</v>
      </c>
      <c r="AM659" s="743">
        <f t="shared" si="33"/>
        <v>6</v>
      </c>
    </row>
    <row r="660" spans="1:39" s="560" customFormat="1" hidden="1">
      <c r="A660" s="607" t="s">
        <v>1098</v>
      </c>
      <c r="B660" s="607" t="s">
        <v>1378</v>
      </c>
      <c r="C660" s="690"/>
      <c r="D660" s="580"/>
      <c r="E660" s="981"/>
      <c r="F660" s="581"/>
      <c r="G660" s="581"/>
      <c r="H660" s="581"/>
      <c r="I660" s="949"/>
      <c r="J660" s="949"/>
      <c r="K660" s="949"/>
      <c r="L660" s="989"/>
      <c r="M660" s="575"/>
      <c r="N660" s="575"/>
      <c r="O660" s="575"/>
      <c r="P660" s="575"/>
      <c r="Q660" s="575"/>
      <c r="R660" s="575"/>
      <c r="S660" s="989"/>
      <c r="T660" s="575"/>
      <c r="U660" s="575"/>
      <c r="V660" s="575"/>
      <c r="W660" s="575"/>
      <c r="X660" s="575"/>
      <c r="Y660" s="575"/>
      <c r="Z660" s="989"/>
      <c r="AA660" s="575"/>
      <c r="AB660" s="575"/>
      <c r="AC660" s="575"/>
      <c r="AD660" s="575"/>
      <c r="AE660" s="827"/>
      <c r="AF660" s="575"/>
      <c r="AG660" s="960"/>
      <c r="AH660" s="953"/>
      <c r="AI660" s="839">
        <f t="shared" si="34"/>
        <v>0</v>
      </c>
      <c r="AJ660" s="949">
        <v>0</v>
      </c>
      <c r="AK660" s="581">
        <f t="shared" si="32"/>
        <v>0</v>
      </c>
      <c r="AL660" s="750"/>
      <c r="AM660" s="743">
        <f t="shared" si="33"/>
        <v>0</v>
      </c>
    </row>
    <row r="661" spans="1:39" s="560" customFormat="1" hidden="1">
      <c r="A661" s="604" t="s">
        <v>1099</v>
      </c>
      <c r="B661" s="604" t="s">
        <v>1423</v>
      </c>
      <c r="C661" s="614" t="s">
        <v>35</v>
      </c>
      <c r="D661" s="580"/>
      <c r="E661" s="981"/>
      <c r="F661" s="581"/>
      <c r="G661" s="581"/>
      <c r="H661" s="581"/>
      <c r="I661" s="949"/>
      <c r="J661" s="949"/>
      <c r="K661" s="949"/>
      <c r="L661" s="989"/>
      <c r="M661" s="575"/>
      <c r="N661" s="575"/>
      <c r="O661" s="575"/>
      <c r="P661" s="575"/>
      <c r="Q661" s="575"/>
      <c r="R661" s="575"/>
      <c r="S661" s="989"/>
      <c r="T661" s="575"/>
      <c r="U661" s="575"/>
      <c r="V661" s="575"/>
      <c r="W661" s="575"/>
      <c r="X661" s="575"/>
      <c r="Y661" s="575"/>
      <c r="Z661" s="989"/>
      <c r="AA661" s="575"/>
      <c r="AB661" s="575"/>
      <c r="AC661" s="575"/>
      <c r="AD661" s="575"/>
      <c r="AE661" s="827"/>
      <c r="AF661" s="575"/>
      <c r="AG661" s="960"/>
      <c r="AH661" s="953"/>
      <c r="AI661" s="839">
        <f t="shared" si="34"/>
        <v>0</v>
      </c>
      <c r="AJ661" s="949">
        <v>0</v>
      </c>
      <c r="AK661" s="581">
        <f t="shared" si="32"/>
        <v>0</v>
      </c>
      <c r="AL661" s="750" t="s">
        <v>1603</v>
      </c>
      <c r="AM661" s="743">
        <f t="shared" si="33"/>
        <v>6</v>
      </c>
    </row>
    <row r="662" spans="1:39" s="560" customFormat="1" hidden="1">
      <c r="A662" s="492" t="s">
        <v>1100</v>
      </c>
      <c r="B662" s="608" t="s">
        <v>1424</v>
      </c>
      <c r="C662" s="690"/>
      <c r="D662" s="580"/>
      <c r="E662" s="981"/>
      <c r="F662" s="581"/>
      <c r="G662" s="581"/>
      <c r="H662" s="581"/>
      <c r="I662" s="949"/>
      <c r="J662" s="949"/>
      <c r="K662" s="949"/>
      <c r="L662" s="989"/>
      <c r="M662" s="575"/>
      <c r="N662" s="575"/>
      <c r="O662" s="575"/>
      <c r="P662" s="575"/>
      <c r="Q662" s="575"/>
      <c r="R662" s="575"/>
      <c r="S662" s="989"/>
      <c r="T662" s="575"/>
      <c r="U662" s="575"/>
      <c r="V662" s="575"/>
      <c r="W662" s="575"/>
      <c r="X662" s="575"/>
      <c r="Y662" s="575"/>
      <c r="Z662" s="989"/>
      <c r="AA662" s="575"/>
      <c r="AB662" s="575"/>
      <c r="AC662" s="575"/>
      <c r="AD662" s="575"/>
      <c r="AE662" s="827"/>
      <c r="AF662" s="575"/>
      <c r="AG662" s="960"/>
      <c r="AH662" s="953"/>
      <c r="AI662" s="839">
        <f t="shared" si="34"/>
        <v>0</v>
      </c>
      <c r="AJ662" s="949">
        <v>0</v>
      </c>
      <c r="AK662" s="581">
        <f t="shared" si="32"/>
        <v>0</v>
      </c>
      <c r="AL662" s="750"/>
      <c r="AM662" s="743">
        <f t="shared" si="33"/>
        <v>0</v>
      </c>
    </row>
    <row r="663" spans="1:39" s="560" customFormat="1" hidden="1">
      <c r="A663" s="607" t="s">
        <v>1101</v>
      </c>
      <c r="B663" s="607" t="s">
        <v>1425</v>
      </c>
      <c r="C663" s="690"/>
      <c r="D663" s="580"/>
      <c r="E663" s="981"/>
      <c r="F663" s="581"/>
      <c r="G663" s="581"/>
      <c r="H663" s="581"/>
      <c r="I663" s="949"/>
      <c r="J663" s="949"/>
      <c r="K663" s="949"/>
      <c r="L663" s="989"/>
      <c r="M663" s="575"/>
      <c r="N663" s="575"/>
      <c r="O663" s="575"/>
      <c r="P663" s="575"/>
      <c r="Q663" s="575"/>
      <c r="R663" s="575"/>
      <c r="S663" s="989"/>
      <c r="T663" s="575"/>
      <c r="U663" s="575"/>
      <c r="V663" s="575"/>
      <c r="W663" s="575"/>
      <c r="X663" s="575"/>
      <c r="Y663" s="575"/>
      <c r="Z663" s="989"/>
      <c r="AA663" s="575"/>
      <c r="AB663" s="575"/>
      <c r="AC663" s="575"/>
      <c r="AD663" s="575"/>
      <c r="AE663" s="827"/>
      <c r="AF663" s="575"/>
      <c r="AG663" s="960"/>
      <c r="AH663" s="953"/>
      <c r="AI663" s="839">
        <f t="shared" si="34"/>
        <v>0</v>
      </c>
      <c r="AJ663" s="949">
        <v>0</v>
      </c>
      <c r="AK663" s="581">
        <f t="shared" si="32"/>
        <v>0</v>
      </c>
      <c r="AL663" s="750"/>
      <c r="AM663" s="743">
        <f t="shared" si="33"/>
        <v>0</v>
      </c>
    </row>
    <row r="664" spans="1:39" s="560" customFormat="1" hidden="1">
      <c r="A664" s="604" t="s">
        <v>1102</v>
      </c>
      <c r="B664" s="604" t="s">
        <v>1426</v>
      </c>
      <c r="C664" s="614" t="s">
        <v>1439</v>
      </c>
      <c r="D664" s="580"/>
      <c r="E664" s="981"/>
      <c r="F664" s="581"/>
      <c r="G664" s="581"/>
      <c r="H664" s="581"/>
      <c r="I664" s="949"/>
      <c r="J664" s="949"/>
      <c r="K664" s="949"/>
      <c r="L664" s="989"/>
      <c r="M664" s="575"/>
      <c r="N664" s="575"/>
      <c r="O664" s="575"/>
      <c r="P664" s="575"/>
      <c r="Q664" s="575"/>
      <c r="R664" s="575"/>
      <c r="S664" s="989"/>
      <c r="T664" s="575"/>
      <c r="U664" s="575"/>
      <c r="V664" s="575"/>
      <c r="W664" s="575"/>
      <c r="X664" s="575"/>
      <c r="Y664" s="575"/>
      <c r="Z664" s="989"/>
      <c r="AA664" s="575"/>
      <c r="AB664" s="575"/>
      <c r="AC664" s="575"/>
      <c r="AD664" s="575"/>
      <c r="AE664" s="827"/>
      <c r="AF664" s="575"/>
      <c r="AG664" s="960"/>
      <c r="AH664" s="953"/>
      <c r="AI664" s="839">
        <f t="shared" si="34"/>
        <v>0</v>
      </c>
      <c r="AJ664" s="949">
        <v>0</v>
      </c>
      <c r="AK664" s="581">
        <f t="shared" si="32"/>
        <v>0</v>
      </c>
      <c r="AL664" s="750" t="s">
        <v>1441</v>
      </c>
      <c r="AM664" s="743">
        <f t="shared" si="33"/>
        <v>1</v>
      </c>
    </row>
    <row r="665" spans="1:39" s="560" customFormat="1" hidden="1">
      <c r="A665" s="607" t="s">
        <v>1103</v>
      </c>
      <c r="B665" s="607" t="s">
        <v>1427</v>
      </c>
      <c r="C665" s="690"/>
      <c r="D665" s="580"/>
      <c r="E665" s="981"/>
      <c r="F665" s="581"/>
      <c r="G665" s="581"/>
      <c r="H665" s="581"/>
      <c r="I665" s="949"/>
      <c r="J665" s="949"/>
      <c r="K665" s="949"/>
      <c r="L665" s="989"/>
      <c r="M665" s="575"/>
      <c r="N665" s="575"/>
      <c r="O665" s="575"/>
      <c r="P665" s="575"/>
      <c r="Q665" s="575"/>
      <c r="R665" s="575"/>
      <c r="S665" s="989"/>
      <c r="T665" s="575"/>
      <c r="U665" s="575"/>
      <c r="V665" s="575"/>
      <c r="W665" s="575"/>
      <c r="X665" s="575"/>
      <c r="Y665" s="575"/>
      <c r="Z665" s="989"/>
      <c r="AA665" s="575"/>
      <c r="AB665" s="575"/>
      <c r="AC665" s="575"/>
      <c r="AD665" s="575"/>
      <c r="AE665" s="827"/>
      <c r="AF665" s="575"/>
      <c r="AG665" s="960"/>
      <c r="AH665" s="953"/>
      <c r="AI665" s="839">
        <f t="shared" si="34"/>
        <v>0</v>
      </c>
      <c r="AJ665" s="949">
        <v>0</v>
      </c>
      <c r="AK665" s="581">
        <f t="shared" si="32"/>
        <v>0</v>
      </c>
      <c r="AL665" s="750"/>
      <c r="AM665" s="743">
        <f t="shared" si="33"/>
        <v>0</v>
      </c>
    </row>
    <row r="666" spans="1:39" s="560" customFormat="1" hidden="1">
      <c r="A666" s="604" t="s">
        <v>1104</v>
      </c>
      <c r="B666" s="604" t="s">
        <v>1428</v>
      </c>
      <c r="C666" s="614" t="s">
        <v>1440</v>
      </c>
      <c r="D666" s="580"/>
      <c r="E666" s="981"/>
      <c r="F666" s="581"/>
      <c r="G666" s="581"/>
      <c r="H666" s="581"/>
      <c r="I666" s="949"/>
      <c r="J666" s="949"/>
      <c r="K666" s="949"/>
      <c r="L666" s="989"/>
      <c r="M666" s="575"/>
      <c r="N666" s="575"/>
      <c r="O666" s="575"/>
      <c r="P666" s="575"/>
      <c r="Q666" s="575"/>
      <c r="R666" s="575"/>
      <c r="S666" s="989"/>
      <c r="T666" s="575"/>
      <c r="U666" s="575"/>
      <c r="V666" s="575"/>
      <c r="W666" s="575"/>
      <c r="X666" s="575"/>
      <c r="Y666" s="575"/>
      <c r="Z666" s="989"/>
      <c r="AA666" s="575"/>
      <c r="AB666" s="575"/>
      <c r="AC666" s="575"/>
      <c r="AD666" s="575"/>
      <c r="AE666" s="827"/>
      <c r="AF666" s="575"/>
      <c r="AG666" s="960"/>
      <c r="AH666" s="953"/>
      <c r="AI666" s="839">
        <f t="shared" si="34"/>
        <v>0</v>
      </c>
      <c r="AJ666" s="949">
        <v>0</v>
      </c>
      <c r="AK666" s="581">
        <f t="shared" si="32"/>
        <v>0</v>
      </c>
      <c r="AL666" s="750" t="s">
        <v>1684</v>
      </c>
      <c r="AM666" s="743">
        <f t="shared" si="33"/>
        <v>2</v>
      </c>
    </row>
    <row r="667" spans="1:39" s="560" customFormat="1" hidden="1">
      <c r="A667" s="607" t="s">
        <v>1105</v>
      </c>
      <c r="B667" s="607" t="s">
        <v>1405</v>
      </c>
      <c r="C667" s="690"/>
      <c r="D667" s="580"/>
      <c r="E667" s="981"/>
      <c r="F667" s="581"/>
      <c r="G667" s="581"/>
      <c r="H667" s="581"/>
      <c r="I667" s="949"/>
      <c r="J667" s="949"/>
      <c r="K667" s="949"/>
      <c r="L667" s="989"/>
      <c r="M667" s="575"/>
      <c r="N667" s="575"/>
      <c r="O667" s="575"/>
      <c r="P667" s="575"/>
      <c r="Q667" s="575"/>
      <c r="R667" s="575"/>
      <c r="S667" s="989"/>
      <c r="T667" s="575"/>
      <c r="U667" s="575"/>
      <c r="V667" s="575"/>
      <c r="W667" s="575"/>
      <c r="X667" s="575"/>
      <c r="Y667" s="575"/>
      <c r="Z667" s="989"/>
      <c r="AA667" s="575"/>
      <c r="AB667" s="575"/>
      <c r="AC667" s="575"/>
      <c r="AD667" s="575"/>
      <c r="AE667" s="827"/>
      <c r="AF667" s="575"/>
      <c r="AG667" s="960"/>
      <c r="AH667" s="953"/>
      <c r="AI667" s="839">
        <f t="shared" si="34"/>
        <v>0</v>
      </c>
      <c r="AJ667" s="949">
        <v>0</v>
      </c>
      <c r="AK667" s="581">
        <f t="shared" si="32"/>
        <v>0</v>
      </c>
      <c r="AL667" s="750"/>
      <c r="AM667" s="743">
        <f t="shared" si="33"/>
        <v>0</v>
      </c>
    </row>
    <row r="668" spans="1:39" s="560" customFormat="1" hidden="1">
      <c r="A668" s="604" t="s">
        <v>1106</v>
      </c>
      <c r="B668" s="604" t="s">
        <v>1406</v>
      </c>
      <c r="C668" s="614" t="s">
        <v>37</v>
      </c>
      <c r="D668" s="580"/>
      <c r="E668" s="981"/>
      <c r="F668" s="581"/>
      <c r="G668" s="581"/>
      <c r="H668" s="581"/>
      <c r="I668" s="949"/>
      <c r="J668" s="949"/>
      <c r="K668" s="949"/>
      <c r="L668" s="989"/>
      <c r="M668" s="575"/>
      <c r="N668" s="575"/>
      <c r="O668" s="575"/>
      <c r="P668" s="575"/>
      <c r="Q668" s="575"/>
      <c r="R668" s="575"/>
      <c r="S668" s="989"/>
      <c r="T668" s="575"/>
      <c r="U668" s="575"/>
      <c r="V668" s="575"/>
      <c r="W668" s="575"/>
      <c r="X668" s="575"/>
      <c r="Y668" s="575"/>
      <c r="Z668" s="989"/>
      <c r="AA668" s="575"/>
      <c r="AB668" s="575"/>
      <c r="AC668" s="575"/>
      <c r="AD668" s="575"/>
      <c r="AE668" s="827"/>
      <c r="AF668" s="575"/>
      <c r="AG668" s="960"/>
      <c r="AH668" s="953"/>
      <c r="AI668" s="839">
        <f t="shared" si="34"/>
        <v>0</v>
      </c>
      <c r="AJ668" s="949">
        <v>0</v>
      </c>
      <c r="AK668" s="581">
        <f t="shared" si="32"/>
        <v>0</v>
      </c>
      <c r="AL668" s="750" t="s">
        <v>1757</v>
      </c>
      <c r="AM668" s="743">
        <f t="shared" si="33"/>
        <v>90</v>
      </c>
    </row>
    <row r="669" spans="1:39" s="560" customFormat="1" hidden="1">
      <c r="A669" s="607" t="s">
        <v>1107</v>
      </c>
      <c r="B669" s="607" t="s">
        <v>1407</v>
      </c>
      <c r="C669" s="690"/>
      <c r="D669" s="580"/>
      <c r="E669" s="981"/>
      <c r="F669" s="581"/>
      <c r="G669" s="581"/>
      <c r="H669" s="581"/>
      <c r="I669" s="949"/>
      <c r="J669" s="949"/>
      <c r="K669" s="949"/>
      <c r="L669" s="989"/>
      <c r="M669" s="575"/>
      <c r="N669" s="575"/>
      <c r="O669" s="575"/>
      <c r="P669" s="575"/>
      <c r="Q669" s="575"/>
      <c r="R669" s="575"/>
      <c r="S669" s="989"/>
      <c r="T669" s="575"/>
      <c r="U669" s="575"/>
      <c r="V669" s="575"/>
      <c r="W669" s="575"/>
      <c r="X669" s="575"/>
      <c r="Y669" s="575"/>
      <c r="Z669" s="989"/>
      <c r="AA669" s="575"/>
      <c r="AB669" s="575"/>
      <c r="AC669" s="575"/>
      <c r="AD669" s="575"/>
      <c r="AE669" s="827"/>
      <c r="AF669" s="575"/>
      <c r="AG669" s="960"/>
      <c r="AH669" s="953"/>
      <c r="AI669" s="839">
        <f t="shared" si="34"/>
        <v>0</v>
      </c>
      <c r="AJ669" s="949">
        <v>0</v>
      </c>
      <c r="AK669" s="581">
        <f t="shared" si="32"/>
        <v>0</v>
      </c>
      <c r="AL669" s="750"/>
      <c r="AM669" s="743">
        <f t="shared" si="33"/>
        <v>0</v>
      </c>
    </row>
    <row r="670" spans="1:39" s="560" customFormat="1" hidden="1">
      <c r="A670" s="604" t="s">
        <v>1108</v>
      </c>
      <c r="B670" s="604" t="s">
        <v>1429</v>
      </c>
      <c r="C670" s="614" t="s">
        <v>37</v>
      </c>
      <c r="D670" s="580"/>
      <c r="E670" s="981"/>
      <c r="F670" s="581"/>
      <c r="G670" s="581"/>
      <c r="H670" s="581"/>
      <c r="I670" s="949"/>
      <c r="J670" s="949"/>
      <c r="K670" s="949"/>
      <c r="L670" s="989"/>
      <c r="M670" s="575"/>
      <c r="N670" s="575"/>
      <c r="O670" s="575"/>
      <c r="P670" s="575"/>
      <c r="Q670" s="575"/>
      <c r="R670" s="575"/>
      <c r="S670" s="989"/>
      <c r="T670" s="575"/>
      <c r="U670" s="575"/>
      <c r="V670" s="575"/>
      <c r="W670" s="575"/>
      <c r="X670" s="575"/>
      <c r="Y670" s="575"/>
      <c r="Z670" s="989"/>
      <c r="AA670" s="575"/>
      <c r="AB670" s="575"/>
      <c r="AC670" s="575"/>
      <c r="AD670" s="575"/>
      <c r="AE670" s="827"/>
      <c r="AF670" s="575"/>
      <c r="AG670" s="960"/>
      <c r="AH670" s="953"/>
      <c r="AI670" s="839">
        <f t="shared" si="34"/>
        <v>0</v>
      </c>
      <c r="AJ670" s="949">
        <v>0</v>
      </c>
      <c r="AK670" s="581">
        <f t="shared" si="32"/>
        <v>0</v>
      </c>
      <c r="AL670" s="750">
        <v>12</v>
      </c>
      <c r="AM670" s="743">
        <f t="shared" si="33"/>
        <v>12</v>
      </c>
    </row>
    <row r="671" spans="1:39" s="560" customFormat="1" hidden="1">
      <c r="A671" s="604" t="s">
        <v>1109</v>
      </c>
      <c r="B671" s="604" t="s">
        <v>1430</v>
      </c>
      <c r="C671" s="614" t="s">
        <v>37</v>
      </c>
      <c r="D671" s="580"/>
      <c r="E671" s="981"/>
      <c r="F671" s="581"/>
      <c r="G671" s="581"/>
      <c r="H671" s="581"/>
      <c r="I671" s="949"/>
      <c r="J671" s="949"/>
      <c r="K671" s="949"/>
      <c r="L671" s="989"/>
      <c r="M671" s="575"/>
      <c r="N671" s="575"/>
      <c r="O671" s="575"/>
      <c r="P671" s="575"/>
      <c r="Q671" s="575"/>
      <c r="R671" s="575"/>
      <c r="S671" s="989"/>
      <c r="T671" s="575"/>
      <c r="U671" s="575"/>
      <c r="V671" s="575"/>
      <c r="W671" s="575"/>
      <c r="X671" s="575"/>
      <c r="Y671" s="575"/>
      <c r="Z671" s="989"/>
      <c r="AA671" s="575"/>
      <c r="AB671" s="575"/>
      <c r="AC671" s="575"/>
      <c r="AD671" s="575"/>
      <c r="AE671" s="827"/>
      <c r="AF671" s="575"/>
      <c r="AG671" s="960"/>
      <c r="AH671" s="953"/>
      <c r="AI671" s="839">
        <f t="shared" si="34"/>
        <v>0</v>
      </c>
      <c r="AJ671" s="949">
        <v>0</v>
      </c>
      <c r="AK671" s="581">
        <f t="shared" si="32"/>
        <v>0</v>
      </c>
      <c r="AL671" s="750">
        <v>106</v>
      </c>
      <c r="AM671" s="743">
        <f t="shared" si="33"/>
        <v>106</v>
      </c>
    </row>
    <row r="672" spans="1:39" s="560" customFormat="1" hidden="1">
      <c r="A672" s="607" t="s">
        <v>1110</v>
      </c>
      <c r="B672" s="607" t="s">
        <v>1409</v>
      </c>
      <c r="C672" s="690"/>
      <c r="D672" s="580"/>
      <c r="E672" s="981"/>
      <c r="F672" s="581"/>
      <c r="G672" s="581"/>
      <c r="H672" s="581"/>
      <c r="I672" s="949"/>
      <c r="J672" s="949"/>
      <c r="K672" s="949"/>
      <c r="L672" s="989"/>
      <c r="M672" s="575"/>
      <c r="N672" s="575"/>
      <c r="O672" s="575"/>
      <c r="P672" s="575"/>
      <c r="Q672" s="575"/>
      <c r="R672" s="575"/>
      <c r="S672" s="989"/>
      <c r="T672" s="575"/>
      <c r="U672" s="575"/>
      <c r="V672" s="575"/>
      <c r="W672" s="575"/>
      <c r="X672" s="575"/>
      <c r="Y672" s="575"/>
      <c r="Z672" s="989"/>
      <c r="AA672" s="575"/>
      <c r="AB672" s="575"/>
      <c r="AC672" s="575"/>
      <c r="AD672" s="575"/>
      <c r="AE672" s="827"/>
      <c r="AF672" s="575"/>
      <c r="AG672" s="960"/>
      <c r="AH672" s="953"/>
      <c r="AI672" s="839">
        <f t="shared" si="34"/>
        <v>0</v>
      </c>
      <c r="AJ672" s="949">
        <v>0</v>
      </c>
      <c r="AK672" s="581">
        <f t="shared" si="32"/>
        <v>0</v>
      </c>
      <c r="AL672" s="750"/>
      <c r="AM672" s="743">
        <f t="shared" si="33"/>
        <v>0</v>
      </c>
    </row>
    <row r="673" spans="1:39" s="560" customFormat="1" hidden="1">
      <c r="A673" s="604" t="s">
        <v>1111</v>
      </c>
      <c r="B673" s="604" t="s">
        <v>1431</v>
      </c>
      <c r="C673" s="614" t="s">
        <v>37</v>
      </c>
      <c r="D673" s="580"/>
      <c r="E673" s="981"/>
      <c r="F673" s="581"/>
      <c r="G673" s="581"/>
      <c r="H673" s="581"/>
      <c r="I673" s="949"/>
      <c r="J673" s="949"/>
      <c r="K673" s="949"/>
      <c r="L673" s="989"/>
      <c r="M673" s="575"/>
      <c r="N673" s="575"/>
      <c r="O673" s="575"/>
      <c r="P673" s="575"/>
      <c r="Q673" s="575"/>
      <c r="R673" s="575"/>
      <c r="S673" s="989"/>
      <c r="T673" s="575"/>
      <c r="U673" s="575"/>
      <c r="V673" s="575"/>
      <c r="W673" s="575"/>
      <c r="X673" s="575"/>
      <c r="Y673" s="575"/>
      <c r="Z673" s="989"/>
      <c r="AA673" s="575"/>
      <c r="AB673" s="575"/>
      <c r="AC673" s="575"/>
      <c r="AD673" s="575"/>
      <c r="AE673" s="827"/>
      <c r="AF673" s="575"/>
      <c r="AG673" s="960"/>
      <c r="AH673" s="953"/>
      <c r="AI673" s="839">
        <f t="shared" si="34"/>
        <v>0</v>
      </c>
      <c r="AJ673" s="949">
        <v>0</v>
      </c>
      <c r="AK673" s="581">
        <f t="shared" si="32"/>
        <v>0</v>
      </c>
      <c r="AL673" s="750">
        <v>106</v>
      </c>
      <c r="AM673" s="743">
        <f t="shared" si="33"/>
        <v>106</v>
      </c>
    </row>
    <row r="674" spans="1:39" s="560" customFormat="1" hidden="1">
      <c r="A674" s="607" t="s">
        <v>1112</v>
      </c>
      <c r="B674" s="607" t="s">
        <v>1402</v>
      </c>
      <c r="C674" s="690"/>
      <c r="D674" s="580"/>
      <c r="E674" s="981"/>
      <c r="F674" s="581"/>
      <c r="G674" s="581"/>
      <c r="H674" s="581"/>
      <c r="I674" s="949"/>
      <c r="J674" s="949"/>
      <c r="K674" s="949"/>
      <c r="L674" s="989"/>
      <c r="M674" s="575"/>
      <c r="N674" s="575"/>
      <c r="O674" s="575"/>
      <c r="P674" s="575"/>
      <c r="Q674" s="575"/>
      <c r="R674" s="575"/>
      <c r="S674" s="989"/>
      <c r="T674" s="575"/>
      <c r="U674" s="575"/>
      <c r="V674" s="575"/>
      <c r="W674" s="575"/>
      <c r="X674" s="575"/>
      <c r="Y674" s="575"/>
      <c r="Z674" s="989"/>
      <c r="AA674" s="575"/>
      <c r="AB674" s="575"/>
      <c r="AC674" s="575"/>
      <c r="AD674" s="575"/>
      <c r="AE674" s="827"/>
      <c r="AF674" s="575"/>
      <c r="AG674" s="960"/>
      <c r="AH674" s="953"/>
      <c r="AI674" s="839">
        <f t="shared" si="34"/>
        <v>0</v>
      </c>
      <c r="AJ674" s="949">
        <v>0</v>
      </c>
      <c r="AK674" s="581">
        <f t="shared" si="32"/>
        <v>0</v>
      </c>
      <c r="AL674" s="750"/>
      <c r="AM674" s="743">
        <f t="shared" si="33"/>
        <v>0</v>
      </c>
    </row>
    <row r="675" spans="1:39" s="560" customFormat="1" hidden="1">
      <c r="A675" s="604" t="s">
        <v>1113</v>
      </c>
      <c r="B675" s="604" t="s">
        <v>1403</v>
      </c>
      <c r="C675" s="614" t="s">
        <v>35</v>
      </c>
      <c r="D675" s="580"/>
      <c r="E675" s="981"/>
      <c r="F675" s="581"/>
      <c r="G675" s="581"/>
      <c r="H675" s="581"/>
      <c r="I675" s="949"/>
      <c r="J675" s="949"/>
      <c r="K675" s="949"/>
      <c r="L675" s="989"/>
      <c r="M675" s="575"/>
      <c r="N675" s="575"/>
      <c r="O675" s="575"/>
      <c r="P675" s="575"/>
      <c r="Q675" s="575"/>
      <c r="R675" s="575"/>
      <c r="S675" s="989"/>
      <c r="T675" s="575"/>
      <c r="U675" s="575"/>
      <c r="V675" s="575"/>
      <c r="W675" s="575"/>
      <c r="X675" s="575"/>
      <c r="Y675" s="575"/>
      <c r="Z675" s="989"/>
      <c r="AA675" s="575"/>
      <c r="AB675" s="575"/>
      <c r="AC675" s="575"/>
      <c r="AD675" s="575"/>
      <c r="AE675" s="827"/>
      <c r="AF675" s="575"/>
      <c r="AG675" s="960"/>
      <c r="AH675" s="953"/>
      <c r="AI675" s="839">
        <f t="shared" si="34"/>
        <v>0</v>
      </c>
      <c r="AJ675" s="949">
        <v>0</v>
      </c>
      <c r="AK675" s="581">
        <f t="shared" si="32"/>
        <v>0</v>
      </c>
      <c r="AL675" s="750">
        <v>5</v>
      </c>
      <c r="AM675" s="743">
        <f t="shared" si="33"/>
        <v>5</v>
      </c>
    </row>
    <row r="676" spans="1:39" s="560" customFormat="1" hidden="1">
      <c r="A676" s="607" t="s">
        <v>1114</v>
      </c>
      <c r="B676" s="607" t="s">
        <v>1432</v>
      </c>
      <c r="C676" s="690"/>
      <c r="D676" s="580"/>
      <c r="E676" s="981"/>
      <c r="F676" s="581"/>
      <c r="G676" s="581"/>
      <c r="H676" s="581"/>
      <c r="I676" s="949"/>
      <c r="J676" s="949"/>
      <c r="K676" s="949"/>
      <c r="L676" s="989"/>
      <c r="M676" s="575"/>
      <c r="N676" s="575"/>
      <c r="O676" s="575"/>
      <c r="P676" s="575"/>
      <c r="Q676" s="575"/>
      <c r="R676" s="575"/>
      <c r="S676" s="989"/>
      <c r="T676" s="575"/>
      <c r="U676" s="575"/>
      <c r="V676" s="575"/>
      <c r="W676" s="575"/>
      <c r="X676" s="575"/>
      <c r="Y676" s="575"/>
      <c r="Z676" s="989"/>
      <c r="AA676" s="575"/>
      <c r="AB676" s="575"/>
      <c r="AC676" s="575"/>
      <c r="AD676" s="575"/>
      <c r="AE676" s="827"/>
      <c r="AF676" s="575"/>
      <c r="AG676" s="960"/>
      <c r="AH676" s="953"/>
      <c r="AI676" s="839">
        <f t="shared" si="34"/>
        <v>0</v>
      </c>
      <c r="AJ676" s="949">
        <v>0</v>
      </c>
      <c r="AK676" s="581">
        <f t="shared" si="32"/>
        <v>0</v>
      </c>
      <c r="AL676" s="750"/>
      <c r="AM676" s="743">
        <f t="shared" si="33"/>
        <v>0</v>
      </c>
    </row>
    <row r="677" spans="1:39" s="560" customFormat="1" hidden="1">
      <c r="A677" s="604" t="s">
        <v>1115</v>
      </c>
      <c r="B677" s="604" t="s">
        <v>1433</v>
      </c>
      <c r="C677" s="614" t="s">
        <v>63</v>
      </c>
      <c r="D677" s="580"/>
      <c r="E677" s="981"/>
      <c r="F677" s="581"/>
      <c r="G677" s="581"/>
      <c r="H677" s="581"/>
      <c r="I677" s="949"/>
      <c r="J677" s="949"/>
      <c r="K677" s="949"/>
      <c r="L677" s="989"/>
      <c r="M677" s="575"/>
      <c r="N677" s="575"/>
      <c r="O677" s="575"/>
      <c r="P677" s="575"/>
      <c r="Q677" s="575"/>
      <c r="R677" s="575"/>
      <c r="S677" s="989"/>
      <c r="T677" s="575"/>
      <c r="U677" s="575"/>
      <c r="V677" s="575"/>
      <c r="W677" s="575"/>
      <c r="X677" s="575"/>
      <c r="Y677" s="575"/>
      <c r="Z677" s="989"/>
      <c r="AA677" s="575"/>
      <c r="AB677" s="575"/>
      <c r="AC677" s="575"/>
      <c r="AD677" s="575"/>
      <c r="AE677" s="827"/>
      <c r="AF677" s="575"/>
      <c r="AG677" s="960"/>
      <c r="AH677" s="953"/>
      <c r="AI677" s="839">
        <f t="shared" si="34"/>
        <v>0</v>
      </c>
      <c r="AJ677" s="949">
        <v>0</v>
      </c>
      <c r="AK677" s="581">
        <f t="shared" si="32"/>
        <v>0</v>
      </c>
      <c r="AL677" s="750">
        <v>1</v>
      </c>
      <c r="AM677" s="743">
        <f t="shared" si="33"/>
        <v>1</v>
      </c>
    </row>
    <row r="678" spans="1:39" s="560" customFormat="1" hidden="1">
      <c r="A678" s="607" t="s">
        <v>1116</v>
      </c>
      <c r="B678" s="607" t="s">
        <v>1434</v>
      </c>
      <c r="C678" s="845"/>
      <c r="D678" s="581"/>
      <c r="E678" s="981"/>
      <c r="F678" s="581"/>
      <c r="G678" s="581"/>
      <c r="H678" s="581"/>
      <c r="I678" s="949"/>
      <c r="J678" s="949"/>
      <c r="K678" s="949"/>
      <c r="L678" s="960"/>
      <c r="M678" s="588"/>
      <c r="N678" s="588"/>
      <c r="O678" s="588"/>
      <c r="P678" s="588"/>
      <c r="Q678" s="588"/>
      <c r="R678" s="588"/>
      <c r="S678" s="960"/>
      <c r="T678" s="588"/>
      <c r="U678" s="588"/>
      <c r="V678" s="588"/>
      <c r="W678" s="588"/>
      <c r="X678" s="588"/>
      <c r="Y678" s="588"/>
      <c r="Z678" s="960"/>
      <c r="AA678" s="588"/>
      <c r="AB678" s="588"/>
      <c r="AC678" s="588"/>
      <c r="AD678" s="588"/>
      <c r="AE678" s="856"/>
      <c r="AF678" s="588"/>
      <c r="AG678" s="960"/>
      <c r="AH678" s="953"/>
      <c r="AI678" s="839">
        <f t="shared" si="34"/>
        <v>0</v>
      </c>
      <c r="AJ678" s="949">
        <v>0</v>
      </c>
      <c r="AK678" s="581">
        <f t="shared" si="32"/>
        <v>0</v>
      </c>
      <c r="AL678" s="750"/>
      <c r="AM678" s="743">
        <f t="shared" si="33"/>
        <v>0</v>
      </c>
    </row>
    <row r="679" spans="1:39" s="560" customFormat="1" ht="13.8" hidden="1" thickBot="1">
      <c r="A679" s="620" t="s">
        <v>1117</v>
      </c>
      <c r="B679" s="620" t="s">
        <v>1435</v>
      </c>
      <c r="C679" s="846" t="s">
        <v>63</v>
      </c>
      <c r="D679" s="581"/>
      <c r="E679" s="981"/>
      <c r="F679" s="581"/>
      <c r="G679" s="581"/>
      <c r="H679" s="581"/>
      <c r="I679" s="949"/>
      <c r="J679" s="949"/>
      <c r="K679" s="949"/>
      <c r="L679" s="960"/>
      <c r="M679" s="588"/>
      <c r="N679" s="588"/>
      <c r="O679" s="588"/>
      <c r="P679" s="588"/>
      <c r="Q679" s="588"/>
      <c r="R679" s="588"/>
      <c r="S679" s="960"/>
      <c r="T679" s="588"/>
      <c r="U679" s="588"/>
      <c r="V679" s="588"/>
      <c r="W679" s="588"/>
      <c r="X679" s="588"/>
      <c r="Y679" s="588"/>
      <c r="Z679" s="960"/>
      <c r="AA679" s="588"/>
      <c r="AB679" s="588"/>
      <c r="AC679" s="588"/>
      <c r="AD679" s="588"/>
      <c r="AE679" s="856"/>
      <c r="AF679" s="588"/>
      <c r="AG679" s="960"/>
      <c r="AH679" s="953"/>
      <c r="AI679" s="839">
        <f t="shared" si="34"/>
        <v>0</v>
      </c>
      <c r="AJ679" s="949">
        <v>0</v>
      </c>
      <c r="AK679" s="581">
        <f t="shared" si="32"/>
        <v>0</v>
      </c>
      <c r="AL679" s="750">
        <v>1</v>
      </c>
      <c r="AM679" s="743">
        <f t="shared" si="33"/>
        <v>1</v>
      </c>
    </row>
    <row r="680" spans="1:39" ht="13.8" hidden="1" thickBot="1">
      <c r="A680" s="622"/>
      <c r="B680" s="623" t="s">
        <v>1</v>
      </c>
      <c r="C680" s="592"/>
      <c r="D680" s="847"/>
      <c r="E680" s="984"/>
      <c r="F680" s="847"/>
      <c r="G680" s="848"/>
      <c r="H680" s="848"/>
      <c r="I680" s="847"/>
      <c r="J680" s="848"/>
      <c r="K680" s="848"/>
      <c r="L680" s="963"/>
      <c r="M680" s="844"/>
      <c r="N680" s="844"/>
      <c r="O680" s="844"/>
      <c r="P680" s="844"/>
      <c r="Q680" s="844"/>
      <c r="R680" s="844"/>
      <c r="S680" s="963"/>
      <c r="T680" s="844"/>
      <c r="U680" s="844"/>
      <c r="V680" s="844"/>
      <c r="W680" s="844"/>
      <c r="X680" s="844"/>
      <c r="Y680" s="844"/>
      <c r="Z680" s="963"/>
      <c r="AA680" s="844"/>
      <c r="AB680" s="844"/>
      <c r="AC680" s="844"/>
      <c r="AD680" s="844"/>
      <c r="AE680" s="857"/>
      <c r="AF680" s="844"/>
      <c r="AG680" s="963"/>
      <c r="AH680" s="844"/>
      <c r="AI680" s="839">
        <f t="shared" si="34"/>
        <v>0</v>
      </c>
      <c r="AJ680" s="745"/>
      <c r="AK680" s="745"/>
      <c r="AL680" s="751">
        <f>AK680/10</f>
        <v>0</v>
      </c>
      <c r="AM680" s="743">
        <f t="shared" si="33"/>
        <v>0</v>
      </c>
    </row>
    <row r="681" spans="1:39" hidden="1">
      <c r="A681" s="618" t="s">
        <v>287</v>
      </c>
    </row>
    <row r="682" spans="1:39" hidden="1"/>
    <row r="683" spans="1:39" hidden="1">
      <c r="B683" s="624" t="s">
        <v>1787</v>
      </c>
      <c r="C683" s="596"/>
    </row>
    <row r="684" spans="1:39" hidden="1">
      <c r="B684" s="624" t="s">
        <v>288</v>
      </c>
      <c r="C684" s="596"/>
    </row>
    <row r="685" spans="1:39" hidden="1">
      <c r="B685" s="624"/>
      <c r="C685" s="596"/>
      <c r="L685" s="964"/>
      <c r="M685" s="754"/>
      <c r="N685" s="754"/>
      <c r="O685" s="754"/>
      <c r="P685" s="754"/>
      <c r="Q685" s="754"/>
      <c r="R685" s="754"/>
      <c r="S685" s="964"/>
      <c r="T685" s="754"/>
      <c r="U685" s="754"/>
      <c r="V685" s="754"/>
      <c r="W685" s="754"/>
      <c r="X685" s="754"/>
      <c r="Y685" s="754"/>
      <c r="Z685" s="964"/>
      <c r="AA685" s="754"/>
      <c r="AB685" s="754"/>
      <c r="AC685" s="754"/>
      <c r="AD685" s="754"/>
      <c r="AE685" s="858"/>
      <c r="AF685" s="754"/>
      <c r="AG685" s="964"/>
      <c r="AH685" s="754"/>
      <c r="AI685" s="745"/>
      <c r="AJ685" s="745">
        <v>416.4</v>
      </c>
    </row>
    <row r="686" spans="1:39" hidden="1">
      <c r="B686" s="624"/>
      <c r="C686" s="596"/>
      <c r="L686" s="960" t="e">
        <f>#REF!-L135</f>
        <v>#REF!</v>
      </c>
      <c r="M686" s="588"/>
      <c r="N686" s="588"/>
      <c r="O686" s="588"/>
      <c r="P686" s="588"/>
      <c r="Q686" s="588"/>
      <c r="R686" s="588"/>
      <c r="S686" s="960"/>
      <c r="T686" s="588"/>
      <c r="U686" s="588"/>
      <c r="V686" s="588"/>
      <c r="W686" s="588"/>
      <c r="X686" s="588"/>
      <c r="Y686" s="588"/>
      <c r="Z686" s="960"/>
      <c r="AA686" s="588"/>
      <c r="AB686" s="588"/>
      <c r="AC686" s="588"/>
      <c r="AD686" s="588"/>
      <c r="AE686" s="856"/>
      <c r="AF686" s="588"/>
      <c r="AG686" s="960"/>
      <c r="AH686" s="588"/>
      <c r="AI686" s="949" t="e">
        <f>SUM(L686:L686)</f>
        <v>#REF!</v>
      </c>
      <c r="AJ686" s="949" t="e">
        <f>AJ685-AI686</f>
        <v>#REF!</v>
      </c>
      <c r="AK686" s="557" t="s">
        <v>1810</v>
      </c>
    </row>
    <row r="687" spans="1:39" s="1000" customFormat="1" ht="24" thickBot="1">
      <c r="A687" s="1566" t="s">
        <v>256</v>
      </c>
      <c r="B687" s="1566"/>
      <c r="C687" s="1566"/>
      <c r="D687" s="1566"/>
      <c r="E687" s="1566"/>
      <c r="F687" s="1566"/>
      <c r="G687" s="1566"/>
      <c r="H687" s="1566"/>
      <c r="I687" s="1566"/>
      <c r="J687" s="1566"/>
      <c r="K687" s="1566"/>
      <c r="L687" s="1566"/>
      <c r="M687" s="1566"/>
      <c r="N687" s="1566"/>
      <c r="O687" s="1566"/>
      <c r="P687" s="1566"/>
      <c r="Q687" s="1566"/>
      <c r="R687" s="1566"/>
      <c r="S687" s="1566"/>
      <c r="T687" s="1566"/>
      <c r="U687" s="1566"/>
      <c r="V687" s="1566"/>
      <c r="W687" s="1566"/>
      <c r="X687" s="1566"/>
      <c r="Y687" s="1566"/>
      <c r="Z687" s="1566"/>
      <c r="AA687" s="1566"/>
      <c r="AB687" s="1566"/>
      <c r="AC687" s="1566"/>
      <c r="AD687" s="1566"/>
      <c r="AE687" s="1566"/>
      <c r="AF687" s="1566"/>
      <c r="AG687" s="1566"/>
      <c r="AH687" s="1566"/>
    </row>
    <row r="688" spans="1:39" s="579" customFormat="1">
      <c r="A688" s="767" t="s">
        <v>32</v>
      </c>
      <c r="B688" s="768" t="s">
        <v>1118</v>
      </c>
      <c r="C688" s="625"/>
      <c r="D688" s="571"/>
      <c r="E688" s="980"/>
      <c r="F688" s="572"/>
      <c r="G688" s="572"/>
      <c r="H688" s="572"/>
      <c r="I688" s="573"/>
      <c r="J688" s="573"/>
      <c r="K688" s="573"/>
      <c r="L688" s="996"/>
      <c r="M688" s="573"/>
      <c r="N688" s="573"/>
      <c r="O688" s="573"/>
      <c r="P688" s="573"/>
      <c r="Q688" s="573"/>
      <c r="R688" s="573"/>
      <c r="S688" s="996"/>
      <c r="T688" s="573"/>
      <c r="U688" s="573"/>
      <c r="V688" s="573"/>
      <c r="W688" s="573"/>
      <c r="X688" s="573"/>
      <c r="Y688" s="573"/>
      <c r="Z688" s="996"/>
      <c r="AA688" s="573"/>
      <c r="AB688" s="574"/>
      <c r="AC688" s="574"/>
      <c r="AD688" s="574"/>
      <c r="AE688" s="862"/>
      <c r="AF688" s="575"/>
      <c r="AG688" s="989"/>
      <c r="AH688" s="575"/>
      <c r="AI688" s="738">
        <f t="shared" ref="AI688:AI696" si="35">ROUND((SUM(D688:AH688)),2)</f>
        <v>0</v>
      </c>
      <c r="AJ688" s="949"/>
      <c r="AK688" s="581"/>
      <c r="AL688" s="747"/>
      <c r="AM688" s="744"/>
    </row>
    <row r="689" spans="1:45" s="560" customFormat="1" hidden="1">
      <c r="A689" s="604" t="s">
        <v>34</v>
      </c>
      <c r="B689" s="314" t="s">
        <v>1119</v>
      </c>
      <c r="C689" s="590"/>
      <c r="D689" s="580"/>
      <c r="E689" s="981"/>
      <c r="F689" s="581"/>
      <c r="G689" s="581"/>
      <c r="H689" s="581"/>
      <c r="I689" s="949"/>
      <c r="J689" s="949"/>
      <c r="K689" s="949"/>
      <c r="L689" s="962"/>
      <c r="M689" s="949"/>
      <c r="N689" s="949"/>
      <c r="O689" s="949"/>
      <c r="P689" s="949"/>
      <c r="Q689" s="949"/>
      <c r="R689" s="949"/>
      <c r="S689" s="962"/>
      <c r="T689" s="949"/>
      <c r="U689" s="949"/>
      <c r="V689" s="949"/>
      <c r="W689" s="949"/>
      <c r="X689" s="949"/>
      <c r="Y689" s="949"/>
      <c r="Z689" s="962"/>
      <c r="AA689" s="949"/>
      <c r="AB689" s="583"/>
      <c r="AC689" s="583"/>
      <c r="AD689" s="575"/>
      <c r="AE689" s="817"/>
      <c r="AF689" s="575"/>
      <c r="AG689" s="989"/>
      <c r="AH689" s="575"/>
      <c r="AI689" s="738">
        <f t="shared" si="35"/>
        <v>0</v>
      </c>
      <c r="AJ689" s="949"/>
      <c r="AK689" s="581"/>
      <c r="AL689" s="746"/>
      <c r="AM689" s="741"/>
    </row>
    <row r="690" spans="1:45" s="560" customFormat="1" ht="13.8" hidden="1">
      <c r="A690" s="604" t="s">
        <v>523</v>
      </c>
      <c r="B690" s="319" t="s">
        <v>1120</v>
      </c>
      <c r="C690" s="585" t="s">
        <v>63</v>
      </c>
      <c r="D690" s="580"/>
      <c r="E690" s="981"/>
      <c r="F690" s="581"/>
      <c r="G690" s="581"/>
      <c r="H690" s="581"/>
      <c r="I690" s="949"/>
      <c r="J690" s="949"/>
      <c r="K690" s="949"/>
      <c r="L690" s="962"/>
      <c r="M690" s="949"/>
      <c r="N690" s="949"/>
      <c r="O690" s="949"/>
      <c r="P690" s="949"/>
      <c r="Q690" s="949"/>
      <c r="R690" s="949"/>
      <c r="S690" s="962"/>
      <c r="T690" s="949"/>
      <c r="U690" s="949"/>
      <c r="V690" s="949"/>
      <c r="W690" s="949"/>
      <c r="X690" s="949"/>
      <c r="Y690" s="949"/>
      <c r="Z690" s="962"/>
      <c r="AA690" s="949"/>
      <c r="AB690" s="583"/>
      <c r="AC690" s="583"/>
      <c r="AD690" s="575"/>
      <c r="AE690" s="817"/>
      <c r="AF690" s="575"/>
      <c r="AG690" s="989"/>
      <c r="AH690" s="575"/>
      <c r="AI690" s="738">
        <f t="shared" si="35"/>
        <v>0</v>
      </c>
      <c r="AJ690" s="949">
        <v>0</v>
      </c>
      <c r="AK690" s="581">
        <f>AI690+AJ690</f>
        <v>0</v>
      </c>
      <c r="AL690" s="746" t="s">
        <v>1441</v>
      </c>
      <c r="AM690" s="743">
        <f>AL690-AK690</f>
        <v>1</v>
      </c>
    </row>
    <row r="691" spans="1:45" s="560" customFormat="1" ht="13.8" hidden="1">
      <c r="A691" s="604" t="s">
        <v>524</v>
      </c>
      <c r="B691" s="320" t="s">
        <v>1121</v>
      </c>
      <c r="C691" s="585" t="s">
        <v>63</v>
      </c>
      <c r="D691" s="580"/>
      <c r="E691" s="981"/>
      <c r="F691" s="581"/>
      <c r="G691" s="581"/>
      <c r="H691" s="581"/>
      <c r="I691" s="949"/>
      <c r="J691" s="949"/>
      <c r="K691" s="949"/>
      <c r="L691" s="962"/>
      <c r="M691" s="949"/>
      <c r="N691" s="949"/>
      <c r="O691" s="949"/>
      <c r="P691" s="949"/>
      <c r="Q691" s="949"/>
      <c r="R691" s="949"/>
      <c r="S691" s="962"/>
      <c r="T691" s="949"/>
      <c r="U691" s="949"/>
      <c r="V691" s="949"/>
      <c r="W691" s="949"/>
      <c r="X691" s="949"/>
      <c r="Y691" s="949"/>
      <c r="Z691" s="962"/>
      <c r="AA691" s="949"/>
      <c r="AB691" s="583"/>
      <c r="AC691" s="583"/>
      <c r="AD691" s="575"/>
      <c r="AE691" s="817"/>
      <c r="AF691" s="575"/>
      <c r="AG691" s="989"/>
      <c r="AH691" s="575"/>
      <c r="AI691" s="738">
        <f t="shared" si="35"/>
        <v>0</v>
      </c>
      <c r="AJ691" s="949">
        <v>0</v>
      </c>
      <c r="AK691" s="581">
        <f t="shared" ref="AK691:AK694" si="36">AI691+AJ691</f>
        <v>0</v>
      </c>
      <c r="AL691" s="746" t="s">
        <v>1441</v>
      </c>
      <c r="AM691" s="743">
        <f t="shared" ref="AM691:AM694" si="37">AL691-AK691</f>
        <v>1</v>
      </c>
    </row>
    <row r="692" spans="1:45" s="560" customFormat="1" hidden="1">
      <c r="A692" s="604" t="s">
        <v>525</v>
      </c>
      <c r="B692" s="319" t="s">
        <v>1122</v>
      </c>
      <c r="C692" s="590" t="s">
        <v>63</v>
      </c>
      <c r="D692" s="580"/>
      <c r="E692" s="981"/>
      <c r="F692" s="581"/>
      <c r="G692" s="581"/>
      <c r="H692" s="581"/>
      <c r="I692" s="949"/>
      <c r="J692" s="949"/>
      <c r="K692" s="949"/>
      <c r="L692" s="962"/>
      <c r="M692" s="949"/>
      <c r="N692" s="949"/>
      <c r="O692" s="949"/>
      <c r="P692" s="949"/>
      <c r="Q692" s="949"/>
      <c r="R692" s="949"/>
      <c r="S692" s="962"/>
      <c r="T692" s="949"/>
      <c r="U692" s="949"/>
      <c r="V692" s="949"/>
      <c r="W692" s="949"/>
      <c r="X692" s="949"/>
      <c r="Y692" s="949"/>
      <c r="Z692" s="962"/>
      <c r="AA692" s="949"/>
      <c r="AB692" s="583"/>
      <c r="AC692" s="583"/>
      <c r="AD692" s="575"/>
      <c r="AE692" s="817"/>
      <c r="AF692" s="575"/>
      <c r="AG692" s="989"/>
      <c r="AH692" s="575"/>
      <c r="AI692" s="738">
        <f t="shared" si="35"/>
        <v>0</v>
      </c>
      <c r="AJ692" s="949">
        <v>0</v>
      </c>
      <c r="AK692" s="581">
        <f t="shared" si="36"/>
        <v>0</v>
      </c>
      <c r="AL692" s="746" t="s">
        <v>1441</v>
      </c>
      <c r="AM692" s="743">
        <f t="shared" si="37"/>
        <v>1</v>
      </c>
    </row>
    <row r="693" spans="1:45" s="560" customFormat="1" ht="13.8" hidden="1">
      <c r="A693" s="604" t="s">
        <v>526</v>
      </c>
      <c r="B693" s="320" t="s">
        <v>1123</v>
      </c>
      <c r="C693" s="585" t="s">
        <v>63</v>
      </c>
      <c r="D693" s="580"/>
      <c r="E693" s="981"/>
      <c r="F693" s="581"/>
      <c r="G693" s="581"/>
      <c r="H693" s="581"/>
      <c r="I693" s="949"/>
      <c r="J693" s="949"/>
      <c r="K693" s="949"/>
      <c r="L693" s="962"/>
      <c r="M693" s="949"/>
      <c r="N693" s="949"/>
      <c r="O693" s="949"/>
      <c r="P693" s="949"/>
      <c r="Q693" s="949"/>
      <c r="R693" s="949"/>
      <c r="S693" s="962"/>
      <c r="T693" s="949"/>
      <c r="U693" s="949"/>
      <c r="V693" s="949"/>
      <c r="W693" s="949"/>
      <c r="X693" s="949"/>
      <c r="Y693" s="949"/>
      <c r="Z693" s="962"/>
      <c r="AA693" s="949"/>
      <c r="AB693" s="583"/>
      <c r="AC693" s="583"/>
      <c r="AD693" s="575"/>
      <c r="AE693" s="817"/>
      <c r="AF693" s="575"/>
      <c r="AG693" s="989"/>
      <c r="AH693" s="575"/>
      <c r="AI693" s="738">
        <f t="shared" si="35"/>
        <v>0</v>
      </c>
      <c r="AJ693" s="949">
        <v>0</v>
      </c>
      <c r="AK693" s="581">
        <f t="shared" si="36"/>
        <v>0</v>
      </c>
      <c r="AL693" s="746" t="s">
        <v>1441</v>
      </c>
      <c r="AM693" s="743">
        <f t="shared" si="37"/>
        <v>1</v>
      </c>
    </row>
    <row r="694" spans="1:45" s="560" customFormat="1" ht="13.8" hidden="1">
      <c r="A694" s="604" t="s">
        <v>527</v>
      </c>
      <c r="B694" s="320" t="s">
        <v>1124</v>
      </c>
      <c r="C694" s="585" t="s">
        <v>1436</v>
      </c>
      <c r="D694" s="580"/>
      <c r="E694" s="981"/>
      <c r="F694" s="581"/>
      <c r="G694" s="581"/>
      <c r="H694" s="581"/>
      <c r="I694" s="949"/>
      <c r="J694" s="949"/>
      <c r="K694" s="949"/>
      <c r="L694" s="962"/>
      <c r="M694" s="949"/>
      <c r="N694" s="949"/>
      <c r="O694" s="949"/>
      <c r="P694" s="949"/>
      <c r="Q694" s="949"/>
      <c r="R694" s="949"/>
      <c r="S694" s="962"/>
      <c r="T694" s="737"/>
      <c r="U694" s="737"/>
      <c r="V694" s="737"/>
      <c r="W694" s="737"/>
      <c r="X694" s="737"/>
      <c r="Y694" s="737"/>
      <c r="Z694" s="961"/>
      <c r="AA694" s="737"/>
      <c r="AB694" s="737"/>
      <c r="AC694" s="737"/>
      <c r="AD694" s="737"/>
      <c r="AE694" s="818"/>
      <c r="AF694" s="737"/>
      <c r="AG694" s="961"/>
      <c r="AH694" s="737"/>
      <c r="AI694" s="738">
        <f t="shared" si="35"/>
        <v>0</v>
      </c>
      <c r="AJ694" s="949">
        <v>1</v>
      </c>
      <c r="AK694" s="581">
        <f t="shared" si="36"/>
        <v>1</v>
      </c>
      <c r="AL694" s="737" t="s">
        <v>1441</v>
      </c>
      <c r="AM694" s="743">
        <f t="shared" si="37"/>
        <v>0</v>
      </c>
      <c r="AN694" s="740"/>
      <c r="AO694" s="737"/>
      <c r="AP694" s="737"/>
      <c r="AQ694" s="737"/>
      <c r="AR694" s="737"/>
      <c r="AS694" s="737"/>
    </row>
    <row r="695" spans="1:45" s="555" customFormat="1" ht="11.25" customHeight="1">
      <c r="A695" s="492" t="s">
        <v>38</v>
      </c>
      <c r="B695" s="608" t="s">
        <v>33</v>
      </c>
      <c r="C695" s="679"/>
      <c r="D695" s="680"/>
      <c r="E695" s="986"/>
      <c r="F695" s="682">
        <f t="shared" ref="F695" si="38">+ROUND(D695*E695,2)</f>
        <v>0</v>
      </c>
      <c r="G695" s="683">
        <v>0</v>
      </c>
      <c r="H695" s="684">
        <f t="shared" ref="H695" si="39">G695*E695</f>
        <v>0</v>
      </c>
      <c r="I695" s="633"/>
      <c r="J695" s="684">
        <f t="shared" ref="J695" si="40">I695*E695</f>
        <v>0</v>
      </c>
      <c r="K695" s="683">
        <f t="shared" ref="K695" si="41">G695+I695</f>
        <v>0</v>
      </c>
      <c r="L695" s="998">
        <f t="shared" ref="L695" si="42">K695*E695</f>
        <v>0</v>
      </c>
      <c r="M695" s="686" t="str">
        <f t="shared" ref="M695" si="43">+IF(C695=0,"",L695/F695)</f>
        <v/>
      </c>
      <c r="N695" s="687">
        <f t="shared" ref="N695" si="44">D695-K695</f>
        <v>0</v>
      </c>
      <c r="O695" s="688">
        <f t="shared" ref="O695" si="45">ROUND((N695*E695),2)</f>
        <v>0</v>
      </c>
      <c r="P695" s="689" t="str">
        <f t="shared" ref="P695" si="46">+IF(F695=0,"",O695/F695)</f>
        <v/>
      </c>
      <c r="Q695" s="199"/>
      <c r="S695" s="990"/>
      <c r="Z695" s="990"/>
      <c r="AE695" s="944"/>
      <c r="AG695" s="990"/>
    </row>
    <row r="696" spans="1:45" s="782" customFormat="1" ht="14.4" thickBot="1">
      <c r="A696" s="772" t="s">
        <v>529</v>
      </c>
      <c r="B696" s="733" t="s">
        <v>1126</v>
      </c>
      <c r="C696" s="734" t="s">
        <v>39</v>
      </c>
      <c r="D696" s="978">
        <v>10.4</v>
      </c>
      <c r="E696" s="983"/>
      <c r="F696" s="976">
        <v>10</v>
      </c>
      <c r="G696" s="976">
        <v>10</v>
      </c>
      <c r="H696" s="976">
        <v>10</v>
      </c>
      <c r="I696" s="977">
        <v>10</v>
      </c>
      <c r="J696" s="976">
        <v>10</v>
      </c>
      <c r="K696" s="791"/>
      <c r="L696" s="961"/>
      <c r="M696" s="793"/>
      <c r="N696" s="793"/>
      <c r="O696" s="793"/>
      <c r="P696" s="793"/>
      <c r="Q696" s="793"/>
      <c r="R696" s="793"/>
      <c r="S696" s="961"/>
      <c r="T696" s="793"/>
      <c r="U696" s="793"/>
      <c r="V696" s="793"/>
      <c r="W696" s="793"/>
      <c r="X696" s="793"/>
      <c r="Y696" s="793"/>
      <c r="Z696" s="961"/>
      <c r="AA696" s="793"/>
      <c r="AB696" s="793"/>
      <c r="AC696" s="793"/>
      <c r="AD696" s="793"/>
      <c r="AE696" s="818"/>
      <c r="AF696" s="793"/>
      <c r="AG696" s="961"/>
      <c r="AH696" s="793"/>
      <c r="AI696" s="839">
        <f t="shared" si="35"/>
        <v>60.4</v>
      </c>
      <c r="AJ696" s="777">
        <v>963.6</v>
      </c>
      <c r="AK696" s="778">
        <f>AI696+AJ696</f>
        <v>1024</v>
      </c>
      <c r="AL696" s="793" t="s">
        <v>1443</v>
      </c>
      <c r="AM696" s="781">
        <f>AN696-AK696</f>
        <v>0</v>
      </c>
      <c r="AN696" s="879">
        <v>1024</v>
      </c>
      <c r="AO696" s="793">
        <f>AL696-AN696</f>
        <v>-416.4</v>
      </c>
      <c r="AP696" s="793"/>
      <c r="AQ696" s="793"/>
      <c r="AR696" s="793"/>
      <c r="AS696" s="793"/>
    </row>
    <row r="697" spans="1:45" s="560" customFormat="1" ht="13.8" hidden="1" thickBot="1">
      <c r="A697" s="604" t="s">
        <v>530</v>
      </c>
      <c r="B697" s="610" t="s">
        <v>1127</v>
      </c>
      <c r="C697" s="530" t="s">
        <v>39</v>
      </c>
      <c r="D697" s="580"/>
      <c r="E697" s="981"/>
      <c r="F697" s="581"/>
      <c r="G697" s="581"/>
      <c r="H697" s="581"/>
      <c r="I697" s="581"/>
      <c r="J697" s="581"/>
      <c r="K697" s="581"/>
      <c r="L697" s="989"/>
      <c r="M697" s="575"/>
      <c r="N697" s="575"/>
      <c r="O697" s="575"/>
      <c r="P697" s="575"/>
      <c r="Q697" s="575"/>
      <c r="R697" s="575"/>
      <c r="S697" s="989"/>
      <c r="T697" s="575"/>
      <c r="U697" s="575"/>
      <c r="V697" s="575"/>
      <c r="W697" s="575"/>
      <c r="X697" s="575"/>
      <c r="Y697" s="575"/>
      <c r="Z697" s="989"/>
      <c r="AA697" s="575"/>
      <c r="AB697" s="575"/>
      <c r="AC697" s="575"/>
      <c r="AD697" s="575"/>
      <c r="AE697" s="827"/>
      <c r="AF697" s="575"/>
      <c r="AG697" s="989"/>
      <c r="AH697" s="842"/>
      <c r="AI697" s="738">
        <f t="shared" ref="AI697:AI750" si="47">ROUND((SUM(D697:AG697)),2)</f>
        <v>0</v>
      </c>
      <c r="AJ697" s="949">
        <v>0</v>
      </c>
      <c r="AK697" s="581">
        <f t="shared" ref="AK697:AK760" si="48">AI697+AJ697</f>
        <v>0</v>
      </c>
      <c r="AL697" s="746" t="s">
        <v>1444</v>
      </c>
      <c r="AM697" s="743">
        <f t="shared" ref="AM697:AM760" si="49">AL697-AK697</f>
        <v>759.49</v>
      </c>
      <c r="AO697" s="578">
        <f>AN696-AK696</f>
        <v>0</v>
      </c>
      <c r="AP697" s="560">
        <f>AO696/30</f>
        <v>-13.879999999999999</v>
      </c>
    </row>
    <row r="698" spans="1:45" s="560" customFormat="1" ht="13.8" hidden="1" thickBot="1">
      <c r="A698" s="492" t="s">
        <v>531</v>
      </c>
      <c r="B698" s="608" t="s">
        <v>1128</v>
      </c>
      <c r="C698" s="679"/>
      <c r="D698" s="580"/>
      <c r="E698" s="981"/>
      <c r="F698" s="581"/>
      <c r="G698" s="581"/>
      <c r="H698" s="581"/>
      <c r="I698" s="949"/>
      <c r="J698" s="949"/>
      <c r="K698" s="949"/>
      <c r="L698" s="989"/>
      <c r="M698" s="575"/>
      <c r="N698" s="575"/>
      <c r="O698" s="575"/>
      <c r="P698" s="575"/>
      <c r="Q698" s="575"/>
      <c r="R698" s="575"/>
      <c r="S698" s="989"/>
      <c r="T698" s="575"/>
      <c r="U698" s="575"/>
      <c r="V698" s="575"/>
      <c r="W698" s="575"/>
      <c r="X698" s="575"/>
      <c r="Y698" s="575"/>
      <c r="Z698" s="989"/>
      <c r="AA698" s="575"/>
      <c r="AB698" s="575"/>
      <c r="AC698" s="575"/>
      <c r="AD698" s="575"/>
      <c r="AE698" s="827"/>
      <c r="AF698" s="575"/>
      <c r="AG698" s="989"/>
      <c r="AH698" s="842"/>
      <c r="AI698" s="738">
        <f t="shared" si="47"/>
        <v>0</v>
      </c>
      <c r="AJ698" s="949">
        <v>0</v>
      </c>
      <c r="AK698" s="581">
        <f t="shared" si="48"/>
        <v>0</v>
      </c>
      <c r="AL698" s="746"/>
      <c r="AM698" s="743">
        <f t="shared" si="49"/>
        <v>0</v>
      </c>
    </row>
    <row r="699" spans="1:45" s="560" customFormat="1" ht="13.8" hidden="1" thickBot="1">
      <c r="A699" s="604" t="s">
        <v>532</v>
      </c>
      <c r="B699" s="604" t="s">
        <v>1128</v>
      </c>
      <c r="C699" s="530" t="s">
        <v>63</v>
      </c>
      <c r="D699" s="586"/>
      <c r="E699" s="982"/>
      <c r="F699" s="587"/>
      <c r="G699" s="587"/>
      <c r="H699" s="807"/>
      <c r="I699" s="588"/>
      <c r="J699" s="588"/>
      <c r="K699" s="588"/>
      <c r="L699" s="989"/>
      <c r="M699" s="575"/>
      <c r="N699" s="575"/>
      <c r="O699" s="575"/>
      <c r="P699" s="575"/>
      <c r="Q699" s="575"/>
      <c r="R699" s="575"/>
      <c r="S699" s="989"/>
      <c r="T699" s="575"/>
      <c r="U699" s="575"/>
      <c r="V699" s="575"/>
      <c r="W699" s="575"/>
      <c r="X699" s="575"/>
      <c r="Y699" s="575"/>
      <c r="Z699" s="989"/>
      <c r="AA699" s="575"/>
      <c r="AB699" s="575"/>
      <c r="AC699" s="575"/>
      <c r="AD699" s="575"/>
      <c r="AE699" s="827"/>
      <c r="AF699" s="575"/>
      <c r="AG699" s="989"/>
      <c r="AH699" s="842"/>
      <c r="AI699" s="738">
        <f t="shared" si="47"/>
        <v>0</v>
      </c>
      <c r="AJ699" s="949">
        <v>0</v>
      </c>
      <c r="AK699" s="581">
        <f t="shared" si="48"/>
        <v>0</v>
      </c>
      <c r="AL699" s="747" t="s">
        <v>1441</v>
      </c>
      <c r="AM699" s="743">
        <f t="shared" si="49"/>
        <v>1</v>
      </c>
    </row>
    <row r="700" spans="1:45" s="560" customFormat="1" ht="13.8" hidden="1" thickBot="1">
      <c r="A700" s="604" t="s">
        <v>533</v>
      </c>
      <c r="B700" s="610" t="s">
        <v>1130</v>
      </c>
      <c r="C700" s="530" t="s">
        <v>63</v>
      </c>
      <c r="D700" s="580"/>
      <c r="E700" s="981"/>
      <c r="F700" s="581"/>
      <c r="G700" s="581"/>
      <c r="H700" s="581"/>
      <c r="I700" s="949"/>
      <c r="J700" s="949"/>
      <c r="K700" s="949"/>
      <c r="L700" s="995"/>
      <c r="M700" s="575"/>
      <c r="N700" s="575"/>
      <c r="O700" s="575"/>
      <c r="P700" s="575"/>
      <c r="Q700" s="575"/>
      <c r="R700" s="575"/>
      <c r="S700" s="989"/>
      <c r="T700" s="575"/>
      <c r="U700" s="575"/>
      <c r="V700" s="575"/>
      <c r="W700" s="575"/>
      <c r="X700" s="575"/>
      <c r="Y700" s="575"/>
      <c r="Z700" s="989"/>
      <c r="AA700" s="575"/>
      <c r="AB700" s="575"/>
      <c r="AC700" s="575"/>
      <c r="AD700" s="575"/>
      <c r="AE700" s="827"/>
      <c r="AF700" s="575"/>
      <c r="AG700" s="989"/>
      <c r="AH700" s="842"/>
      <c r="AI700" s="738">
        <f t="shared" si="47"/>
        <v>0</v>
      </c>
      <c r="AJ700" s="949">
        <v>0</v>
      </c>
      <c r="AK700" s="581">
        <f t="shared" si="48"/>
        <v>0</v>
      </c>
      <c r="AL700" s="746" t="s">
        <v>1441</v>
      </c>
      <c r="AM700" s="743">
        <f t="shared" si="49"/>
        <v>1</v>
      </c>
    </row>
    <row r="701" spans="1:45" s="560" customFormat="1" ht="13.8" hidden="1" thickBot="1">
      <c r="A701" s="492" t="s">
        <v>534</v>
      </c>
      <c r="B701" s="608" t="s">
        <v>1131</v>
      </c>
      <c r="C701" s="679"/>
      <c r="D701" s="580"/>
      <c r="E701" s="981"/>
      <c r="F701" s="581"/>
      <c r="G701" s="581"/>
      <c r="H701" s="581"/>
      <c r="I701" s="949"/>
      <c r="J701" s="949"/>
      <c r="K701" s="949"/>
      <c r="L701" s="989"/>
      <c r="M701" s="575"/>
      <c r="N701" s="575"/>
      <c r="O701" s="575"/>
      <c r="P701" s="575"/>
      <c r="Q701" s="575"/>
      <c r="R701" s="575"/>
      <c r="S701" s="989"/>
      <c r="T701" s="575"/>
      <c r="U701" s="575"/>
      <c r="V701" s="575"/>
      <c r="W701" s="575"/>
      <c r="X701" s="575"/>
      <c r="Y701" s="575"/>
      <c r="Z701" s="989"/>
      <c r="AA701" s="575"/>
      <c r="AB701" s="575"/>
      <c r="AC701" s="575"/>
      <c r="AD701" s="575"/>
      <c r="AE701" s="827"/>
      <c r="AF701" s="575"/>
      <c r="AG701" s="989"/>
      <c r="AH701" s="842"/>
      <c r="AI701" s="738">
        <f t="shared" si="47"/>
        <v>0</v>
      </c>
      <c r="AJ701" s="949">
        <v>0</v>
      </c>
      <c r="AK701" s="581">
        <f t="shared" si="48"/>
        <v>0</v>
      </c>
      <c r="AL701" s="746"/>
      <c r="AM701" s="743">
        <f t="shared" si="49"/>
        <v>0</v>
      </c>
    </row>
    <row r="702" spans="1:45" s="560" customFormat="1" ht="13.8" hidden="1" thickBot="1">
      <c r="A702" s="604" t="s">
        <v>535</v>
      </c>
      <c r="B702" s="604" t="s">
        <v>1132</v>
      </c>
      <c r="C702" s="530" t="s">
        <v>36</v>
      </c>
      <c r="D702" s="580"/>
      <c r="E702" s="981"/>
      <c r="F702" s="581"/>
      <c r="G702" s="581"/>
      <c r="H702" s="581"/>
      <c r="I702" s="949"/>
      <c r="J702" s="949"/>
      <c r="K702" s="949"/>
      <c r="L702" s="989"/>
      <c r="M702" s="575"/>
      <c r="N702" s="575"/>
      <c r="O702" s="575"/>
      <c r="P702" s="575"/>
      <c r="Q702" s="575"/>
      <c r="R702" s="575"/>
      <c r="S702" s="989"/>
      <c r="T702" s="575"/>
      <c r="U702" s="575"/>
      <c r="V702" s="575"/>
      <c r="W702" s="575"/>
      <c r="X702" s="575"/>
      <c r="Y702" s="575"/>
      <c r="Z702" s="989"/>
      <c r="AA702" s="575"/>
      <c r="AB702" s="575"/>
      <c r="AC702" s="575"/>
      <c r="AD702" s="575"/>
      <c r="AE702" s="827"/>
      <c r="AF702" s="575"/>
      <c r="AG702" s="989"/>
      <c r="AH702" s="842"/>
      <c r="AI702" s="738">
        <f t="shared" si="47"/>
        <v>0</v>
      </c>
      <c r="AJ702" s="949">
        <v>656.8</v>
      </c>
      <c r="AK702" s="581">
        <f t="shared" si="48"/>
        <v>656.8</v>
      </c>
      <c r="AL702" s="746" t="s">
        <v>1442</v>
      </c>
      <c r="AM702" s="743">
        <f t="shared" si="49"/>
        <v>0</v>
      </c>
    </row>
    <row r="703" spans="1:45" s="560" customFormat="1" ht="13.8" hidden="1" thickBot="1">
      <c r="A703" s="604" t="s">
        <v>536</v>
      </c>
      <c r="B703" s="604" t="s">
        <v>1805</v>
      </c>
      <c r="C703" s="530" t="s">
        <v>36</v>
      </c>
      <c r="D703" s="580"/>
      <c r="E703" s="981"/>
      <c r="F703" s="581"/>
      <c r="G703" s="581"/>
      <c r="H703" s="581"/>
      <c r="I703" s="949"/>
      <c r="J703" s="949"/>
      <c r="K703" s="949"/>
      <c r="L703" s="989"/>
      <c r="M703" s="575"/>
      <c r="N703" s="575"/>
      <c r="O703" s="575"/>
      <c r="P703" s="575"/>
      <c r="Q703" s="575"/>
      <c r="R703" s="575"/>
      <c r="S703" s="989"/>
      <c r="T703" s="575"/>
      <c r="U703" s="575"/>
      <c r="V703" s="575"/>
      <c r="W703" s="575"/>
      <c r="X703" s="810"/>
      <c r="Y703" s="575"/>
      <c r="Z703" s="989"/>
      <c r="AA703" s="575"/>
      <c r="AB703" s="575"/>
      <c r="AC703" s="575"/>
      <c r="AD703" s="575"/>
      <c r="AE703" s="827"/>
      <c r="AF703" s="575"/>
      <c r="AG703" s="989"/>
      <c r="AH703" s="842"/>
      <c r="AI703" s="738">
        <f t="shared" si="47"/>
        <v>0</v>
      </c>
      <c r="AJ703" s="949">
        <v>154.35</v>
      </c>
      <c r="AK703" s="581">
        <f>AI703+AJ703</f>
        <v>154.35</v>
      </c>
      <c r="AL703" s="746" t="s">
        <v>1442</v>
      </c>
      <c r="AM703" s="743">
        <f>AL703-AK703</f>
        <v>502.44999999999993</v>
      </c>
      <c r="AO703" s="560">
        <f>AM696/15</f>
        <v>0</v>
      </c>
    </row>
    <row r="704" spans="1:45" s="579" customFormat="1" ht="13.8" hidden="1" thickBot="1">
      <c r="A704" s="492" t="s">
        <v>537</v>
      </c>
      <c r="B704" s="608" t="s">
        <v>1133</v>
      </c>
      <c r="C704" s="679"/>
      <c r="D704" s="580"/>
      <c r="E704" s="981"/>
      <c r="F704" s="581"/>
      <c r="G704" s="581"/>
      <c r="H704" s="581"/>
      <c r="I704" s="949"/>
      <c r="J704" s="949"/>
      <c r="K704" s="949"/>
      <c r="L704" s="989"/>
      <c r="M704" s="575"/>
      <c r="N704" s="575"/>
      <c r="O704" s="575"/>
      <c r="P704" s="575"/>
      <c r="Q704" s="575"/>
      <c r="R704" s="575"/>
      <c r="S704" s="989"/>
      <c r="T704" s="575"/>
      <c r="U704" s="575"/>
      <c r="V704" s="575"/>
      <c r="W704" s="575"/>
      <c r="X704" s="575"/>
      <c r="Y704" s="575"/>
      <c r="Z704" s="989"/>
      <c r="AA704" s="575"/>
      <c r="AB704" s="575"/>
      <c r="AC704" s="575"/>
      <c r="AD704" s="575"/>
      <c r="AE704" s="827"/>
      <c r="AF704" s="575"/>
      <c r="AG704" s="989"/>
      <c r="AH704" s="842"/>
      <c r="AI704" s="738">
        <f t="shared" si="47"/>
        <v>0</v>
      </c>
      <c r="AJ704" s="949">
        <v>0</v>
      </c>
      <c r="AK704" s="581">
        <f t="shared" si="48"/>
        <v>0</v>
      </c>
      <c r="AL704" s="746"/>
      <c r="AM704" s="743">
        <f t="shared" si="49"/>
        <v>0</v>
      </c>
    </row>
    <row r="705" spans="1:39" s="560" customFormat="1" ht="13.8" hidden="1" thickBot="1">
      <c r="A705" s="604" t="s">
        <v>538</v>
      </c>
      <c r="B705" s="610" t="s">
        <v>1134</v>
      </c>
      <c r="C705" s="530" t="s">
        <v>63</v>
      </c>
      <c r="D705" s="920"/>
      <c r="E705" s="962"/>
      <c r="F705" s="949"/>
      <c r="G705" s="949"/>
      <c r="H705" s="581"/>
      <c r="I705" s="949"/>
      <c r="J705" s="949"/>
      <c r="K705" s="949"/>
      <c r="L705" s="989"/>
      <c r="M705" s="575"/>
      <c r="N705" s="575"/>
      <c r="O705" s="575"/>
      <c r="P705" s="575"/>
      <c r="Q705" s="575"/>
      <c r="R705" s="575"/>
      <c r="S705" s="989"/>
      <c r="T705" s="575"/>
      <c r="U705" s="575"/>
      <c r="V705" s="575"/>
      <c r="W705" s="575"/>
      <c r="X705" s="575"/>
      <c r="Y705" s="575"/>
      <c r="Z705" s="989"/>
      <c r="AA705" s="575"/>
      <c r="AB705" s="575"/>
      <c r="AC705" s="575"/>
      <c r="AD705" s="575"/>
      <c r="AE705" s="827"/>
      <c r="AF705" s="575"/>
      <c r="AG705" s="989"/>
      <c r="AH705" s="842"/>
      <c r="AI705" s="738">
        <f t="shared" si="47"/>
        <v>0</v>
      </c>
      <c r="AJ705" s="949">
        <v>0</v>
      </c>
      <c r="AK705" s="581">
        <f t="shared" si="48"/>
        <v>0</v>
      </c>
      <c r="AL705" s="746" t="s">
        <v>1441</v>
      </c>
      <c r="AM705" s="743">
        <f t="shared" si="49"/>
        <v>1</v>
      </c>
    </row>
    <row r="706" spans="1:39" s="560" customFormat="1" ht="13.8" hidden="1" thickBot="1">
      <c r="A706" s="604" t="s">
        <v>539</v>
      </c>
      <c r="B706" s="610" t="s">
        <v>1135</v>
      </c>
      <c r="C706" s="530" t="s">
        <v>35</v>
      </c>
      <c r="D706" s="920"/>
      <c r="E706" s="962"/>
      <c r="F706" s="949"/>
      <c r="G706" s="949"/>
      <c r="H706" s="581"/>
      <c r="I706" s="949"/>
      <c r="J706" s="949"/>
      <c r="K706" s="949"/>
      <c r="L706" s="989"/>
      <c r="M706" s="575"/>
      <c r="N706" s="575"/>
      <c r="O706" s="575"/>
      <c r="P706" s="575"/>
      <c r="Q706" s="575"/>
      <c r="R706" s="575"/>
      <c r="S706" s="989"/>
      <c r="T706" s="575"/>
      <c r="U706" s="575"/>
      <c r="V706" s="575"/>
      <c r="W706" s="575"/>
      <c r="X706" s="575"/>
      <c r="Y706" s="575"/>
      <c r="Z706" s="989"/>
      <c r="AA706" s="575"/>
      <c r="AB706" s="575"/>
      <c r="AC706" s="575"/>
      <c r="AD706" s="575"/>
      <c r="AE706" s="827"/>
      <c r="AF706" s="575"/>
      <c r="AG706" s="989"/>
      <c r="AH706" s="842"/>
      <c r="AI706" s="738">
        <f t="shared" si="47"/>
        <v>0</v>
      </c>
      <c r="AJ706" s="949">
        <v>0</v>
      </c>
      <c r="AK706" s="581">
        <f t="shared" si="48"/>
        <v>0</v>
      </c>
      <c r="AL706" s="746" t="s">
        <v>1445</v>
      </c>
      <c r="AM706" s="743">
        <f t="shared" si="49"/>
        <v>30</v>
      </c>
    </row>
    <row r="707" spans="1:39" s="579" customFormat="1" ht="13.8" hidden="1" thickBot="1">
      <c r="A707" s="604" t="s">
        <v>540</v>
      </c>
      <c r="B707" s="610" t="s">
        <v>1136</v>
      </c>
      <c r="C707" s="530" t="s">
        <v>63</v>
      </c>
      <c r="D707" s="920"/>
      <c r="E707" s="962"/>
      <c r="F707" s="949"/>
      <c r="G707" s="949"/>
      <c r="H707" s="581"/>
      <c r="I707" s="949"/>
      <c r="J707" s="949"/>
      <c r="K707" s="949"/>
      <c r="L707" s="989"/>
      <c r="M707" s="575"/>
      <c r="N707" s="575"/>
      <c r="O707" s="575"/>
      <c r="P707" s="575"/>
      <c r="Q707" s="575"/>
      <c r="R707" s="575"/>
      <c r="S707" s="989"/>
      <c r="T707" s="575"/>
      <c r="U707" s="575"/>
      <c r="V707" s="575"/>
      <c r="W707" s="575"/>
      <c r="X707" s="575"/>
      <c r="Y707" s="575"/>
      <c r="Z707" s="989"/>
      <c r="AA707" s="575"/>
      <c r="AB707" s="575"/>
      <c r="AC707" s="575"/>
      <c r="AD707" s="575"/>
      <c r="AE707" s="827"/>
      <c r="AF707" s="575"/>
      <c r="AG707" s="989"/>
      <c r="AH707" s="842"/>
      <c r="AI707" s="738">
        <f t="shared" si="47"/>
        <v>0</v>
      </c>
      <c r="AJ707" s="949">
        <v>0</v>
      </c>
      <c r="AK707" s="581">
        <f t="shared" si="48"/>
        <v>0</v>
      </c>
      <c r="AL707" s="746" t="s">
        <v>1441</v>
      </c>
      <c r="AM707" s="743">
        <f t="shared" si="49"/>
        <v>1</v>
      </c>
    </row>
    <row r="708" spans="1:39" s="560" customFormat="1" ht="13.8" hidden="1" thickBot="1">
      <c r="A708" s="604" t="s">
        <v>541</v>
      </c>
      <c r="B708" s="610" t="s">
        <v>1137</v>
      </c>
      <c r="C708" s="530" t="s">
        <v>63</v>
      </c>
      <c r="D708" s="920"/>
      <c r="E708" s="962"/>
      <c r="F708" s="949"/>
      <c r="G708" s="949"/>
      <c r="H708" s="581"/>
      <c r="I708" s="949"/>
      <c r="J708" s="949"/>
      <c r="K708" s="949"/>
      <c r="L708" s="989"/>
      <c r="M708" s="575"/>
      <c r="N708" s="575"/>
      <c r="O708" s="575"/>
      <c r="P708" s="575"/>
      <c r="Q708" s="575"/>
      <c r="R708" s="575"/>
      <c r="S708" s="989"/>
      <c r="T708" s="575"/>
      <c r="U708" s="575"/>
      <c r="V708" s="575"/>
      <c r="W708" s="575"/>
      <c r="X708" s="575"/>
      <c r="Y708" s="575"/>
      <c r="Z708" s="989"/>
      <c r="AA708" s="575"/>
      <c r="AB708" s="575"/>
      <c r="AC708" s="575"/>
      <c r="AD708" s="810"/>
      <c r="AE708" s="827"/>
      <c r="AF708" s="575"/>
      <c r="AG708" s="989"/>
      <c r="AH708" s="842"/>
      <c r="AI708" s="738">
        <f t="shared" si="47"/>
        <v>0</v>
      </c>
      <c r="AJ708" s="949">
        <v>0</v>
      </c>
      <c r="AK708" s="581">
        <f t="shared" si="48"/>
        <v>0</v>
      </c>
      <c r="AL708" s="746" t="s">
        <v>1441</v>
      </c>
      <c r="AM708" s="743">
        <f t="shared" si="49"/>
        <v>1</v>
      </c>
    </row>
    <row r="709" spans="1:39" s="560" customFormat="1" ht="13.8" hidden="1" thickBot="1">
      <c r="A709" s="604" t="s">
        <v>542</v>
      </c>
      <c r="B709" s="610" t="s">
        <v>1138</v>
      </c>
      <c r="C709" s="530" t="s">
        <v>63</v>
      </c>
      <c r="D709" s="920"/>
      <c r="E709" s="962"/>
      <c r="F709" s="949"/>
      <c r="G709" s="949"/>
      <c r="H709" s="581"/>
      <c r="I709" s="949"/>
      <c r="J709" s="949"/>
      <c r="K709" s="949"/>
      <c r="L709" s="989"/>
      <c r="M709" s="575"/>
      <c r="N709" s="575"/>
      <c r="O709" s="575"/>
      <c r="P709" s="575"/>
      <c r="Q709" s="575"/>
      <c r="R709" s="575"/>
      <c r="S709" s="989"/>
      <c r="T709" s="575"/>
      <c r="U709" s="575"/>
      <c r="V709" s="575"/>
      <c r="W709" s="575"/>
      <c r="X709" s="575"/>
      <c r="Y709" s="575"/>
      <c r="Z709" s="989"/>
      <c r="AA709" s="575"/>
      <c r="AB709" s="575"/>
      <c r="AC709" s="575"/>
      <c r="AD709" s="575"/>
      <c r="AE709" s="827"/>
      <c r="AF709" s="575"/>
      <c r="AG709" s="989"/>
      <c r="AH709" s="842"/>
      <c r="AI709" s="738">
        <f t="shared" si="47"/>
        <v>0</v>
      </c>
      <c r="AJ709" s="949">
        <v>0</v>
      </c>
      <c r="AK709" s="581">
        <f t="shared" si="48"/>
        <v>0</v>
      </c>
      <c r="AL709" s="746" t="s">
        <v>1441</v>
      </c>
      <c r="AM709" s="743">
        <f t="shared" si="49"/>
        <v>1</v>
      </c>
    </row>
    <row r="710" spans="1:39" s="560" customFormat="1" ht="13.8" hidden="1" thickBot="1">
      <c r="A710" s="604" t="s">
        <v>543</v>
      </c>
      <c r="B710" s="610" t="s">
        <v>1139</v>
      </c>
      <c r="C710" s="530" t="s">
        <v>63</v>
      </c>
      <c r="D710" s="949"/>
      <c r="E710" s="960"/>
      <c r="F710" s="949"/>
      <c r="G710" s="588"/>
      <c r="H710" s="587"/>
      <c r="I710" s="588"/>
      <c r="J710" s="588"/>
      <c r="K710" s="588"/>
      <c r="L710" s="989"/>
      <c r="M710" s="575"/>
      <c r="N710" s="575"/>
      <c r="O710" s="575"/>
      <c r="P710" s="575"/>
      <c r="Q710" s="575"/>
      <c r="R710" s="575"/>
      <c r="S710" s="989"/>
      <c r="T710" s="575"/>
      <c r="U710" s="575"/>
      <c r="V710" s="575"/>
      <c r="W710" s="575"/>
      <c r="X710" s="575"/>
      <c r="Y710" s="575"/>
      <c r="Z710" s="989"/>
      <c r="AA710" s="575"/>
      <c r="AB710" s="575"/>
      <c r="AC710" s="575"/>
      <c r="AD710" s="575"/>
      <c r="AE710" s="827"/>
      <c r="AF710" s="575"/>
      <c r="AG710" s="989"/>
      <c r="AH710" s="842"/>
      <c r="AI710" s="738">
        <f t="shared" si="47"/>
        <v>0</v>
      </c>
      <c r="AJ710" s="949">
        <v>0</v>
      </c>
      <c r="AK710" s="581">
        <f t="shared" si="48"/>
        <v>0</v>
      </c>
      <c r="AL710" s="747" t="s">
        <v>1441</v>
      </c>
      <c r="AM710" s="743">
        <f t="shared" si="49"/>
        <v>1</v>
      </c>
    </row>
    <row r="711" spans="1:39" s="560" customFormat="1">
      <c r="A711" s="606" t="s">
        <v>41</v>
      </c>
      <c r="B711" s="606" t="s">
        <v>1140</v>
      </c>
      <c r="C711" s="679"/>
      <c r="D711" s="580"/>
      <c r="E711" s="981"/>
      <c r="F711" s="581"/>
      <c r="G711" s="581"/>
      <c r="H711" s="581"/>
      <c r="I711" s="949"/>
      <c r="J711" s="949"/>
      <c r="K711" s="949"/>
      <c r="L711" s="989"/>
      <c r="M711" s="575"/>
      <c r="N711" s="575"/>
      <c r="O711" s="575"/>
      <c r="P711" s="575"/>
      <c r="Q711" s="575"/>
      <c r="R711" s="575"/>
      <c r="S711" s="989"/>
      <c r="T711" s="575"/>
      <c r="U711" s="575"/>
      <c r="V711" s="575"/>
      <c r="W711" s="575"/>
      <c r="X711" s="575"/>
      <c r="Y711" s="575"/>
      <c r="Z711" s="989"/>
      <c r="AA711" s="575"/>
      <c r="AB711" s="575"/>
      <c r="AC711" s="575"/>
      <c r="AD711" s="575"/>
      <c r="AE711" s="827"/>
      <c r="AF711" s="575"/>
      <c r="AG711" s="989"/>
      <c r="AH711" s="842"/>
      <c r="AI711" s="738">
        <f t="shared" si="47"/>
        <v>0</v>
      </c>
      <c r="AJ711" s="949">
        <v>0</v>
      </c>
      <c r="AK711" s="581">
        <f t="shared" si="48"/>
        <v>0</v>
      </c>
      <c r="AL711" s="746"/>
      <c r="AM711" s="743">
        <f t="shared" si="49"/>
        <v>0</v>
      </c>
    </row>
    <row r="712" spans="1:39" s="579" customFormat="1" hidden="1">
      <c r="A712" s="492" t="s">
        <v>42</v>
      </c>
      <c r="B712" s="608" t="s">
        <v>1141</v>
      </c>
      <c r="C712" s="679"/>
      <c r="D712" s="580"/>
      <c r="E712" s="981"/>
      <c r="F712" s="581"/>
      <c r="G712" s="581"/>
      <c r="H712" s="581"/>
      <c r="I712" s="949"/>
      <c r="J712" s="949"/>
      <c r="K712" s="949"/>
      <c r="L712" s="989"/>
      <c r="M712" s="575"/>
      <c r="N712" s="575"/>
      <c r="O712" s="575"/>
      <c r="P712" s="575"/>
      <c r="Q712" s="575"/>
      <c r="R712" s="575"/>
      <c r="S712" s="989"/>
      <c r="T712" s="575"/>
      <c r="U712" s="575"/>
      <c r="V712" s="575"/>
      <c r="W712" s="575"/>
      <c r="X712" s="575"/>
      <c r="Y712" s="575"/>
      <c r="Z712" s="989"/>
      <c r="AA712" s="575"/>
      <c r="AB712" s="575"/>
      <c r="AC712" s="575"/>
      <c r="AD712" s="575"/>
      <c r="AE712" s="827"/>
      <c r="AF712" s="575"/>
      <c r="AG712" s="989"/>
      <c r="AH712" s="842"/>
      <c r="AI712" s="738">
        <f t="shared" si="47"/>
        <v>0</v>
      </c>
      <c r="AJ712" s="949">
        <v>0</v>
      </c>
      <c r="AK712" s="581">
        <f t="shared" si="48"/>
        <v>0</v>
      </c>
      <c r="AL712" s="746"/>
      <c r="AM712" s="743">
        <f t="shared" si="49"/>
        <v>0</v>
      </c>
    </row>
    <row r="713" spans="1:39" s="560" customFormat="1" hidden="1">
      <c r="A713" s="607" t="s">
        <v>52</v>
      </c>
      <c r="B713" s="607" t="s">
        <v>45</v>
      </c>
      <c r="C713" s="679"/>
      <c r="D713" s="580"/>
      <c r="E713" s="981"/>
      <c r="F713" s="581"/>
      <c r="G713" s="581"/>
      <c r="H713" s="581"/>
      <c r="I713" s="949"/>
      <c r="J713" s="949"/>
      <c r="K713" s="949"/>
      <c r="L713" s="989"/>
      <c r="M713" s="575"/>
      <c r="N713" s="575"/>
      <c r="O713" s="575"/>
      <c r="P713" s="575"/>
      <c r="Q713" s="575"/>
      <c r="R713" s="575"/>
      <c r="S713" s="989"/>
      <c r="T713" s="575"/>
      <c r="U713" s="575"/>
      <c r="V713" s="575"/>
      <c r="W713" s="575"/>
      <c r="X713" s="575"/>
      <c r="Y713" s="575"/>
      <c r="Z713" s="989"/>
      <c r="AA713" s="575"/>
      <c r="AB713" s="575"/>
      <c r="AC713" s="575"/>
      <c r="AD713" s="575"/>
      <c r="AE713" s="827"/>
      <c r="AF713" s="575"/>
      <c r="AG713" s="989"/>
      <c r="AH713" s="842"/>
      <c r="AI713" s="738">
        <f t="shared" si="47"/>
        <v>0</v>
      </c>
      <c r="AJ713" s="949">
        <v>0</v>
      </c>
      <c r="AK713" s="581">
        <f t="shared" si="48"/>
        <v>0</v>
      </c>
      <c r="AL713" s="746"/>
      <c r="AM713" s="743">
        <f t="shared" si="49"/>
        <v>0</v>
      </c>
    </row>
    <row r="714" spans="1:39" s="560" customFormat="1" hidden="1">
      <c r="A714" s="604" t="s">
        <v>544</v>
      </c>
      <c r="B714" s="604" t="s">
        <v>1142</v>
      </c>
      <c r="C714" s="530" t="s">
        <v>39</v>
      </c>
      <c r="D714" s="580"/>
      <c r="E714" s="981"/>
      <c r="F714" s="581"/>
      <c r="G714" s="581"/>
      <c r="H714" s="581"/>
      <c r="I714" s="949"/>
      <c r="J714" s="949"/>
      <c r="K714" s="949"/>
      <c r="L714" s="989"/>
      <c r="M714" s="575"/>
      <c r="N714" s="575"/>
      <c r="O714" s="575"/>
      <c r="P714" s="575"/>
      <c r="Q714" s="575"/>
      <c r="R714" s="575"/>
      <c r="S714" s="989"/>
      <c r="T714" s="575"/>
      <c r="U714" s="575"/>
      <c r="V714" s="575"/>
      <c r="W714" s="575"/>
      <c r="X714" s="575"/>
      <c r="Y714" s="575"/>
      <c r="Z714" s="989"/>
      <c r="AA714" s="575"/>
      <c r="AB714" s="575"/>
      <c r="AC714" s="575"/>
      <c r="AD714" s="575"/>
      <c r="AE714" s="827"/>
      <c r="AF714" s="575"/>
      <c r="AG714" s="989"/>
      <c r="AH714" s="842"/>
      <c r="AI714" s="738">
        <f t="shared" si="47"/>
        <v>0</v>
      </c>
      <c r="AJ714" s="949">
        <v>0</v>
      </c>
      <c r="AK714" s="581">
        <f t="shared" si="48"/>
        <v>0</v>
      </c>
      <c r="AL714" s="746" t="s">
        <v>1446</v>
      </c>
      <c r="AM714" s="743">
        <f t="shared" si="49"/>
        <v>27.29</v>
      </c>
    </row>
    <row r="715" spans="1:39" s="560" customFormat="1" hidden="1">
      <c r="A715" s="604" t="s">
        <v>545</v>
      </c>
      <c r="B715" s="604" t="s">
        <v>1143</v>
      </c>
      <c r="C715" s="530" t="s">
        <v>39</v>
      </c>
      <c r="D715" s="580"/>
      <c r="E715" s="981"/>
      <c r="F715" s="581"/>
      <c r="G715" s="581"/>
      <c r="H715" s="581"/>
      <c r="I715" s="949"/>
      <c r="J715" s="949"/>
      <c r="K715" s="949"/>
      <c r="L715" s="989"/>
      <c r="M715" s="575"/>
      <c r="N715" s="575"/>
      <c r="O715" s="575"/>
      <c r="P715" s="575"/>
      <c r="Q715" s="575"/>
      <c r="R715" s="575"/>
      <c r="S715" s="989"/>
      <c r="T715" s="575"/>
      <c r="U715" s="575"/>
      <c r="V715" s="575"/>
      <c r="W715" s="575"/>
      <c r="X715" s="575"/>
      <c r="Y715" s="575"/>
      <c r="Z715" s="989"/>
      <c r="AA715" s="575"/>
      <c r="AB715" s="575"/>
      <c r="AC715" s="575"/>
      <c r="AD715" s="575"/>
      <c r="AE715" s="827"/>
      <c r="AF715" s="575"/>
      <c r="AG715" s="989"/>
      <c r="AH715" s="842"/>
      <c r="AI715" s="738">
        <f t="shared" si="47"/>
        <v>0</v>
      </c>
      <c r="AJ715" s="949">
        <v>0</v>
      </c>
      <c r="AK715" s="581">
        <f t="shared" si="48"/>
        <v>0</v>
      </c>
      <c r="AL715" s="746" t="s">
        <v>1447</v>
      </c>
      <c r="AM715" s="743">
        <f t="shared" si="49"/>
        <v>8.75</v>
      </c>
    </row>
    <row r="716" spans="1:39" s="560" customFormat="1" hidden="1">
      <c r="A716" s="604" t="s">
        <v>546</v>
      </c>
      <c r="B716" s="604" t="s">
        <v>1144</v>
      </c>
      <c r="C716" s="530" t="s">
        <v>39</v>
      </c>
      <c r="D716" s="580"/>
      <c r="E716" s="981"/>
      <c r="F716" s="581"/>
      <c r="G716" s="581"/>
      <c r="H716" s="581"/>
      <c r="I716" s="949"/>
      <c r="J716" s="949"/>
      <c r="K716" s="949"/>
      <c r="L716" s="989"/>
      <c r="M716" s="575"/>
      <c r="N716" s="575"/>
      <c r="O716" s="575"/>
      <c r="P716" s="575"/>
      <c r="Q716" s="575"/>
      <c r="R716" s="575"/>
      <c r="S716" s="989"/>
      <c r="T716" s="575"/>
      <c r="U716" s="575"/>
      <c r="V716" s="575"/>
      <c r="W716" s="575"/>
      <c r="X716" s="575"/>
      <c r="Y716" s="575"/>
      <c r="Z716" s="989"/>
      <c r="AA716" s="575"/>
      <c r="AB716" s="575"/>
      <c r="AC716" s="575"/>
      <c r="AD716" s="575"/>
      <c r="AE716" s="827"/>
      <c r="AF716" s="575"/>
      <c r="AG716" s="989"/>
      <c r="AH716" s="842"/>
      <c r="AI716" s="738">
        <f t="shared" si="47"/>
        <v>0</v>
      </c>
      <c r="AJ716" s="949">
        <v>0</v>
      </c>
      <c r="AK716" s="581">
        <f t="shared" si="48"/>
        <v>0</v>
      </c>
      <c r="AL716" s="746" t="s">
        <v>1448</v>
      </c>
      <c r="AM716" s="743">
        <f t="shared" si="49"/>
        <v>13.99</v>
      </c>
    </row>
    <row r="717" spans="1:39" s="560" customFormat="1" hidden="1">
      <c r="A717" s="604" t="s">
        <v>547</v>
      </c>
      <c r="B717" s="604" t="s">
        <v>1145</v>
      </c>
      <c r="C717" s="530" t="s">
        <v>36</v>
      </c>
      <c r="D717" s="580"/>
      <c r="E717" s="981"/>
      <c r="F717" s="581"/>
      <c r="G717" s="581"/>
      <c r="H717" s="581"/>
      <c r="I717" s="949"/>
      <c r="J717" s="949"/>
      <c r="K717" s="949"/>
      <c r="L717" s="989"/>
      <c r="M717" s="575"/>
      <c r="N717" s="575"/>
      <c r="O717" s="575"/>
      <c r="P717" s="575"/>
      <c r="Q717" s="575"/>
      <c r="R717" s="575"/>
      <c r="S717" s="989"/>
      <c r="T717" s="575"/>
      <c r="U717" s="575"/>
      <c r="V717" s="575"/>
      <c r="W717" s="575"/>
      <c r="X717" s="575"/>
      <c r="Y717" s="575"/>
      <c r="Z717" s="989"/>
      <c r="AA717" s="575"/>
      <c r="AB717" s="575"/>
      <c r="AC717" s="575"/>
      <c r="AD717" s="575"/>
      <c r="AE717" s="827"/>
      <c r="AF717" s="575"/>
      <c r="AG717" s="989"/>
      <c r="AH717" s="842"/>
      <c r="AI717" s="738">
        <f t="shared" si="47"/>
        <v>0</v>
      </c>
      <c r="AJ717" s="949">
        <v>0</v>
      </c>
      <c r="AK717" s="581">
        <f t="shared" si="48"/>
        <v>0</v>
      </c>
      <c r="AL717" s="746" t="s">
        <v>1449</v>
      </c>
      <c r="AM717" s="743">
        <f t="shared" si="49"/>
        <v>26.03</v>
      </c>
    </row>
    <row r="718" spans="1:39" s="560" customFormat="1" hidden="1">
      <c r="A718" s="604" t="s">
        <v>548</v>
      </c>
      <c r="B718" s="604" t="s">
        <v>1146</v>
      </c>
      <c r="C718" s="530" t="s">
        <v>39</v>
      </c>
      <c r="D718" s="586"/>
      <c r="E718" s="982"/>
      <c r="F718" s="587"/>
      <c r="G718" s="587"/>
      <c r="H718" s="587"/>
      <c r="I718" s="588"/>
      <c r="J718" s="588"/>
      <c r="K718" s="588"/>
      <c r="L718" s="989"/>
      <c r="M718" s="575"/>
      <c r="N718" s="575"/>
      <c r="O718" s="575"/>
      <c r="P718" s="575"/>
      <c r="Q718" s="575"/>
      <c r="R718" s="575"/>
      <c r="S718" s="989"/>
      <c r="T718" s="575"/>
      <c r="U718" s="575"/>
      <c r="V718" s="575"/>
      <c r="W718" s="575"/>
      <c r="X718" s="575"/>
      <c r="Y718" s="575"/>
      <c r="Z718" s="989"/>
      <c r="AA718" s="575"/>
      <c r="AB718" s="575"/>
      <c r="AC718" s="575"/>
      <c r="AD718" s="575"/>
      <c r="AE718" s="827"/>
      <c r="AF718" s="575"/>
      <c r="AG718" s="989"/>
      <c r="AH718" s="842"/>
      <c r="AI718" s="738">
        <f t="shared" si="47"/>
        <v>0</v>
      </c>
      <c r="AJ718" s="949">
        <v>0</v>
      </c>
      <c r="AK718" s="581">
        <f t="shared" si="48"/>
        <v>0</v>
      </c>
      <c r="AL718" s="747" t="s">
        <v>1450</v>
      </c>
      <c r="AM718" s="743">
        <f t="shared" si="49"/>
        <v>27.56</v>
      </c>
    </row>
    <row r="719" spans="1:39" s="560" customFormat="1" hidden="1">
      <c r="A719" s="604" t="s">
        <v>549</v>
      </c>
      <c r="B719" s="604" t="s">
        <v>1147</v>
      </c>
      <c r="C719" s="614" t="s">
        <v>39</v>
      </c>
      <c r="D719" s="580"/>
      <c r="E719" s="981"/>
      <c r="F719" s="581"/>
      <c r="G719" s="581"/>
      <c r="H719" s="581"/>
      <c r="I719" s="949"/>
      <c r="J719" s="949"/>
      <c r="K719" s="949"/>
      <c r="L719" s="989"/>
      <c r="M719" s="575"/>
      <c r="N719" s="575"/>
      <c r="O719" s="575"/>
      <c r="P719" s="575"/>
      <c r="Q719" s="575"/>
      <c r="R719" s="575"/>
      <c r="S719" s="989"/>
      <c r="T719" s="575"/>
      <c r="U719" s="575"/>
      <c r="V719" s="575"/>
      <c r="W719" s="575"/>
      <c r="X719" s="575"/>
      <c r="Y719" s="575"/>
      <c r="Z719" s="989"/>
      <c r="AA719" s="575"/>
      <c r="AB719" s="575"/>
      <c r="AC719" s="575"/>
      <c r="AD719" s="575"/>
      <c r="AE719" s="827"/>
      <c r="AF719" s="575"/>
      <c r="AG719" s="989"/>
      <c r="AH719" s="842"/>
      <c r="AI719" s="738">
        <f t="shared" si="47"/>
        <v>0</v>
      </c>
      <c r="AJ719" s="949">
        <v>0</v>
      </c>
      <c r="AK719" s="581">
        <f t="shared" si="48"/>
        <v>0</v>
      </c>
      <c r="AL719" s="746" t="s">
        <v>1450</v>
      </c>
      <c r="AM719" s="743">
        <f t="shared" si="49"/>
        <v>27.56</v>
      </c>
    </row>
    <row r="720" spans="1:39" s="560" customFormat="1" hidden="1">
      <c r="A720" s="607" t="s">
        <v>550</v>
      </c>
      <c r="B720" s="607" t="s">
        <v>1148</v>
      </c>
      <c r="C720" s="679"/>
      <c r="D720" s="580"/>
      <c r="E720" s="981"/>
      <c r="F720" s="581"/>
      <c r="G720" s="581"/>
      <c r="H720" s="581"/>
      <c r="I720" s="949"/>
      <c r="J720" s="949"/>
      <c r="K720" s="949"/>
      <c r="L720" s="989"/>
      <c r="M720" s="575"/>
      <c r="N720" s="575"/>
      <c r="O720" s="575"/>
      <c r="P720" s="575"/>
      <c r="Q720" s="575"/>
      <c r="R720" s="575"/>
      <c r="S720" s="989"/>
      <c r="T720" s="575"/>
      <c r="U720" s="575"/>
      <c r="V720" s="575"/>
      <c r="W720" s="575"/>
      <c r="X720" s="575"/>
      <c r="Y720" s="575"/>
      <c r="Z720" s="989"/>
      <c r="AA720" s="575"/>
      <c r="AB720" s="575"/>
      <c r="AC720" s="575"/>
      <c r="AD720" s="575"/>
      <c r="AE720" s="827"/>
      <c r="AF720" s="575"/>
      <c r="AG720" s="989"/>
      <c r="AH720" s="842"/>
      <c r="AI720" s="738">
        <f t="shared" si="47"/>
        <v>0</v>
      </c>
      <c r="AJ720" s="949">
        <v>0</v>
      </c>
      <c r="AK720" s="581">
        <f t="shared" si="48"/>
        <v>0</v>
      </c>
      <c r="AL720" s="746"/>
      <c r="AM720" s="743">
        <f t="shared" si="49"/>
        <v>0</v>
      </c>
    </row>
    <row r="721" spans="1:39" s="560" customFormat="1" hidden="1">
      <c r="A721" s="604" t="s">
        <v>551</v>
      </c>
      <c r="B721" s="604" t="s">
        <v>1149</v>
      </c>
      <c r="C721" s="530" t="s">
        <v>39</v>
      </c>
      <c r="D721" s="580"/>
      <c r="E721" s="981"/>
      <c r="F721" s="581"/>
      <c r="G721" s="581"/>
      <c r="H721" s="581"/>
      <c r="I721" s="949"/>
      <c r="J721" s="949"/>
      <c r="K721" s="949"/>
      <c r="L721" s="989"/>
      <c r="M721" s="575"/>
      <c r="N721" s="575"/>
      <c r="O721" s="575"/>
      <c r="P721" s="575"/>
      <c r="Q721" s="575"/>
      <c r="R721" s="575"/>
      <c r="S721" s="989"/>
      <c r="T721" s="575"/>
      <c r="U721" s="575"/>
      <c r="V721" s="575"/>
      <c r="W721" s="575"/>
      <c r="X721" s="575"/>
      <c r="Y721" s="575"/>
      <c r="Z721" s="989"/>
      <c r="AA721" s="575"/>
      <c r="AB721" s="575"/>
      <c r="AC721" s="575"/>
      <c r="AD721" s="575"/>
      <c r="AE721" s="827"/>
      <c r="AF721" s="575"/>
      <c r="AG721" s="989"/>
      <c r="AH721" s="842"/>
      <c r="AI721" s="738">
        <f t="shared" si="47"/>
        <v>0</v>
      </c>
      <c r="AJ721" s="949">
        <v>0</v>
      </c>
      <c r="AK721" s="581">
        <f t="shared" si="48"/>
        <v>0</v>
      </c>
      <c r="AL721" s="746" t="s">
        <v>1451</v>
      </c>
      <c r="AM721" s="743">
        <f t="shared" si="49"/>
        <v>7.7</v>
      </c>
    </row>
    <row r="722" spans="1:39" s="560" customFormat="1" hidden="1">
      <c r="A722" s="604" t="s">
        <v>552</v>
      </c>
      <c r="B722" s="604" t="s">
        <v>1150</v>
      </c>
      <c r="C722" s="530" t="s">
        <v>36</v>
      </c>
      <c r="D722" s="580"/>
      <c r="E722" s="981"/>
      <c r="F722" s="581"/>
      <c r="G722" s="581"/>
      <c r="H722" s="581"/>
      <c r="I722" s="949"/>
      <c r="J722" s="949"/>
      <c r="K722" s="949"/>
      <c r="L722" s="989"/>
      <c r="M722" s="575"/>
      <c r="N722" s="575"/>
      <c r="O722" s="575"/>
      <c r="P722" s="575"/>
      <c r="Q722" s="575"/>
      <c r="R722" s="575"/>
      <c r="S722" s="989"/>
      <c r="T722" s="575"/>
      <c r="U722" s="575"/>
      <c r="V722" s="575"/>
      <c r="W722" s="575"/>
      <c r="X722" s="575"/>
      <c r="Y722" s="575"/>
      <c r="Z722" s="989"/>
      <c r="AA722" s="575"/>
      <c r="AB722" s="575"/>
      <c r="AC722" s="575"/>
      <c r="AD722" s="575"/>
      <c r="AE722" s="827"/>
      <c r="AF722" s="575"/>
      <c r="AG722" s="989"/>
      <c r="AH722" s="842"/>
      <c r="AI722" s="738">
        <f t="shared" si="47"/>
        <v>0</v>
      </c>
      <c r="AJ722" s="949">
        <v>0</v>
      </c>
      <c r="AK722" s="581">
        <f t="shared" si="48"/>
        <v>0</v>
      </c>
      <c r="AL722" s="746" t="s">
        <v>1452</v>
      </c>
      <c r="AM722" s="743">
        <f t="shared" si="49"/>
        <v>13.46</v>
      </c>
    </row>
    <row r="723" spans="1:39" s="560" customFormat="1" hidden="1">
      <c r="A723" s="604" t="s">
        <v>553</v>
      </c>
      <c r="B723" s="604" t="s">
        <v>1151</v>
      </c>
      <c r="C723" s="530" t="s">
        <v>39</v>
      </c>
      <c r="D723" s="580"/>
      <c r="E723" s="981"/>
      <c r="F723" s="581"/>
      <c r="G723" s="581"/>
      <c r="H723" s="581"/>
      <c r="I723" s="949"/>
      <c r="J723" s="949"/>
      <c r="K723" s="949"/>
      <c r="L723" s="989"/>
      <c r="M723" s="575"/>
      <c r="N723" s="575"/>
      <c r="O723" s="575"/>
      <c r="P723" s="575"/>
      <c r="Q723" s="575"/>
      <c r="R723" s="575"/>
      <c r="S723" s="989"/>
      <c r="T723" s="575"/>
      <c r="U723" s="575"/>
      <c r="V723" s="575"/>
      <c r="W723" s="575"/>
      <c r="X723" s="575"/>
      <c r="Y723" s="575"/>
      <c r="Z723" s="989"/>
      <c r="AA723" s="575"/>
      <c r="AB723" s="575"/>
      <c r="AC723" s="575"/>
      <c r="AD723" s="575"/>
      <c r="AE723" s="827"/>
      <c r="AF723" s="575"/>
      <c r="AG723" s="989"/>
      <c r="AH723" s="842"/>
      <c r="AI723" s="738">
        <f t="shared" si="47"/>
        <v>0</v>
      </c>
      <c r="AJ723" s="949">
        <v>0</v>
      </c>
      <c r="AK723" s="581">
        <f t="shared" si="48"/>
        <v>0</v>
      </c>
      <c r="AL723" s="746" t="s">
        <v>1453</v>
      </c>
      <c r="AM723" s="743">
        <f t="shared" si="49"/>
        <v>2.97</v>
      </c>
    </row>
    <row r="724" spans="1:39" s="560" customFormat="1" hidden="1">
      <c r="A724" s="604" t="s">
        <v>554</v>
      </c>
      <c r="B724" s="604" t="s">
        <v>1152</v>
      </c>
      <c r="C724" s="530" t="s">
        <v>39</v>
      </c>
      <c r="D724" s="580"/>
      <c r="E724" s="981"/>
      <c r="F724" s="581"/>
      <c r="G724" s="581"/>
      <c r="H724" s="581"/>
      <c r="I724" s="949"/>
      <c r="J724" s="949"/>
      <c r="K724" s="949"/>
      <c r="L724" s="989"/>
      <c r="M724" s="575"/>
      <c r="N724" s="575"/>
      <c r="O724" s="575"/>
      <c r="P724" s="575"/>
      <c r="Q724" s="575"/>
      <c r="R724" s="575"/>
      <c r="S724" s="989"/>
      <c r="T724" s="575"/>
      <c r="U724" s="575"/>
      <c r="V724" s="575"/>
      <c r="W724" s="575"/>
      <c r="X724" s="575"/>
      <c r="Y724" s="575"/>
      <c r="Z724" s="989"/>
      <c r="AA724" s="575"/>
      <c r="AB724" s="575"/>
      <c r="AC724" s="575"/>
      <c r="AD724" s="575"/>
      <c r="AE724" s="827"/>
      <c r="AF724" s="575"/>
      <c r="AG724" s="989"/>
      <c r="AH724" s="842"/>
      <c r="AI724" s="738">
        <f t="shared" si="47"/>
        <v>0</v>
      </c>
      <c r="AJ724" s="949">
        <v>0</v>
      </c>
      <c r="AK724" s="581">
        <f t="shared" si="48"/>
        <v>0</v>
      </c>
      <c r="AL724" s="746" t="s">
        <v>1454</v>
      </c>
      <c r="AM724" s="743">
        <f t="shared" si="49"/>
        <v>0.84</v>
      </c>
    </row>
    <row r="725" spans="1:39" s="560" customFormat="1" hidden="1">
      <c r="A725" s="604" t="s">
        <v>555</v>
      </c>
      <c r="B725" s="604" t="s">
        <v>1153</v>
      </c>
      <c r="C725" s="530" t="s">
        <v>36</v>
      </c>
      <c r="D725" s="580"/>
      <c r="E725" s="981"/>
      <c r="F725" s="581"/>
      <c r="G725" s="581"/>
      <c r="H725" s="581"/>
      <c r="I725" s="949"/>
      <c r="J725" s="949"/>
      <c r="K725" s="949"/>
      <c r="L725" s="989"/>
      <c r="M725" s="575"/>
      <c r="N725" s="575"/>
      <c r="O725" s="575"/>
      <c r="P725" s="575"/>
      <c r="Q725" s="575"/>
      <c r="R725" s="575"/>
      <c r="S725" s="989"/>
      <c r="T725" s="575"/>
      <c r="U725" s="575"/>
      <c r="V725" s="575"/>
      <c r="W725" s="575"/>
      <c r="X725" s="575"/>
      <c r="Y725" s="575"/>
      <c r="Z725" s="989"/>
      <c r="AA725" s="575"/>
      <c r="AB725" s="575"/>
      <c r="AC725" s="575"/>
      <c r="AD725" s="575"/>
      <c r="AE725" s="827"/>
      <c r="AF725" s="575"/>
      <c r="AG725" s="989"/>
      <c r="AH725" s="842"/>
      <c r="AI725" s="738">
        <f t="shared" si="47"/>
        <v>0</v>
      </c>
      <c r="AJ725" s="949">
        <v>0</v>
      </c>
      <c r="AK725" s="581">
        <f t="shared" si="48"/>
        <v>0</v>
      </c>
      <c r="AL725" s="746" t="s">
        <v>1455</v>
      </c>
      <c r="AM725" s="743">
        <f t="shared" si="49"/>
        <v>23.65</v>
      </c>
    </row>
    <row r="726" spans="1:39" s="560" customFormat="1" hidden="1">
      <c r="A726" s="604" t="s">
        <v>556</v>
      </c>
      <c r="B726" s="604" t="s">
        <v>1154</v>
      </c>
      <c r="C726" s="530" t="s">
        <v>36</v>
      </c>
      <c r="D726" s="580"/>
      <c r="E726" s="981"/>
      <c r="F726" s="581"/>
      <c r="G726" s="581"/>
      <c r="H726" s="581"/>
      <c r="I726" s="949"/>
      <c r="J726" s="949"/>
      <c r="K726" s="949"/>
      <c r="L726" s="989"/>
      <c r="M726" s="575"/>
      <c r="N726" s="575"/>
      <c r="O726" s="575"/>
      <c r="P726" s="575"/>
      <c r="Q726" s="575"/>
      <c r="R726" s="575"/>
      <c r="S726" s="989"/>
      <c r="T726" s="575"/>
      <c r="U726" s="575"/>
      <c r="V726" s="575"/>
      <c r="W726" s="575"/>
      <c r="X726" s="575"/>
      <c r="Y726" s="575"/>
      <c r="Z726" s="989"/>
      <c r="AA726" s="575"/>
      <c r="AB726" s="575"/>
      <c r="AC726" s="575"/>
      <c r="AD726" s="575"/>
      <c r="AE726" s="827"/>
      <c r="AF726" s="575"/>
      <c r="AG726" s="989"/>
      <c r="AH726" s="842"/>
      <c r="AI726" s="738">
        <f t="shared" si="47"/>
        <v>0</v>
      </c>
      <c r="AJ726" s="949">
        <v>0</v>
      </c>
      <c r="AK726" s="581">
        <f t="shared" si="48"/>
        <v>0</v>
      </c>
      <c r="AL726" s="746" t="s">
        <v>1449</v>
      </c>
      <c r="AM726" s="743">
        <f t="shared" si="49"/>
        <v>26.03</v>
      </c>
    </row>
    <row r="727" spans="1:39" s="560" customFormat="1" hidden="1">
      <c r="A727" s="607" t="s">
        <v>557</v>
      </c>
      <c r="B727" s="607" t="s">
        <v>1155</v>
      </c>
      <c r="C727" s="679"/>
      <c r="D727" s="580"/>
      <c r="E727" s="981"/>
      <c r="F727" s="581"/>
      <c r="G727" s="581"/>
      <c r="H727" s="581"/>
      <c r="I727" s="949"/>
      <c r="J727" s="949"/>
      <c r="K727" s="949"/>
      <c r="L727" s="989"/>
      <c r="M727" s="575"/>
      <c r="N727" s="575"/>
      <c r="O727" s="575"/>
      <c r="P727" s="575"/>
      <c r="Q727" s="575"/>
      <c r="R727" s="575"/>
      <c r="S727" s="989"/>
      <c r="T727" s="575"/>
      <c r="U727" s="575"/>
      <c r="V727" s="575"/>
      <c r="W727" s="575"/>
      <c r="X727" s="575"/>
      <c r="Y727" s="575"/>
      <c r="Z727" s="989"/>
      <c r="AA727" s="575"/>
      <c r="AB727" s="575"/>
      <c r="AC727" s="575"/>
      <c r="AD727" s="575"/>
      <c r="AE727" s="827"/>
      <c r="AF727" s="575"/>
      <c r="AG727" s="989"/>
      <c r="AH727" s="842"/>
      <c r="AI727" s="738">
        <f t="shared" si="47"/>
        <v>0</v>
      </c>
      <c r="AJ727" s="949">
        <v>0</v>
      </c>
      <c r="AK727" s="581">
        <f t="shared" si="48"/>
        <v>0</v>
      </c>
      <c r="AL727" s="746"/>
      <c r="AM727" s="743">
        <f t="shared" si="49"/>
        <v>0</v>
      </c>
    </row>
    <row r="728" spans="1:39" s="560" customFormat="1" hidden="1">
      <c r="A728" s="604" t="s">
        <v>558</v>
      </c>
      <c r="B728" s="604" t="s">
        <v>1156</v>
      </c>
      <c r="C728" s="679"/>
      <c r="D728" s="580"/>
      <c r="E728" s="981"/>
      <c r="F728" s="581"/>
      <c r="G728" s="581"/>
      <c r="H728" s="581"/>
      <c r="I728" s="949"/>
      <c r="J728" s="949"/>
      <c r="K728" s="949"/>
      <c r="L728" s="989"/>
      <c r="M728" s="575"/>
      <c r="N728" s="575"/>
      <c r="O728" s="575"/>
      <c r="P728" s="575"/>
      <c r="Q728" s="575"/>
      <c r="R728" s="575"/>
      <c r="S728" s="989"/>
      <c r="T728" s="575"/>
      <c r="U728" s="575"/>
      <c r="V728" s="575"/>
      <c r="W728" s="575"/>
      <c r="X728" s="575"/>
      <c r="Y728" s="575"/>
      <c r="Z728" s="989"/>
      <c r="AA728" s="575"/>
      <c r="AB728" s="575"/>
      <c r="AC728" s="575"/>
      <c r="AD728" s="575"/>
      <c r="AE728" s="827"/>
      <c r="AF728" s="575"/>
      <c r="AG728" s="989"/>
      <c r="AH728" s="842"/>
      <c r="AI728" s="738">
        <f t="shared" si="47"/>
        <v>0</v>
      </c>
      <c r="AJ728" s="949">
        <v>0</v>
      </c>
      <c r="AK728" s="581">
        <f t="shared" si="48"/>
        <v>0</v>
      </c>
      <c r="AL728" s="746"/>
      <c r="AM728" s="743">
        <f t="shared" si="49"/>
        <v>0</v>
      </c>
    </row>
    <row r="729" spans="1:39" s="560" customFormat="1" hidden="1">
      <c r="A729" s="604" t="s">
        <v>559</v>
      </c>
      <c r="B729" s="604" t="s">
        <v>1157</v>
      </c>
      <c r="C729" s="530" t="s">
        <v>39</v>
      </c>
      <c r="D729" s="580"/>
      <c r="E729" s="981"/>
      <c r="F729" s="581"/>
      <c r="G729" s="581"/>
      <c r="H729" s="581"/>
      <c r="I729" s="949"/>
      <c r="J729" s="949"/>
      <c r="K729" s="949"/>
      <c r="L729" s="989"/>
      <c r="M729" s="575"/>
      <c r="N729" s="575"/>
      <c r="O729" s="575"/>
      <c r="P729" s="575"/>
      <c r="Q729" s="575"/>
      <c r="R729" s="575"/>
      <c r="S729" s="989"/>
      <c r="T729" s="575"/>
      <c r="U729" s="575"/>
      <c r="V729" s="575"/>
      <c r="W729" s="575"/>
      <c r="X729" s="575"/>
      <c r="Y729" s="575"/>
      <c r="Z729" s="989"/>
      <c r="AA729" s="575"/>
      <c r="AB729" s="575"/>
      <c r="AC729" s="575"/>
      <c r="AD729" s="575"/>
      <c r="AE729" s="827"/>
      <c r="AF729" s="575"/>
      <c r="AG729" s="989"/>
      <c r="AH729" s="842"/>
      <c r="AI729" s="738">
        <f t="shared" si="47"/>
        <v>0</v>
      </c>
      <c r="AJ729" s="949">
        <v>0</v>
      </c>
      <c r="AK729" s="581">
        <f t="shared" si="48"/>
        <v>0</v>
      </c>
      <c r="AL729" s="746" t="s">
        <v>1456</v>
      </c>
      <c r="AM729" s="743">
        <f t="shared" si="49"/>
        <v>4.6100000000000003</v>
      </c>
    </row>
    <row r="730" spans="1:39" s="560" customFormat="1" hidden="1">
      <c r="A730" s="604" t="s">
        <v>560</v>
      </c>
      <c r="B730" s="604" t="s">
        <v>1158</v>
      </c>
      <c r="C730" s="530" t="s">
        <v>47</v>
      </c>
      <c r="D730" s="580"/>
      <c r="E730" s="981"/>
      <c r="F730" s="581"/>
      <c r="G730" s="581"/>
      <c r="H730" s="581"/>
      <c r="I730" s="949"/>
      <c r="J730" s="949"/>
      <c r="K730" s="949"/>
      <c r="L730" s="989"/>
      <c r="M730" s="575"/>
      <c r="N730" s="575"/>
      <c r="O730" s="575"/>
      <c r="P730" s="575"/>
      <c r="Q730" s="575"/>
      <c r="R730" s="575"/>
      <c r="S730" s="989"/>
      <c r="T730" s="575"/>
      <c r="U730" s="575"/>
      <c r="V730" s="575"/>
      <c r="W730" s="575"/>
      <c r="X730" s="575"/>
      <c r="Y730" s="575"/>
      <c r="Z730" s="989"/>
      <c r="AA730" s="575"/>
      <c r="AB730" s="575"/>
      <c r="AC730" s="575"/>
      <c r="AD730" s="575"/>
      <c r="AE730" s="827"/>
      <c r="AF730" s="575"/>
      <c r="AG730" s="989"/>
      <c r="AH730" s="842"/>
      <c r="AI730" s="738">
        <f t="shared" si="47"/>
        <v>0</v>
      </c>
      <c r="AJ730" s="949">
        <v>0</v>
      </c>
      <c r="AK730" s="581">
        <f t="shared" si="48"/>
        <v>0</v>
      </c>
      <c r="AL730" s="746" t="s">
        <v>1457</v>
      </c>
      <c r="AM730" s="743">
        <f t="shared" si="49"/>
        <v>192.7</v>
      </c>
    </row>
    <row r="731" spans="1:39" s="560" customFormat="1" hidden="1">
      <c r="A731" s="604" t="s">
        <v>561</v>
      </c>
      <c r="B731" s="604" t="s">
        <v>1159</v>
      </c>
      <c r="C731" s="679"/>
      <c r="D731" s="580"/>
      <c r="E731" s="981"/>
      <c r="F731" s="581"/>
      <c r="G731" s="581"/>
      <c r="H731" s="581"/>
      <c r="I731" s="949"/>
      <c r="J731" s="949"/>
      <c r="K731" s="949"/>
      <c r="L731" s="989"/>
      <c r="M731" s="575"/>
      <c r="N731" s="575"/>
      <c r="O731" s="575"/>
      <c r="P731" s="575"/>
      <c r="Q731" s="575"/>
      <c r="R731" s="575"/>
      <c r="S731" s="989"/>
      <c r="T731" s="575"/>
      <c r="U731" s="575"/>
      <c r="V731" s="575"/>
      <c r="W731" s="575"/>
      <c r="X731" s="575"/>
      <c r="Y731" s="575"/>
      <c r="Z731" s="989"/>
      <c r="AA731" s="575"/>
      <c r="AB731" s="575"/>
      <c r="AC731" s="575"/>
      <c r="AD731" s="575"/>
      <c r="AE731" s="827"/>
      <c r="AF731" s="575"/>
      <c r="AG731" s="989"/>
      <c r="AH731" s="842"/>
      <c r="AI731" s="738">
        <f t="shared" si="47"/>
        <v>0</v>
      </c>
      <c r="AJ731" s="949">
        <v>0</v>
      </c>
      <c r="AK731" s="581">
        <f t="shared" si="48"/>
        <v>0</v>
      </c>
      <c r="AL731" s="746"/>
      <c r="AM731" s="743">
        <f t="shared" si="49"/>
        <v>0</v>
      </c>
    </row>
    <row r="732" spans="1:39" s="560" customFormat="1" hidden="1">
      <c r="A732" s="604" t="s">
        <v>562</v>
      </c>
      <c r="B732" s="604" t="s">
        <v>1160</v>
      </c>
      <c r="C732" s="530" t="s">
        <v>39</v>
      </c>
      <c r="D732" s="580"/>
      <c r="E732" s="981"/>
      <c r="F732" s="581"/>
      <c r="G732" s="581"/>
      <c r="H732" s="581"/>
      <c r="I732" s="949"/>
      <c r="J732" s="949"/>
      <c r="K732" s="949"/>
      <c r="L732" s="989"/>
      <c r="M732" s="575"/>
      <c r="N732" s="575"/>
      <c r="O732" s="575"/>
      <c r="P732" s="575"/>
      <c r="Q732" s="575"/>
      <c r="R732" s="575"/>
      <c r="S732" s="989"/>
      <c r="T732" s="575"/>
      <c r="U732" s="575"/>
      <c r="V732" s="575"/>
      <c r="W732" s="575"/>
      <c r="X732" s="575"/>
      <c r="Y732" s="575"/>
      <c r="Z732" s="989"/>
      <c r="AA732" s="575"/>
      <c r="AB732" s="575"/>
      <c r="AC732" s="575"/>
      <c r="AD732" s="575"/>
      <c r="AE732" s="827"/>
      <c r="AF732" s="575"/>
      <c r="AG732" s="989"/>
      <c r="AH732" s="842"/>
      <c r="AI732" s="738">
        <f t="shared" si="47"/>
        <v>0</v>
      </c>
      <c r="AJ732" s="949">
        <v>0</v>
      </c>
      <c r="AK732" s="581">
        <f t="shared" si="48"/>
        <v>0</v>
      </c>
      <c r="AL732" s="746" t="s">
        <v>1458</v>
      </c>
      <c r="AM732" s="743">
        <f t="shared" si="49"/>
        <v>1.93</v>
      </c>
    </row>
    <row r="733" spans="1:39" s="560" customFormat="1" hidden="1">
      <c r="A733" s="604" t="s">
        <v>563</v>
      </c>
      <c r="B733" s="604" t="s">
        <v>1161</v>
      </c>
      <c r="C733" s="530" t="s">
        <v>36</v>
      </c>
      <c r="D733" s="580"/>
      <c r="E733" s="981"/>
      <c r="F733" s="581"/>
      <c r="G733" s="581"/>
      <c r="H733" s="581"/>
      <c r="I733" s="949"/>
      <c r="J733" s="949"/>
      <c r="K733" s="949"/>
      <c r="L733" s="989"/>
      <c r="M733" s="575"/>
      <c r="N733" s="575"/>
      <c r="O733" s="575"/>
      <c r="P733" s="575"/>
      <c r="Q733" s="575"/>
      <c r="R733" s="575"/>
      <c r="S733" s="989"/>
      <c r="T733" s="575"/>
      <c r="U733" s="575"/>
      <c r="V733" s="575"/>
      <c r="W733" s="575"/>
      <c r="X733" s="575"/>
      <c r="Y733" s="575"/>
      <c r="Z733" s="989"/>
      <c r="AA733" s="575"/>
      <c r="AB733" s="575"/>
      <c r="AC733" s="575"/>
      <c r="AD733" s="575"/>
      <c r="AE733" s="827"/>
      <c r="AF733" s="575"/>
      <c r="AG733" s="989"/>
      <c r="AH733" s="842"/>
      <c r="AI733" s="738">
        <f t="shared" si="47"/>
        <v>0</v>
      </c>
      <c r="AJ733" s="949">
        <v>0</v>
      </c>
      <c r="AK733" s="581">
        <f t="shared" si="48"/>
        <v>0</v>
      </c>
      <c r="AL733" s="746" t="s">
        <v>1459</v>
      </c>
      <c r="AM733" s="743">
        <f t="shared" si="49"/>
        <v>15.42</v>
      </c>
    </row>
    <row r="734" spans="1:39" s="560" customFormat="1" hidden="1">
      <c r="A734" s="604" t="s">
        <v>564</v>
      </c>
      <c r="B734" s="604" t="s">
        <v>1162</v>
      </c>
      <c r="C734" s="530" t="s">
        <v>47</v>
      </c>
      <c r="D734" s="586"/>
      <c r="E734" s="982"/>
      <c r="F734" s="587"/>
      <c r="G734" s="587"/>
      <c r="H734" s="587"/>
      <c r="I734" s="588"/>
      <c r="J734" s="588"/>
      <c r="K734" s="588"/>
      <c r="L734" s="989"/>
      <c r="M734" s="575"/>
      <c r="N734" s="575"/>
      <c r="O734" s="575"/>
      <c r="P734" s="575"/>
      <c r="Q734" s="575"/>
      <c r="R734" s="575"/>
      <c r="S734" s="989"/>
      <c r="T734" s="575"/>
      <c r="U734" s="575"/>
      <c r="V734" s="575"/>
      <c r="W734" s="575"/>
      <c r="X734" s="575"/>
      <c r="Y734" s="575"/>
      <c r="Z734" s="989"/>
      <c r="AA734" s="575"/>
      <c r="AB734" s="575"/>
      <c r="AC734" s="575"/>
      <c r="AD734" s="575"/>
      <c r="AE734" s="827"/>
      <c r="AF734" s="575"/>
      <c r="AG734" s="989"/>
      <c r="AH734" s="842"/>
      <c r="AI734" s="738">
        <f t="shared" si="47"/>
        <v>0</v>
      </c>
      <c r="AJ734" s="949">
        <v>0</v>
      </c>
      <c r="AK734" s="581">
        <f t="shared" si="48"/>
        <v>0</v>
      </c>
      <c r="AL734" s="747" t="s">
        <v>1460</v>
      </c>
      <c r="AM734" s="743">
        <f t="shared" si="49"/>
        <v>275.55</v>
      </c>
    </row>
    <row r="735" spans="1:39" s="560" customFormat="1" hidden="1">
      <c r="A735" s="604" t="s">
        <v>565</v>
      </c>
      <c r="B735" s="604" t="s">
        <v>1163</v>
      </c>
      <c r="C735" s="679"/>
      <c r="D735" s="586"/>
      <c r="E735" s="982"/>
      <c r="F735" s="587"/>
      <c r="G735" s="587"/>
      <c r="H735" s="587"/>
      <c r="I735" s="588"/>
      <c r="J735" s="588"/>
      <c r="K735" s="588"/>
      <c r="L735" s="989"/>
      <c r="M735" s="575"/>
      <c r="N735" s="575"/>
      <c r="O735" s="575"/>
      <c r="P735" s="575"/>
      <c r="Q735" s="575"/>
      <c r="R735" s="575"/>
      <c r="S735" s="989"/>
      <c r="T735" s="575"/>
      <c r="U735" s="575"/>
      <c r="V735" s="575"/>
      <c r="W735" s="575"/>
      <c r="X735" s="575"/>
      <c r="Y735" s="575"/>
      <c r="Z735" s="989"/>
      <c r="AA735" s="575"/>
      <c r="AB735" s="575"/>
      <c r="AC735" s="575"/>
      <c r="AD735" s="575"/>
      <c r="AE735" s="827"/>
      <c r="AF735" s="575"/>
      <c r="AG735" s="989"/>
      <c r="AH735" s="842"/>
      <c r="AI735" s="738">
        <f t="shared" si="47"/>
        <v>0</v>
      </c>
      <c r="AJ735" s="949">
        <v>0</v>
      </c>
      <c r="AK735" s="581">
        <f t="shared" si="48"/>
        <v>0</v>
      </c>
      <c r="AL735" s="747"/>
      <c r="AM735" s="743">
        <f t="shared" si="49"/>
        <v>0</v>
      </c>
    </row>
    <row r="736" spans="1:39" s="560" customFormat="1" hidden="1">
      <c r="A736" s="604" t="s">
        <v>566</v>
      </c>
      <c r="B736" s="604" t="s">
        <v>1164</v>
      </c>
      <c r="C736" s="530" t="s">
        <v>39</v>
      </c>
      <c r="D736" s="580"/>
      <c r="E736" s="981"/>
      <c r="F736" s="581"/>
      <c r="G736" s="581"/>
      <c r="H736" s="581"/>
      <c r="I736" s="949"/>
      <c r="J736" s="949"/>
      <c r="K736" s="949"/>
      <c r="L736" s="989"/>
      <c r="M736" s="575"/>
      <c r="N736" s="575"/>
      <c r="O736" s="575"/>
      <c r="P736" s="575"/>
      <c r="Q736" s="575"/>
      <c r="R736" s="575"/>
      <c r="S736" s="989"/>
      <c r="T736" s="575"/>
      <c r="U736" s="575"/>
      <c r="V736" s="575"/>
      <c r="W736" s="575"/>
      <c r="X736" s="575"/>
      <c r="Y736" s="575"/>
      <c r="Z736" s="989"/>
      <c r="AA736" s="575"/>
      <c r="AB736" s="575"/>
      <c r="AC736" s="575"/>
      <c r="AD736" s="575"/>
      <c r="AE736" s="827"/>
      <c r="AF736" s="575"/>
      <c r="AG736" s="989"/>
      <c r="AH736" s="842"/>
      <c r="AI736" s="738">
        <f t="shared" si="47"/>
        <v>0</v>
      </c>
      <c r="AJ736" s="949">
        <v>0</v>
      </c>
      <c r="AK736" s="581">
        <f t="shared" si="48"/>
        <v>0</v>
      </c>
      <c r="AL736" s="746" t="s">
        <v>1461</v>
      </c>
      <c r="AM736" s="743">
        <f t="shared" si="49"/>
        <v>2.83</v>
      </c>
    </row>
    <row r="737" spans="1:39" s="560" customFormat="1" hidden="1">
      <c r="A737" s="604" t="s">
        <v>567</v>
      </c>
      <c r="B737" s="604" t="s">
        <v>1165</v>
      </c>
      <c r="C737" s="530" t="s">
        <v>36</v>
      </c>
      <c r="D737" s="580"/>
      <c r="E737" s="981"/>
      <c r="F737" s="581"/>
      <c r="G737" s="581"/>
      <c r="H737" s="581"/>
      <c r="I737" s="949"/>
      <c r="J737" s="949"/>
      <c r="K737" s="949"/>
      <c r="L737" s="989"/>
      <c r="M737" s="575"/>
      <c r="N737" s="575"/>
      <c r="O737" s="575"/>
      <c r="P737" s="575"/>
      <c r="Q737" s="575"/>
      <c r="R737" s="575"/>
      <c r="S737" s="989"/>
      <c r="T737" s="575"/>
      <c r="U737" s="575"/>
      <c r="V737" s="575"/>
      <c r="W737" s="575"/>
      <c r="X737" s="575"/>
      <c r="Y737" s="575"/>
      <c r="Z737" s="989"/>
      <c r="AA737" s="575"/>
      <c r="AB737" s="575"/>
      <c r="AC737" s="575"/>
      <c r="AD737" s="575"/>
      <c r="AE737" s="827"/>
      <c r="AF737" s="575"/>
      <c r="AG737" s="989"/>
      <c r="AH737" s="842"/>
      <c r="AI737" s="738">
        <f t="shared" si="47"/>
        <v>0</v>
      </c>
      <c r="AJ737" s="949">
        <v>0</v>
      </c>
      <c r="AK737" s="581">
        <f t="shared" si="48"/>
        <v>0</v>
      </c>
      <c r="AL737" s="746" t="s">
        <v>1462</v>
      </c>
      <c r="AM737" s="743">
        <f t="shared" si="49"/>
        <v>40.020000000000003</v>
      </c>
    </row>
    <row r="738" spans="1:39" s="560" customFormat="1" hidden="1">
      <c r="A738" s="604" t="s">
        <v>568</v>
      </c>
      <c r="B738" s="604" t="s">
        <v>1166</v>
      </c>
      <c r="C738" s="530" t="s">
        <v>47</v>
      </c>
      <c r="D738" s="580"/>
      <c r="E738" s="981"/>
      <c r="F738" s="581"/>
      <c r="G738" s="581"/>
      <c r="H738" s="581"/>
      <c r="I738" s="949"/>
      <c r="J738" s="949"/>
      <c r="K738" s="949"/>
      <c r="L738" s="989"/>
      <c r="M738" s="575"/>
      <c r="N738" s="575"/>
      <c r="O738" s="575"/>
      <c r="P738" s="575"/>
      <c r="Q738" s="575"/>
      <c r="R738" s="575"/>
      <c r="S738" s="989"/>
      <c r="T738" s="575"/>
      <c r="U738" s="575"/>
      <c r="V738" s="575"/>
      <c r="W738" s="575"/>
      <c r="X738" s="575"/>
      <c r="Y738" s="575"/>
      <c r="Z738" s="989"/>
      <c r="AA738" s="575"/>
      <c r="AB738" s="575"/>
      <c r="AC738" s="575"/>
      <c r="AD738" s="575"/>
      <c r="AE738" s="827"/>
      <c r="AF738" s="575"/>
      <c r="AG738" s="989"/>
      <c r="AH738" s="842"/>
      <c r="AI738" s="738">
        <f t="shared" si="47"/>
        <v>0</v>
      </c>
      <c r="AJ738" s="949">
        <v>0</v>
      </c>
      <c r="AK738" s="581">
        <f t="shared" si="48"/>
        <v>0</v>
      </c>
      <c r="AL738" s="746" t="s">
        <v>1463</v>
      </c>
      <c r="AM738" s="743">
        <f t="shared" si="49"/>
        <v>444.48</v>
      </c>
    </row>
    <row r="739" spans="1:39" s="560" customFormat="1" hidden="1">
      <c r="A739" s="604" t="s">
        <v>569</v>
      </c>
      <c r="B739" s="604" t="s">
        <v>1167</v>
      </c>
      <c r="C739" s="679"/>
      <c r="D739" s="580"/>
      <c r="E739" s="981"/>
      <c r="F739" s="581"/>
      <c r="G739" s="581"/>
      <c r="H739" s="581"/>
      <c r="I739" s="949"/>
      <c r="J739" s="949"/>
      <c r="K739" s="949"/>
      <c r="L739" s="989"/>
      <c r="M739" s="575"/>
      <c r="N739" s="575"/>
      <c r="O739" s="575"/>
      <c r="P739" s="575"/>
      <c r="Q739" s="575"/>
      <c r="R739" s="575"/>
      <c r="S739" s="989"/>
      <c r="T739" s="575"/>
      <c r="U739" s="575"/>
      <c r="V739" s="575"/>
      <c r="W739" s="575"/>
      <c r="X739" s="575"/>
      <c r="Y739" s="575"/>
      <c r="Z739" s="989"/>
      <c r="AA739" s="575"/>
      <c r="AB739" s="575"/>
      <c r="AC739" s="575"/>
      <c r="AD739" s="575"/>
      <c r="AE739" s="827"/>
      <c r="AF739" s="575"/>
      <c r="AG739" s="989"/>
      <c r="AH739" s="842"/>
      <c r="AI739" s="738">
        <f t="shared" si="47"/>
        <v>0</v>
      </c>
      <c r="AJ739" s="949">
        <v>0</v>
      </c>
      <c r="AK739" s="581">
        <f t="shared" si="48"/>
        <v>0</v>
      </c>
      <c r="AL739" s="746"/>
      <c r="AM739" s="743">
        <f t="shared" si="49"/>
        <v>0</v>
      </c>
    </row>
    <row r="740" spans="1:39" s="560" customFormat="1" hidden="1">
      <c r="A740" s="604" t="s">
        <v>570</v>
      </c>
      <c r="B740" s="604" t="s">
        <v>1168</v>
      </c>
      <c r="C740" s="530" t="s">
        <v>39</v>
      </c>
      <c r="D740" s="580"/>
      <c r="E740" s="981"/>
      <c r="F740" s="581"/>
      <c r="G740" s="581"/>
      <c r="H740" s="581"/>
      <c r="I740" s="949"/>
      <c r="J740" s="949"/>
      <c r="K740" s="949"/>
      <c r="L740" s="989"/>
      <c r="M740" s="575"/>
      <c r="N740" s="575"/>
      <c r="O740" s="575"/>
      <c r="P740" s="575"/>
      <c r="Q740" s="575"/>
      <c r="R740" s="575"/>
      <c r="S740" s="989"/>
      <c r="T740" s="575"/>
      <c r="U740" s="575"/>
      <c r="V740" s="575"/>
      <c r="W740" s="575"/>
      <c r="X740" s="575"/>
      <c r="Y740" s="575"/>
      <c r="Z740" s="989"/>
      <c r="AA740" s="575"/>
      <c r="AB740" s="575"/>
      <c r="AC740" s="575"/>
      <c r="AD740" s="575"/>
      <c r="AE740" s="827"/>
      <c r="AF740" s="575"/>
      <c r="AG740" s="989"/>
      <c r="AH740" s="842"/>
      <c r="AI740" s="738">
        <f t="shared" si="47"/>
        <v>0</v>
      </c>
      <c r="AJ740" s="949">
        <v>0</v>
      </c>
      <c r="AK740" s="581">
        <f t="shared" si="48"/>
        <v>0</v>
      </c>
      <c r="AL740" s="746" t="s">
        <v>1464</v>
      </c>
      <c r="AM740" s="743">
        <f t="shared" si="49"/>
        <v>1.49</v>
      </c>
    </row>
    <row r="741" spans="1:39" s="560" customFormat="1" hidden="1">
      <c r="A741" s="604" t="s">
        <v>571</v>
      </c>
      <c r="B741" s="604" t="s">
        <v>1169</v>
      </c>
      <c r="C741" s="614" t="s">
        <v>36</v>
      </c>
      <c r="D741" s="580"/>
      <c r="E741" s="981"/>
      <c r="F741" s="581"/>
      <c r="G741" s="581"/>
      <c r="H741" s="581"/>
      <c r="I741" s="949"/>
      <c r="J741" s="949"/>
      <c r="K741" s="949"/>
      <c r="L741" s="989"/>
      <c r="M741" s="575"/>
      <c r="N741" s="575"/>
      <c r="O741" s="575"/>
      <c r="P741" s="575"/>
      <c r="Q741" s="575"/>
      <c r="R741" s="575"/>
      <c r="S741" s="989"/>
      <c r="T741" s="575"/>
      <c r="U741" s="575"/>
      <c r="V741" s="575"/>
      <c r="W741" s="575"/>
      <c r="X741" s="575"/>
      <c r="Y741" s="575"/>
      <c r="Z741" s="989"/>
      <c r="AA741" s="575"/>
      <c r="AB741" s="575"/>
      <c r="AC741" s="575"/>
      <c r="AD741" s="575"/>
      <c r="AE741" s="827"/>
      <c r="AF741" s="575"/>
      <c r="AG741" s="989"/>
      <c r="AH741" s="842"/>
      <c r="AI741" s="738">
        <f t="shared" si="47"/>
        <v>0</v>
      </c>
      <c r="AJ741" s="949">
        <v>0</v>
      </c>
      <c r="AK741" s="581">
        <f t="shared" si="48"/>
        <v>0</v>
      </c>
      <c r="AL741" s="746" t="s">
        <v>1465</v>
      </c>
      <c r="AM741" s="743">
        <f t="shared" si="49"/>
        <v>19.71</v>
      </c>
    </row>
    <row r="742" spans="1:39" s="560" customFormat="1" hidden="1">
      <c r="A742" s="604" t="s">
        <v>572</v>
      </c>
      <c r="B742" s="604" t="s">
        <v>1170</v>
      </c>
      <c r="C742" s="530" t="s">
        <v>47</v>
      </c>
      <c r="D742" s="580"/>
      <c r="E742" s="981"/>
      <c r="F742" s="581"/>
      <c r="G742" s="581"/>
      <c r="H742" s="581"/>
      <c r="I742" s="949"/>
      <c r="J742" s="949"/>
      <c r="K742" s="949"/>
      <c r="L742" s="989"/>
      <c r="M742" s="575"/>
      <c r="N742" s="575"/>
      <c r="O742" s="575"/>
      <c r="P742" s="575"/>
      <c r="Q742" s="575"/>
      <c r="R742" s="575"/>
      <c r="S742" s="989"/>
      <c r="T742" s="575"/>
      <c r="U742" s="575"/>
      <c r="V742" s="575"/>
      <c r="W742" s="575"/>
      <c r="X742" s="575"/>
      <c r="Y742" s="575"/>
      <c r="Z742" s="989"/>
      <c r="AA742" s="575"/>
      <c r="AB742" s="575"/>
      <c r="AC742" s="575"/>
      <c r="AD742" s="575"/>
      <c r="AE742" s="827"/>
      <c r="AF742" s="575"/>
      <c r="AG742" s="989"/>
      <c r="AH742" s="842"/>
      <c r="AI742" s="738">
        <f t="shared" si="47"/>
        <v>0</v>
      </c>
      <c r="AJ742" s="949">
        <v>0</v>
      </c>
      <c r="AK742" s="581">
        <f t="shared" si="48"/>
        <v>0</v>
      </c>
      <c r="AL742" s="746" t="s">
        <v>1466</v>
      </c>
      <c r="AM742" s="743">
        <f t="shared" si="49"/>
        <v>659.98</v>
      </c>
    </row>
    <row r="743" spans="1:39" s="560" customFormat="1" hidden="1">
      <c r="A743" s="604" t="s">
        <v>573</v>
      </c>
      <c r="B743" s="604" t="s">
        <v>1171</v>
      </c>
      <c r="C743" s="679"/>
      <c r="D743" s="580"/>
      <c r="E743" s="981"/>
      <c r="F743" s="581"/>
      <c r="G743" s="581"/>
      <c r="H743" s="581"/>
      <c r="I743" s="949"/>
      <c r="J743" s="949"/>
      <c r="K743" s="949"/>
      <c r="L743" s="989"/>
      <c r="M743" s="575"/>
      <c r="N743" s="575"/>
      <c r="O743" s="575"/>
      <c r="P743" s="575"/>
      <c r="Q743" s="575"/>
      <c r="R743" s="575"/>
      <c r="S743" s="989"/>
      <c r="T743" s="575"/>
      <c r="U743" s="575"/>
      <c r="V743" s="575"/>
      <c r="W743" s="575"/>
      <c r="X743" s="575"/>
      <c r="Y743" s="575"/>
      <c r="Z743" s="989"/>
      <c r="AA743" s="575"/>
      <c r="AB743" s="575"/>
      <c r="AC743" s="575"/>
      <c r="AD743" s="575"/>
      <c r="AE743" s="827"/>
      <c r="AF743" s="575"/>
      <c r="AG743" s="989"/>
      <c r="AH743" s="842"/>
      <c r="AI743" s="738">
        <f t="shared" si="47"/>
        <v>0</v>
      </c>
      <c r="AJ743" s="949">
        <v>0</v>
      </c>
      <c r="AK743" s="581">
        <f t="shared" si="48"/>
        <v>0</v>
      </c>
      <c r="AL743" s="746"/>
      <c r="AM743" s="743">
        <f t="shared" si="49"/>
        <v>0</v>
      </c>
    </row>
    <row r="744" spans="1:39" s="560" customFormat="1" hidden="1">
      <c r="A744" s="604" t="s">
        <v>574</v>
      </c>
      <c r="B744" s="604" t="s">
        <v>1172</v>
      </c>
      <c r="C744" s="530" t="s">
        <v>39</v>
      </c>
      <c r="D744" s="580"/>
      <c r="E744" s="981"/>
      <c r="F744" s="581"/>
      <c r="G744" s="581"/>
      <c r="H744" s="581"/>
      <c r="I744" s="949"/>
      <c r="J744" s="949"/>
      <c r="K744" s="949"/>
      <c r="L744" s="989"/>
      <c r="M744" s="575"/>
      <c r="N744" s="575"/>
      <c r="O744" s="575"/>
      <c r="P744" s="575"/>
      <c r="Q744" s="575"/>
      <c r="R744" s="575"/>
      <c r="S744" s="989"/>
      <c r="T744" s="575"/>
      <c r="U744" s="575"/>
      <c r="V744" s="575"/>
      <c r="W744" s="575"/>
      <c r="X744" s="575"/>
      <c r="Y744" s="575"/>
      <c r="Z744" s="989"/>
      <c r="AA744" s="575"/>
      <c r="AB744" s="575"/>
      <c r="AC744" s="575"/>
      <c r="AD744" s="575"/>
      <c r="AE744" s="827"/>
      <c r="AF744" s="575"/>
      <c r="AG744" s="989"/>
      <c r="AH744" s="842"/>
      <c r="AI744" s="738">
        <f t="shared" si="47"/>
        <v>0</v>
      </c>
      <c r="AJ744" s="949">
        <v>0</v>
      </c>
      <c r="AK744" s="581">
        <f t="shared" si="48"/>
        <v>0</v>
      </c>
      <c r="AL744" s="746" t="s">
        <v>1467</v>
      </c>
      <c r="AM744" s="743">
        <f t="shared" si="49"/>
        <v>4.54</v>
      </c>
    </row>
    <row r="745" spans="1:39" s="560" customFormat="1" hidden="1">
      <c r="A745" s="604" t="s">
        <v>575</v>
      </c>
      <c r="B745" s="604" t="s">
        <v>1173</v>
      </c>
      <c r="C745" s="530" t="s">
        <v>36</v>
      </c>
      <c r="D745" s="580"/>
      <c r="E745" s="981"/>
      <c r="F745" s="581"/>
      <c r="G745" s="581"/>
      <c r="H745" s="581"/>
      <c r="I745" s="949"/>
      <c r="J745" s="949"/>
      <c r="K745" s="949"/>
      <c r="L745" s="989"/>
      <c r="M745" s="575"/>
      <c r="N745" s="575"/>
      <c r="O745" s="575"/>
      <c r="P745" s="575"/>
      <c r="Q745" s="575"/>
      <c r="R745" s="575"/>
      <c r="S745" s="989"/>
      <c r="T745" s="575"/>
      <c r="U745" s="575"/>
      <c r="V745" s="575"/>
      <c r="W745" s="575"/>
      <c r="X745" s="575"/>
      <c r="Y745" s="575"/>
      <c r="Z745" s="989"/>
      <c r="AA745" s="575"/>
      <c r="AB745" s="575"/>
      <c r="AC745" s="575"/>
      <c r="AD745" s="575"/>
      <c r="AE745" s="827"/>
      <c r="AF745" s="575"/>
      <c r="AG745" s="989"/>
      <c r="AH745" s="842"/>
      <c r="AI745" s="738">
        <f t="shared" si="47"/>
        <v>0</v>
      </c>
      <c r="AJ745" s="949">
        <v>0</v>
      </c>
      <c r="AK745" s="581">
        <f t="shared" si="48"/>
        <v>0</v>
      </c>
      <c r="AL745" s="746" t="s">
        <v>1468</v>
      </c>
      <c r="AM745" s="743">
        <f t="shared" si="49"/>
        <v>38.93</v>
      </c>
    </row>
    <row r="746" spans="1:39" s="560" customFormat="1" hidden="1">
      <c r="A746" s="604" t="s">
        <v>576</v>
      </c>
      <c r="B746" s="604" t="s">
        <v>1174</v>
      </c>
      <c r="C746" s="530" t="s">
        <v>47</v>
      </c>
      <c r="D746" s="580"/>
      <c r="E746" s="981"/>
      <c r="F746" s="581"/>
      <c r="G746" s="581"/>
      <c r="H746" s="581"/>
      <c r="I746" s="949"/>
      <c r="J746" s="949"/>
      <c r="K746" s="949"/>
      <c r="L746" s="989"/>
      <c r="M746" s="575"/>
      <c r="N746" s="575"/>
      <c r="O746" s="575"/>
      <c r="P746" s="575"/>
      <c r="Q746" s="575"/>
      <c r="R746" s="575"/>
      <c r="S746" s="989"/>
      <c r="T746" s="575"/>
      <c r="U746" s="575"/>
      <c r="V746" s="575"/>
      <c r="W746" s="575"/>
      <c r="X746" s="575"/>
      <c r="Y746" s="575"/>
      <c r="Z746" s="989"/>
      <c r="AA746" s="575"/>
      <c r="AB746" s="575"/>
      <c r="AC746" s="575"/>
      <c r="AD746" s="575"/>
      <c r="AE746" s="827"/>
      <c r="AF746" s="575"/>
      <c r="AG746" s="989"/>
      <c r="AH746" s="842"/>
      <c r="AI746" s="738">
        <f t="shared" si="47"/>
        <v>0</v>
      </c>
      <c r="AJ746" s="949">
        <v>0</v>
      </c>
      <c r="AK746" s="581">
        <f t="shared" si="48"/>
        <v>0</v>
      </c>
      <c r="AL746" s="746" t="s">
        <v>1469</v>
      </c>
      <c r="AM746" s="743">
        <f t="shared" si="49"/>
        <v>563.80999999999995</v>
      </c>
    </row>
    <row r="747" spans="1:39" s="560" customFormat="1" hidden="1">
      <c r="A747" s="604" t="s">
        <v>577</v>
      </c>
      <c r="B747" s="604" t="s">
        <v>1175</v>
      </c>
      <c r="C747" s="679"/>
      <c r="D747" s="586"/>
      <c r="E747" s="982"/>
      <c r="F747" s="587"/>
      <c r="G747" s="587"/>
      <c r="H747" s="587"/>
      <c r="I747" s="588"/>
      <c r="J747" s="588"/>
      <c r="K747" s="588"/>
      <c r="L747" s="989"/>
      <c r="M747" s="575"/>
      <c r="N747" s="575"/>
      <c r="O747" s="575"/>
      <c r="P747" s="575"/>
      <c r="Q747" s="575"/>
      <c r="R747" s="575"/>
      <c r="S747" s="989"/>
      <c r="T747" s="575"/>
      <c r="U747" s="575"/>
      <c r="V747" s="575"/>
      <c r="W747" s="575"/>
      <c r="X747" s="575"/>
      <c r="Y747" s="575"/>
      <c r="Z747" s="989"/>
      <c r="AA747" s="575"/>
      <c r="AB747" s="575"/>
      <c r="AC747" s="575"/>
      <c r="AD747" s="575"/>
      <c r="AE747" s="827"/>
      <c r="AF747" s="575"/>
      <c r="AG747" s="989"/>
      <c r="AH747" s="842"/>
      <c r="AI747" s="738">
        <f t="shared" si="47"/>
        <v>0</v>
      </c>
      <c r="AJ747" s="949">
        <v>0</v>
      </c>
      <c r="AK747" s="581">
        <f t="shared" si="48"/>
        <v>0</v>
      </c>
      <c r="AL747" s="747"/>
      <c r="AM747" s="743">
        <f t="shared" si="49"/>
        <v>0</v>
      </c>
    </row>
    <row r="748" spans="1:39" s="560" customFormat="1" hidden="1">
      <c r="A748" s="604" t="s">
        <v>578</v>
      </c>
      <c r="B748" s="604" t="s">
        <v>1176</v>
      </c>
      <c r="C748" s="530" t="s">
        <v>39</v>
      </c>
      <c r="D748" s="580"/>
      <c r="E748" s="981"/>
      <c r="F748" s="581"/>
      <c r="G748" s="581"/>
      <c r="H748" s="581"/>
      <c r="I748" s="949"/>
      <c r="J748" s="949"/>
      <c r="K748" s="949"/>
      <c r="L748" s="989"/>
      <c r="M748" s="575"/>
      <c r="N748" s="575"/>
      <c r="O748" s="575"/>
      <c r="P748" s="575"/>
      <c r="Q748" s="575"/>
      <c r="R748" s="575"/>
      <c r="S748" s="989"/>
      <c r="T748" s="575"/>
      <c r="U748" s="575"/>
      <c r="V748" s="575"/>
      <c r="W748" s="575"/>
      <c r="X748" s="575"/>
      <c r="Y748" s="575"/>
      <c r="Z748" s="989"/>
      <c r="AA748" s="575"/>
      <c r="AB748" s="575"/>
      <c r="AC748" s="575"/>
      <c r="AD748" s="575"/>
      <c r="AE748" s="827"/>
      <c r="AF748" s="575"/>
      <c r="AG748" s="989"/>
      <c r="AH748" s="842"/>
      <c r="AI748" s="738">
        <f t="shared" si="47"/>
        <v>0</v>
      </c>
      <c r="AJ748" s="949">
        <v>0</v>
      </c>
      <c r="AK748" s="581">
        <f t="shared" si="48"/>
        <v>0</v>
      </c>
      <c r="AL748" s="746" t="s">
        <v>1470</v>
      </c>
      <c r="AM748" s="743">
        <f t="shared" si="49"/>
        <v>3.65</v>
      </c>
    </row>
    <row r="749" spans="1:39" s="560" customFormat="1" hidden="1">
      <c r="A749" s="604" t="s">
        <v>579</v>
      </c>
      <c r="B749" s="604" t="s">
        <v>1177</v>
      </c>
      <c r="C749" s="530" t="s">
        <v>36</v>
      </c>
      <c r="D749" s="580"/>
      <c r="E749" s="981"/>
      <c r="F749" s="581"/>
      <c r="G749" s="581"/>
      <c r="H749" s="581"/>
      <c r="I749" s="949"/>
      <c r="J749" s="949"/>
      <c r="K749" s="949"/>
      <c r="L749" s="989"/>
      <c r="M749" s="575"/>
      <c r="N749" s="575"/>
      <c r="O749" s="575"/>
      <c r="P749" s="575"/>
      <c r="Q749" s="575"/>
      <c r="R749" s="575"/>
      <c r="S749" s="989"/>
      <c r="T749" s="575"/>
      <c r="U749" s="575"/>
      <c r="V749" s="575"/>
      <c r="W749" s="575"/>
      <c r="X749" s="575"/>
      <c r="Y749" s="575"/>
      <c r="Z749" s="989"/>
      <c r="AA749" s="575"/>
      <c r="AB749" s="575"/>
      <c r="AC749" s="575"/>
      <c r="AD749" s="575"/>
      <c r="AE749" s="827"/>
      <c r="AF749" s="575"/>
      <c r="AG749" s="989"/>
      <c r="AH749" s="842"/>
      <c r="AI749" s="738">
        <f t="shared" si="47"/>
        <v>0</v>
      </c>
      <c r="AJ749" s="949">
        <v>0</v>
      </c>
      <c r="AK749" s="581">
        <f t="shared" si="48"/>
        <v>0</v>
      </c>
      <c r="AL749" s="746" t="s">
        <v>1471</v>
      </c>
      <c r="AM749" s="743">
        <f t="shared" si="49"/>
        <v>41.77</v>
      </c>
    </row>
    <row r="750" spans="1:39" s="560" customFormat="1" hidden="1">
      <c r="A750" s="604" t="s">
        <v>580</v>
      </c>
      <c r="B750" s="604" t="s">
        <v>1178</v>
      </c>
      <c r="C750" s="530" t="s">
        <v>47</v>
      </c>
      <c r="D750" s="580"/>
      <c r="E750" s="981"/>
      <c r="F750" s="581"/>
      <c r="G750" s="581"/>
      <c r="H750" s="581"/>
      <c r="I750" s="949"/>
      <c r="J750" s="949"/>
      <c r="K750" s="949"/>
      <c r="L750" s="989"/>
      <c r="M750" s="575"/>
      <c r="N750" s="575"/>
      <c r="O750" s="575"/>
      <c r="P750" s="575"/>
      <c r="Q750" s="575"/>
      <c r="R750" s="575"/>
      <c r="S750" s="989"/>
      <c r="T750" s="575"/>
      <c r="U750" s="575"/>
      <c r="V750" s="575"/>
      <c r="W750" s="575"/>
      <c r="X750" s="575"/>
      <c r="Y750" s="575"/>
      <c r="Z750" s="989"/>
      <c r="AA750" s="575"/>
      <c r="AB750" s="575"/>
      <c r="AC750" s="575"/>
      <c r="AD750" s="575"/>
      <c r="AE750" s="827"/>
      <c r="AF750" s="575"/>
      <c r="AG750" s="989"/>
      <c r="AH750" s="842"/>
      <c r="AI750" s="738">
        <f t="shared" si="47"/>
        <v>0</v>
      </c>
      <c r="AJ750" s="949">
        <v>0</v>
      </c>
      <c r="AK750" s="581">
        <f t="shared" si="48"/>
        <v>0</v>
      </c>
      <c r="AL750" s="746" t="s">
        <v>1472</v>
      </c>
      <c r="AM750" s="743">
        <f t="shared" si="49"/>
        <v>298.24</v>
      </c>
    </row>
    <row r="751" spans="1:39" s="560" customFormat="1" hidden="1">
      <c r="A751" s="604" t="s">
        <v>581</v>
      </c>
      <c r="B751" s="604" t="s">
        <v>1179</v>
      </c>
      <c r="C751" s="614" t="s">
        <v>1436</v>
      </c>
      <c r="D751" s="580"/>
      <c r="E751" s="981"/>
      <c r="F751" s="581"/>
      <c r="G751" s="581"/>
      <c r="H751" s="581"/>
      <c r="I751" s="949"/>
      <c r="J751" s="949"/>
      <c r="K751" s="949"/>
      <c r="L751" s="989"/>
      <c r="M751" s="575"/>
      <c r="N751" s="575"/>
      <c r="O751" s="575"/>
      <c r="P751" s="575"/>
      <c r="Q751" s="575"/>
      <c r="R751" s="575"/>
      <c r="S751" s="989"/>
      <c r="T751" s="575"/>
      <c r="U751" s="575"/>
      <c r="V751" s="575"/>
      <c r="W751" s="575"/>
      <c r="X751" s="575"/>
      <c r="Y751" s="575"/>
      <c r="Z751" s="989"/>
      <c r="AA751" s="575"/>
      <c r="AB751" s="575"/>
      <c r="AC751" s="575"/>
      <c r="AD751" s="575"/>
      <c r="AE751" s="827"/>
      <c r="AF751" s="575"/>
      <c r="AG751" s="989"/>
      <c r="AH751" s="842"/>
      <c r="AI751" s="738">
        <f t="shared" ref="AI751:AI814" si="50">ROUND((SUM(D751:AG751)),2)</f>
        <v>0</v>
      </c>
      <c r="AJ751" s="949">
        <v>0</v>
      </c>
      <c r="AK751" s="581">
        <f t="shared" si="48"/>
        <v>0</v>
      </c>
      <c r="AL751" s="746" t="s">
        <v>1473</v>
      </c>
      <c r="AM751" s="743">
        <f t="shared" si="49"/>
        <v>347.95</v>
      </c>
    </row>
    <row r="752" spans="1:39" s="560" customFormat="1" hidden="1">
      <c r="A752" s="604" t="s">
        <v>582</v>
      </c>
      <c r="B752" s="604" t="s">
        <v>1180</v>
      </c>
      <c r="C752" s="679"/>
      <c r="D752" s="580"/>
      <c r="E752" s="981"/>
      <c r="F752" s="581"/>
      <c r="G752" s="581"/>
      <c r="H752" s="581"/>
      <c r="I752" s="949"/>
      <c r="J752" s="949"/>
      <c r="K752" s="949"/>
      <c r="L752" s="989"/>
      <c r="M752" s="575"/>
      <c r="N752" s="575"/>
      <c r="O752" s="575"/>
      <c r="P752" s="575"/>
      <c r="Q752" s="575"/>
      <c r="R752" s="575"/>
      <c r="S752" s="989"/>
      <c r="T752" s="575"/>
      <c r="U752" s="575"/>
      <c r="V752" s="575"/>
      <c r="W752" s="575"/>
      <c r="X752" s="575"/>
      <c r="Y752" s="575"/>
      <c r="Z752" s="989"/>
      <c r="AA752" s="575"/>
      <c r="AB752" s="575"/>
      <c r="AC752" s="575"/>
      <c r="AD752" s="575"/>
      <c r="AE752" s="827"/>
      <c r="AF752" s="575"/>
      <c r="AG752" s="989"/>
      <c r="AH752" s="842"/>
      <c r="AI752" s="738">
        <f t="shared" si="50"/>
        <v>0</v>
      </c>
      <c r="AJ752" s="949">
        <v>0</v>
      </c>
      <c r="AK752" s="581">
        <f t="shared" si="48"/>
        <v>0</v>
      </c>
      <c r="AL752" s="746"/>
      <c r="AM752" s="743">
        <f t="shared" si="49"/>
        <v>0</v>
      </c>
    </row>
    <row r="753" spans="1:39" s="560" customFormat="1" hidden="1">
      <c r="A753" s="604" t="s">
        <v>583</v>
      </c>
      <c r="B753" s="604" t="s">
        <v>1181</v>
      </c>
      <c r="C753" s="530" t="s">
        <v>39</v>
      </c>
      <c r="D753" s="580"/>
      <c r="E753" s="981"/>
      <c r="F753" s="581"/>
      <c r="G753" s="581"/>
      <c r="H753" s="581"/>
      <c r="I753" s="949"/>
      <c r="J753" s="949"/>
      <c r="K753" s="949"/>
      <c r="L753" s="989"/>
      <c r="M753" s="575"/>
      <c r="N753" s="575"/>
      <c r="O753" s="575"/>
      <c r="P753" s="575"/>
      <c r="Q753" s="575"/>
      <c r="R753" s="575"/>
      <c r="S753" s="989"/>
      <c r="T753" s="575"/>
      <c r="U753" s="575"/>
      <c r="V753" s="575"/>
      <c r="W753" s="575"/>
      <c r="X753" s="575"/>
      <c r="Y753" s="575"/>
      <c r="Z753" s="989"/>
      <c r="AA753" s="575"/>
      <c r="AB753" s="575"/>
      <c r="AC753" s="575"/>
      <c r="AD753" s="575"/>
      <c r="AE753" s="827"/>
      <c r="AF753" s="575"/>
      <c r="AG753" s="989"/>
      <c r="AH753" s="842"/>
      <c r="AI753" s="738">
        <f t="shared" si="50"/>
        <v>0</v>
      </c>
      <c r="AJ753" s="949">
        <v>0</v>
      </c>
      <c r="AK753" s="581">
        <f t="shared" si="48"/>
        <v>0</v>
      </c>
      <c r="AL753" s="746" t="s">
        <v>1474</v>
      </c>
      <c r="AM753" s="743">
        <f t="shared" si="49"/>
        <v>1.2</v>
      </c>
    </row>
    <row r="754" spans="1:39" s="560" customFormat="1" hidden="1">
      <c r="A754" s="604" t="s">
        <v>584</v>
      </c>
      <c r="B754" s="604" t="s">
        <v>1182</v>
      </c>
      <c r="C754" s="530" t="s">
        <v>36</v>
      </c>
      <c r="D754" s="580"/>
      <c r="E754" s="981"/>
      <c r="F754" s="581"/>
      <c r="G754" s="581"/>
      <c r="H754" s="581"/>
      <c r="I754" s="949"/>
      <c r="J754" s="949"/>
      <c r="K754" s="949"/>
      <c r="L754" s="989"/>
      <c r="M754" s="575"/>
      <c r="N754" s="575"/>
      <c r="O754" s="575"/>
      <c r="P754" s="575"/>
      <c r="Q754" s="575"/>
      <c r="R754" s="575"/>
      <c r="S754" s="989"/>
      <c r="T754" s="575"/>
      <c r="U754" s="575"/>
      <c r="V754" s="575"/>
      <c r="W754" s="575"/>
      <c r="X754" s="575"/>
      <c r="Y754" s="575"/>
      <c r="Z754" s="989"/>
      <c r="AA754" s="575"/>
      <c r="AB754" s="575"/>
      <c r="AC754" s="575"/>
      <c r="AD754" s="575"/>
      <c r="AE754" s="827"/>
      <c r="AF754" s="575"/>
      <c r="AG754" s="989"/>
      <c r="AH754" s="842"/>
      <c r="AI754" s="738">
        <f t="shared" si="50"/>
        <v>0</v>
      </c>
      <c r="AJ754" s="949">
        <v>0</v>
      </c>
      <c r="AK754" s="581">
        <f t="shared" si="48"/>
        <v>0</v>
      </c>
      <c r="AL754" s="746" t="s">
        <v>1475</v>
      </c>
      <c r="AM754" s="743">
        <f t="shared" si="49"/>
        <v>16</v>
      </c>
    </row>
    <row r="755" spans="1:39" s="560" customFormat="1" hidden="1">
      <c r="A755" s="604" t="s">
        <v>585</v>
      </c>
      <c r="B755" s="604" t="s">
        <v>1183</v>
      </c>
      <c r="C755" s="530" t="s">
        <v>47</v>
      </c>
      <c r="D755" s="580"/>
      <c r="E755" s="981"/>
      <c r="F755" s="581"/>
      <c r="G755" s="581"/>
      <c r="H755" s="581"/>
      <c r="I755" s="949"/>
      <c r="J755" s="949"/>
      <c r="K755" s="949"/>
      <c r="L755" s="989"/>
      <c r="M755" s="575"/>
      <c r="N755" s="575"/>
      <c r="O755" s="575"/>
      <c r="P755" s="575"/>
      <c r="Q755" s="575"/>
      <c r="R755" s="575"/>
      <c r="S755" s="989"/>
      <c r="T755" s="575"/>
      <c r="U755" s="575"/>
      <c r="V755" s="575"/>
      <c r="W755" s="575"/>
      <c r="X755" s="575"/>
      <c r="Y755" s="575"/>
      <c r="Z755" s="989"/>
      <c r="AA755" s="575"/>
      <c r="AB755" s="575"/>
      <c r="AC755" s="575"/>
      <c r="AD755" s="575"/>
      <c r="AE755" s="827"/>
      <c r="AF755" s="575"/>
      <c r="AG755" s="989"/>
      <c r="AH755" s="842"/>
      <c r="AI755" s="738">
        <f t="shared" si="50"/>
        <v>0</v>
      </c>
      <c r="AJ755" s="949">
        <v>0</v>
      </c>
      <c r="AK755" s="581">
        <f t="shared" si="48"/>
        <v>0</v>
      </c>
      <c r="AL755" s="746" t="s">
        <v>1476</v>
      </c>
      <c r="AM755" s="743">
        <f t="shared" si="49"/>
        <v>124.05</v>
      </c>
    </row>
    <row r="756" spans="1:39" s="560" customFormat="1" hidden="1">
      <c r="A756" s="607" t="s">
        <v>586</v>
      </c>
      <c r="B756" s="607" t="s">
        <v>1184</v>
      </c>
      <c r="C756" s="679"/>
      <c r="D756" s="580"/>
      <c r="E756" s="981"/>
      <c r="F756" s="581"/>
      <c r="G756" s="581"/>
      <c r="H756" s="581"/>
      <c r="I756" s="949"/>
      <c r="J756" s="949"/>
      <c r="K756" s="949"/>
      <c r="L756" s="989"/>
      <c r="M756" s="575"/>
      <c r="N756" s="575"/>
      <c r="O756" s="575"/>
      <c r="P756" s="575"/>
      <c r="Q756" s="575"/>
      <c r="R756" s="575"/>
      <c r="S756" s="989"/>
      <c r="T756" s="575"/>
      <c r="U756" s="575"/>
      <c r="V756" s="575"/>
      <c r="W756" s="575"/>
      <c r="X756" s="575"/>
      <c r="Y756" s="575"/>
      <c r="Z756" s="989"/>
      <c r="AA756" s="575"/>
      <c r="AB756" s="575"/>
      <c r="AC756" s="575"/>
      <c r="AD756" s="575"/>
      <c r="AE756" s="827"/>
      <c r="AF756" s="575"/>
      <c r="AG756" s="989"/>
      <c r="AH756" s="842"/>
      <c r="AI756" s="738">
        <f t="shared" si="50"/>
        <v>0</v>
      </c>
      <c r="AJ756" s="949">
        <v>0</v>
      </c>
      <c r="AK756" s="581">
        <f t="shared" si="48"/>
        <v>0</v>
      </c>
      <c r="AL756" s="746"/>
      <c r="AM756" s="743">
        <f t="shared" si="49"/>
        <v>0</v>
      </c>
    </row>
    <row r="757" spans="1:39" s="560" customFormat="1" hidden="1">
      <c r="A757" s="604" t="s">
        <v>587</v>
      </c>
      <c r="B757" s="604" t="s">
        <v>1185</v>
      </c>
      <c r="C757" s="530" t="s">
        <v>37</v>
      </c>
      <c r="D757" s="580"/>
      <c r="E757" s="981"/>
      <c r="F757" s="581"/>
      <c r="G757" s="581"/>
      <c r="H757" s="581"/>
      <c r="I757" s="949"/>
      <c r="J757" s="949"/>
      <c r="K757" s="949"/>
      <c r="L757" s="989"/>
      <c r="M757" s="575"/>
      <c r="N757" s="575"/>
      <c r="O757" s="575"/>
      <c r="P757" s="575"/>
      <c r="Q757" s="575"/>
      <c r="R757" s="575"/>
      <c r="S757" s="989"/>
      <c r="T757" s="575"/>
      <c r="U757" s="575"/>
      <c r="V757" s="575"/>
      <c r="W757" s="575"/>
      <c r="X757" s="575"/>
      <c r="Y757" s="575"/>
      <c r="Z757" s="989"/>
      <c r="AA757" s="575"/>
      <c r="AB757" s="575"/>
      <c r="AC757" s="575"/>
      <c r="AD757" s="575"/>
      <c r="AE757" s="827"/>
      <c r="AF757" s="575"/>
      <c r="AG757" s="989"/>
      <c r="AH757" s="842"/>
      <c r="AI757" s="738">
        <f t="shared" si="50"/>
        <v>0</v>
      </c>
      <c r="AJ757" s="949">
        <v>0</v>
      </c>
      <c r="AK757" s="581">
        <f t="shared" si="48"/>
        <v>0</v>
      </c>
      <c r="AL757" s="746" t="s">
        <v>1477</v>
      </c>
      <c r="AM757" s="743">
        <f t="shared" si="49"/>
        <v>59.04</v>
      </c>
    </row>
    <row r="758" spans="1:39" s="560" customFormat="1" hidden="1">
      <c r="A758" s="607" t="s">
        <v>588</v>
      </c>
      <c r="B758" s="607" t="s">
        <v>1186</v>
      </c>
      <c r="C758" s="690"/>
      <c r="D758" s="580"/>
      <c r="E758" s="981"/>
      <c r="F758" s="581"/>
      <c r="G758" s="581"/>
      <c r="H758" s="581"/>
      <c r="I758" s="949"/>
      <c r="J758" s="949"/>
      <c r="K758" s="949"/>
      <c r="L758" s="989"/>
      <c r="M758" s="575"/>
      <c r="N758" s="575"/>
      <c r="O758" s="575"/>
      <c r="P758" s="575"/>
      <c r="Q758" s="575"/>
      <c r="R758" s="575"/>
      <c r="S758" s="989"/>
      <c r="T758" s="575"/>
      <c r="U758" s="575"/>
      <c r="V758" s="575"/>
      <c r="W758" s="575"/>
      <c r="X758" s="575"/>
      <c r="Y758" s="575"/>
      <c r="Z758" s="989"/>
      <c r="AA758" s="575"/>
      <c r="AB758" s="575"/>
      <c r="AC758" s="575"/>
      <c r="AD758" s="575"/>
      <c r="AE758" s="827"/>
      <c r="AF758" s="575"/>
      <c r="AG758" s="989"/>
      <c r="AH758" s="842"/>
      <c r="AI758" s="738">
        <f t="shared" si="50"/>
        <v>0</v>
      </c>
      <c r="AJ758" s="949">
        <v>0</v>
      </c>
      <c r="AK758" s="581">
        <f t="shared" si="48"/>
        <v>0</v>
      </c>
      <c r="AL758" s="746"/>
      <c r="AM758" s="743">
        <f t="shared" si="49"/>
        <v>0</v>
      </c>
    </row>
    <row r="759" spans="1:39" s="560" customFormat="1" hidden="1">
      <c r="A759" s="604" t="s">
        <v>589</v>
      </c>
      <c r="B759" s="604" t="s">
        <v>1187</v>
      </c>
      <c r="C759" s="530" t="s">
        <v>37</v>
      </c>
      <c r="D759" s="580"/>
      <c r="E759" s="981"/>
      <c r="F759" s="581"/>
      <c r="G759" s="581"/>
      <c r="H759" s="581"/>
      <c r="I759" s="949"/>
      <c r="J759" s="949"/>
      <c r="K759" s="949"/>
      <c r="L759" s="989"/>
      <c r="M759" s="575"/>
      <c r="N759" s="575"/>
      <c r="O759" s="575"/>
      <c r="P759" s="575"/>
      <c r="Q759" s="575"/>
      <c r="R759" s="575"/>
      <c r="S759" s="989"/>
      <c r="T759" s="575"/>
      <c r="U759" s="575"/>
      <c r="V759" s="575"/>
      <c r="W759" s="575"/>
      <c r="X759" s="575"/>
      <c r="Y759" s="575"/>
      <c r="Z759" s="989"/>
      <c r="AA759" s="575"/>
      <c r="AB759" s="575"/>
      <c r="AC759" s="575"/>
      <c r="AD759" s="575"/>
      <c r="AE759" s="827"/>
      <c r="AF759" s="575"/>
      <c r="AG759" s="989"/>
      <c r="AH759" s="842"/>
      <c r="AI759" s="738">
        <f t="shared" si="50"/>
        <v>0</v>
      </c>
      <c r="AJ759" s="949">
        <v>0</v>
      </c>
      <c r="AK759" s="581">
        <f t="shared" si="48"/>
        <v>0</v>
      </c>
      <c r="AL759" s="746" t="s">
        <v>1478</v>
      </c>
      <c r="AM759" s="743">
        <f t="shared" si="49"/>
        <v>100.3</v>
      </c>
    </row>
    <row r="760" spans="1:39" s="560" customFormat="1" hidden="1">
      <c r="A760" s="604" t="s">
        <v>590</v>
      </c>
      <c r="B760" s="604" t="s">
        <v>224</v>
      </c>
      <c r="C760" s="530" t="s">
        <v>1436</v>
      </c>
      <c r="D760" s="586"/>
      <c r="E760" s="982"/>
      <c r="F760" s="587"/>
      <c r="G760" s="587"/>
      <c r="H760" s="587"/>
      <c r="I760" s="588"/>
      <c r="J760" s="588"/>
      <c r="K760" s="588"/>
      <c r="L760" s="989"/>
      <c r="M760" s="575"/>
      <c r="N760" s="575"/>
      <c r="O760" s="575"/>
      <c r="P760" s="575"/>
      <c r="Q760" s="575"/>
      <c r="R760" s="575"/>
      <c r="S760" s="989"/>
      <c r="T760" s="575"/>
      <c r="U760" s="575"/>
      <c r="V760" s="575"/>
      <c r="W760" s="575"/>
      <c r="X760" s="575"/>
      <c r="Y760" s="575"/>
      <c r="Z760" s="989"/>
      <c r="AA760" s="575"/>
      <c r="AB760" s="575"/>
      <c r="AC760" s="575"/>
      <c r="AD760" s="575"/>
      <c r="AE760" s="827"/>
      <c r="AF760" s="575"/>
      <c r="AG760" s="989"/>
      <c r="AH760" s="842"/>
      <c r="AI760" s="738">
        <f t="shared" si="50"/>
        <v>0</v>
      </c>
      <c r="AJ760" s="949">
        <v>0</v>
      </c>
      <c r="AK760" s="581">
        <f t="shared" si="48"/>
        <v>0</v>
      </c>
      <c r="AL760" s="747" t="s">
        <v>1479</v>
      </c>
      <c r="AM760" s="743">
        <f t="shared" si="49"/>
        <v>15</v>
      </c>
    </row>
    <row r="761" spans="1:39" s="560" customFormat="1">
      <c r="A761" s="492" t="s">
        <v>43</v>
      </c>
      <c r="B761" s="608" t="s">
        <v>1188</v>
      </c>
      <c r="C761" s="679"/>
      <c r="D761" s="580"/>
      <c r="E761" s="981"/>
      <c r="F761" s="581"/>
      <c r="G761" s="581"/>
      <c r="H761" s="581"/>
      <c r="I761" s="949"/>
      <c r="J761" s="949"/>
      <c r="K761" s="949"/>
      <c r="L761" s="989"/>
      <c r="M761" s="575"/>
      <c r="N761" s="575"/>
      <c r="O761" s="575"/>
      <c r="P761" s="575"/>
      <c r="Q761" s="575"/>
      <c r="R761" s="575"/>
      <c r="S761" s="989"/>
      <c r="T761" s="575"/>
      <c r="U761" s="575"/>
      <c r="V761" s="575"/>
      <c r="W761" s="575"/>
      <c r="X761" s="575"/>
      <c r="Y761" s="575"/>
      <c r="Z761" s="989"/>
      <c r="AA761" s="575"/>
      <c r="AB761" s="575"/>
      <c r="AC761" s="575"/>
      <c r="AD761" s="575"/>
      <c r="AE761" s="827"/>
      <c r="AF761" s="575"/>
      <c r="AG761" s="989"/>
      <c r="AH761" s="842"/>
      <c r="AI761" s="738">
        <f t="shared" si="50"/>
        <v>0</v>
      </c>
      <c r="AJ761" s="949">
        <v>0</v>
      </c>
      <c r="AK761" s="581">
        <f t="shared" ref="AK761:AK824" si="51">AI761+AJ761</f>
        <v>0</v>
      </c>
      <c r="AL761" s="746"/>
      <c r="AM761" s="743">
        <f t="shared" ref="AM761:AM824" si="52">AL761-AK761</f>
        <v>0</v>
      </c>
    </row>
    <row r="762" spans="1:39" s="560" customFormat="1" hidden="1">
      <c r="A762" s="607" t="s">
        <v>53</v>
      </c>
      <c r="B762" s="607" t="s">
        <v>45</v>
      </c>
      <c r="C762" s="679"/>
      <c r="D762" s="580"/>
      <c r="E762" s="981"/>
      <c r="F762" s="581"/>
      <c r="G762" s="581"/>
      <c r="H762" s="581"/>
      <c r="I762" s="949"/>
      <c r="J762" s="949"/>
      <c r="K762" s="949"/>
      <c r="L762" s="989"/>
      <c r="M762" s="575"/>
      <c r="N762" s="575"/>
      <c r="O762" s="575"/>
      <c r="P762" s="575"/>
      <c r="Q762" s="575"/>
      <c r="R762" s="575"/>
      <c r="S762" s="989"/>
      <c r="T762" s="575"/>
      <c r="U762" s="575"/>
      <c r="V762" s="575"/>
      <c r="W762" s="575"/>
      <c r="X762" s="575"/>
      <c r="Y762" s="575"/>
      <c r="Z762" s="989"/>
      <c r="AA762" s="575"/>
      <c r="AB762" s="575"/>
      <c r="AC762" s="575"/>
      <c r="AD762" s="575"/>
      <c r="AE762" s="827"/>
      <c r="AF762" s="575"/>
      <c r="AG762" s="989"/>
      <c r="AH762" s="842"/>
      <c r="AI762" s="738">
        <f t="shared" si="50"/>
        <v>0</v>
      </c>
      <c r="AJ762" s="949">
        <v>0</v>
      </c>
      <c r="AK762" s="581">
        <f t="shared" si="51"/>
        <v>0</v>
      </c>
      <c r="AL762" s="746"/>
      <c r="AM762" s="743">
        <f t="shared" si="52"/>
        <v>0</v>
      </c>
    </row>
    <row r="763" spans="1:39" s="560" customFormat="1" hidden="1">
      <c r="A763" s="604" t="s">
        <v>591</v>
      </c>
      <c r="B763" s="604" t="s">
        <v>1142</v>
      </c>
      <c r="C763" s="530" t="s">
        <v>39</v>
      </c>
      <c r="D763" s="580"/>
      <c r="E763" s="981"/>
      <c r="F763" s="581"/>
      <c r="G763" s="581"/>
      <c r="H763" s="581"/>
      <c r="I763" s="949"/>
      <c r="J763" s="949"/>
      <c r="K763" s="949"/>
      <c r="L763" s="989"/>
      <c r="M763" s="575"/>
      <c r="N763" s="575"/>
      <c r="O763" s="575"/>
      <c r="P763" s="575"/>
      <c r="Q763" s="575"/>
      <c r="R763" s="575"/>
      <c r="S763" s="989"/>
      <c r="T763" s="575"/>
      <c r="U763" s="575"/>
      <c r="V763" s="575"/>
      <c r="W763" s="575"/>
      <c r="X763" s="575"/>
      <c r="Y763" s="575"/>
      <c r="Z763" s="989"/>
      <c r="AA763" s="575"/>
      <c r="AB763" s="575"/>
      <c r="AC763" s="575"/>
      <c r="AD763" s="575"/>
      <c r="AE763" s="827"/>
      <c r="AF763" s="575"/>
      <c r="AG763" s="989"/>
      <c r="AH763" s="842"/>
      <c r="AI763" s="738">
        <f t="shared" si="50"/>
        <v>0</v>
      </c>
      <c r="AJ763" s="949">
        <v>0</v>
      </c>
      <c r="AK763" s="581">
        <f t="shared" si="51"/>
        <v>0</v>
      </c>
      <c r="AL763" s="746" t="s">
        <v>1480</v>
      </c>
      <c r="AM763" s="743">
        <f t="shared" si="52"/>
        <v>34.270000000000003</v>
      </c>
    </row>
    <row r="764" spans="1:39" s="560" customFormat="1" hidden="1">
      <c r="A764" s="604" t="s">
        <v>592</v>
      </c>
      <c r="B764" s="604" t="s">
        <v>1143</v>
      </c>
      <c r="C764" s="530" t="s">
        <v>39</v>
      </c>
      <c r="D764" s="580"/>
      <c r="E764" s="981"/>
      <c r="F764" s="581"/>
      <c r="G764" s="581"/>
      <c r="H764" s="581"/>
      <c r="I764" s="949"/>
      <c r="J764" s="949"/>
      <c r="K764" s="949"/>
      <c r="L764" s="989"/>
      <c r="M764" s="575"/>
      <c r="N764" s="575"/>
      <c r="O764" s="575"/>
      <c r="P764" s="575"/>
      <c r="Q764" s="575"/>
      <c r="R764" s="575"/>
      <c r="S764" s="989"/>
      <c r="T764" s="575"/>
      <c r="U764" s="575"/>
      <c r="V764" s="575"/>
      <c r="W764" s="575"/>
      <c r="X764" s="575"/>
      <c r="Y764" s="575"/>
      <c r="Z764" s="989"/>
      <c r="AA764" s="575"/>
      <c r="AB764" s="575"/>
      <c r="AC764" s="575"/>
      <c r="AD764" s="575"/>
      <c r="AE764" s="827"/>
      <c r="AF764" s="575"/>
      <c r="AG764" s="989"/>
      <c r="AH764" s="842"/>
      <c r="AI764" s="738">
        <f t="shared" si="50"/>
        <v>0</v>
      </c>
      <c r="AJ764" s="949">
        <v>0</v>
      </c>
      <c r="AK764" s="581">
        <f t="shared" si="51"/>
        <v>0</v>
      </c>
      <c r="AL764" s="746" t="s">
        <v>1481</v>
      </c>
      <c r="AM764" s="743">
        <f t="shared" si="52"/>
        <v>16.989999999999998</v>
      </c>
    </row>
    <row r="765" spans="1:39" s="560" customFormat="1" hidden="1">
      <c r="A765" s="604" t="s">
        <v>593</v>
      </c>
      <c r="B765" s="604" t="s">
        <v>1144</v>
      </c>
      <c r="C765" s="614" t="s">
        <v>39</v>
      </c>
      <c r="D765" s="580"/>
      <c r="E765" s="981"/>
      <c r="F765" s="581"/>
      <c r="G765" s="581"/>
      <c r="H765" s="581"/>
      <c r="I765" s="949"/>
      <c r="J765" s="949"/>
      <c r="K765" s="949"/>
      <c r="L765" s="989"/>
      <c r="M765" s="575"/>
      <c r="N765" s="575"/>
      <c r="O765" s="575"/>
      <c r="P765" s="575"/>
      <c r="Q765" s="575"/>
      <c r="R765" s="575"/>
      <c r="S765" s="989"/>
      <c r="T765" s="575"/>
      <c r="U765" s="575"/>
      <c r="V765" s="575"/>
      <c r="W765" s="575"/>
      <c r="X765" s="575"/>
      <c r="Y765" s="575"/>
      <c r="Z765" s="989"/>
      <c r="AA765" s="575"/>
      <c r="AB765" s="575"/>
      <c r="AC765" s="575"/>
      <c r="AD765" s="575"/>
      <c r="AE765" s="827"/>
      <c r="AF765" s="575"/>
      <c r="AG765" s="989"/>
      <c r="AH765" s="842"/>
      <c r="AI765" s="738">
        <f t="shared" si="50"/>
        <v>0</v>
      </c>
      <c r="AJ765" s="949">
        <v>0</v>
      </c>
      <c r="AK765" s="581">
        <f t="shared" si="51"/>
        <v>0</v>
      </c>
      <c r="AL765" s="746" t="s">
        <v>1482</v>
      </c>
      <c r="AM765" s="743">
        <f t="shared" si="52"/>
        <v>28.37</v>
      </c>
    </row>
    <row r="766" spans="1:39" s="560" customFormat="1" hidden="1">
      <c r="A766" s="604" t="s">
        <v>594</v>
      </c>
      <c r="B766" s="604" t="s">
        <v>1145</v>
      </c>
      <c r="C766" s="530" t="s">
        <v>36</v>
      </c>
      <c r="D766" s="580"/>
      <c r="E766" s="981"/>
      <c r="F766" s="581"/>
      <c r="G766" s="581"/>
      <c r="H766" s="581"/>
      <c r="I766" s="949"/>
      <c r="J766" s="949"/>
      <c r="K766" s="949"/>
      <c r="L766" s="989"/>
      <c r="M766" s="575"/>
      <c r="N766" s="575"/>
      <c r="O766" s="575"/>
      <c r="P766" s="575"/>
      <c r="Q766" s="575"/>
      <c r="R766" s="575"/>
      <c r="S766" s="989"/>
      <c r="T766" s="575"/>
      <c r="U766" s="575"/>
      <c r="V766" s="575"/>
      <c r="W766" s="575"/>
      <c r="X766" s="575"/>
      <c r="Y766" s="575"/>
      <c r="Z766" s="989"/>
      <c r="AA766" s="575"/>
      <c r="AB766" s="575"/>
      <c r="AC766" s="575"/>
      <c r="AD766" s="575"/>
      <c r="AE766" s="827"/>
      <c r="AF766" s="575"/>
      <c r="AG766" s="989"/>
      <c r="AH766" s="842"/>
      <c r="AI766" s="738">
        <f t="shared" si="50"/>
        <v>0</v>
      </c>
      <c r="AJ766" s="949">
        <v>0</v>
      </c>
      <c r="AK766" s="581">
        <f t="shared" si="51"/>
        <v>0</v>
      </c>
      <c r="AL766" s="746" t="s">
        <v>1483</v>
      </c>
      <c r="AM766" s="743">
        <f t="shared" si="52"/>
        <v>57.19</v>
      </c>
    </row>
    <row r="767" spans="1:39" s="560" customFormat="1" hidden="1">
      <c r="A767" s="604" t="s">
        <v>595</v>
      </c>
      <c r="B767" s="604" t="s">
        <v>1146</v>
      </c>
      <c r="C767" s="530" t="s">
        <v>39</v>
      </c>
      <c r="D767" s="580"/>
      <c r="E767" s="981"/>
      <c r="F767" s="581"/>
      <c r="G767" s="581"/>
      <c r="H767" s="581"/>
      <c r="I767" s="949"/>
      <c r="J767" s="949"/>
      <c r="K767" s="949"/>
      <c r="L767" s="989"/>
      <c r="M767" s="575"/>
      <c r="N767" s="575"/>
      <c r="O767" s="575"/>
      <c r="P767" s="575"/>
      <c r="Q767" s="575"/>
      <c r="R767" s="575"/>
      <c r="S767" s="989"/>
      <c r="T767" s="575"/>
      <c r="U767" s="575"/>
      <c r="V767" s="575"/>
      <c r="W767" s="575"/>
      <c r="X767" s="575"/>
      <c r="Y767" s="575"/>
      <c r="Z767" s="989"/>
      <c r="AA767" s="575"/>
      <c r="AB767" s="575"/>
      <c r="AC767" s="575"/>
      <c r="AD767" s="575"/>
      <c r="AE767" s="827"/>
      <c r="AF767" s="575"/>
      <c r="AG767" s="989"/>
      <c r="AH767" s="842"/>
      <c r="AI767" s="738">
        <f t="shared" si="50"/>
        <v>0</v>
      </c>
      <c r="AJ767" s="949">
        <v>0</v>
      </c>
      <c r="AK767" s="581">
        <f t="shared" si="51"/>
        <v>0</v>
      </c>
      <c r="AL767" s="746" t="s">
        <v>1484</v>
      </c>
      <c r="AM767" s="743">
        <f t="shared" si="52"/>
        <v>28.61</v>
      </c>
    </row>
    <row r="768" spans="1:39" s="560" customFormat="1" hidden="1">
      <c r="A768" s="604" t="s">
        <v>596</v>
      </c>
      <c r="B768" s="604" t="s">
        <v>1147</v>
      </c>
      <c r="C768" s="530" t="s">
        <v>39</v>
      </c>
      <c r="D768" s="580"/>
      <c r="E768" s="981"/>
      <c r="F768" s="581"/>
      <c r="G768" s="581"/>
      <c r="H768" s="581"/>
      <c r="I768" s="949"/>
      <c r="J768" s="949"/>
      <c r="K768" s="949"/>
      <c r="L768" s="989"/>
      <c r="M768" s="575"/>
      <c r="N768" s="575"/>
      <c r="O768" s="575"/>
      <c r="P768" s="575"/>
      <c r="Q768" s="575"/>
      <c r="R768" s="575"/>
      <c r="S768" s="989"/>
      <c r="T768" s="575"/>
      <c r="U768" s="575"/>
      <c r="V768" s="575"/>
      <c r="W768" s="575"/>
      <c r="X768" s="575"/>
      <c r="Y768" s="575"/>
      <c r="Z768" s="989"/>
      <c r="AA768" s="575"/>
      <c r="AB768" s="575"/>
      <c r="AC768" s="575"/>
      <c r="AD768" s="575"/>
      <c r="AE768" s="827"/>
      <c r="AF768" s="575"/>
      <c r="AG768" s="989"/>
      <c r="AH768" s="842"/>
      <c r="AI768" s="738">
        <f t="shared" si="50"/>
        <v>0</v>
      </c>
      <c r="AJ768" s="949">
        <v>0</v>
      </c>
      <c r="AK768" s="581">
        <f t="shared" si="51"/>
        <v>0</v>
      </c>
      <c r="AL768" s="746" t="s">
        <v>1484</v>
      </c>
      <c r="AM768" s="743">
        <f t="shared" si="52"/>
        <v>28.61</v>
      </c>
    </row>
    <row r="769" spans="1:39" s="560" customFormat="1" hidden="1">
      <c r="A769" s="607" t="s">
        <v>54</v>
      </c>
      <c r="B769" s="607" t="s">
        <v>1148</v>
      </c>
      <c r="C769" s="679"/>
      <c r="D769" s="580"/>
      <c r="E769" s="981"/>
      <c r="F769" s="581"/>
      <c r="G769" s="581"/>
      <c r="H769" s="581"/>
      <c r="I769" s="949"/>
      <c r="J769" s="949"/>
      <c r="K769" s="949"/>
      <c r="L769" s="989"/>
      <c r="M769" s="575"/>
      <c r="N769" s="575"/>
      <c r="O769" s="575"/>
      <c r="P769" s="575"/>
      <c r="Q769" s="575"/>
      <c r="R769" s="575"/>
      <c r="S769" s="989"/>
      <c r="T769" s="575"/>
      <c r="U769" s="575"/>
      <c r="V769" s="575"/>
      <c r="W769" s="575"/>
      <c r="X769" s="575"/>
      <c r="Y769" s="575"/>
      <c r="Z769" s="989"/>
      <c r="AA769" s="575"/>
      <c r="AB769" s="575"/>
      <c r="AC769" s="575"/>
      <c r="AD769" s="575"/>
      <c r="AE769" s="827"/>
      <c r="AF769" s="575"/>
      <c r="AG769" s="989"/>
      <c r="AH769" s="842"/>
      <c r="AI769" s="738">
        <f t="shared" si="50"/>
        <v>0</v>
      </c>
      <c r="AJ769" s="949">
        <v>0</v>
      </c>
      <c r="AK769" s="581">
        <f t="shared" si="51"/>
        <v>0</v>
      </c>
      <c r="AL769" s="746"/>
      <c r="AM769" s="743">
        <f t="shared" si="52"/>
        <v>0</v>
      </c>
    </row>
    <row r="770" spans="1:39" s="560" customFormat="1" hidden="1">
      <c r="A770" s="604" t="s">
        <v>597</v>
      </c>
      <c r="B770" s="604" t="s">
        <v>1189</v>
      </c>
      <c r="C770" s="530" t="s">
        <v>36</v>
      </c>
      <c r="D770" s="580"/>
      <c r="E770" s="981"/>
      <c r="F770" s="581"/>
      <c r="G770" s="581"/>
      <c r="H770" s="581"/>
      <c r="I770" s="949"/>
      <c r="J770" s="949"/>
      <c r="K770" s="949"/>
      <c r="L770" s="989"/>
      <c r="M770" s="575"/>
      <c r="N770" s="575"/>
      <c r="O770" s="575"/>
      <c r="R770" s="575"/>
      <c r="S770" s="989"/>
      <c r="T770" s="575"/>
      <c r="U770" s="575"/>
      <c r="V770" s="741"/>
      <c r="W770" s="741"/>
      <c r="X770" s="741"/>
      <c r="Y770" s="741"/>
      <c r="Z770" s="994"/>
      <c r="AA770" s="741"/>
      <c r="AB770" s="741"/>
      <c r="AD770" s="741"/>
      <c r="AE770" s="827"/>
      <c r="AF770" s="575"/>
      <c r="AG770" s="989"/>
      <c r="AH770" s="842"/>
      <c r="AI770" s="738">
        <f t="shared" si="50"/>
        <v>0</v>
      </c>
      <c r="AJ770" s="949">
        <v>0</v>
      </c>
      <c r="AK770" s="581">
        <f t="shared" si="51"/>
        <v>0</v>
      </c>
      <c r="AL770" s="746" t="s">
        <v>1485</v>
      </c>
      <c r="AM770" s="743">
        <f t="shared" si="52"/>
        <v>26.55</v>
      </c>
    </row>
    <row r="771" spans="1:39" s="897" customFormat="1" hidden="1">
      <c r="A771" s="886" t="s">
        <v>598</v>
      </c>
      <c r="B771" s="886" t="s">
        <v>1190</v>
      </c>
      <c r="C771" s="887" t="s">
        <v>39</v>
      </c>
      <c r="D771" s="888"/>
      <c r="E771" s="981"/>
      <c r="F771" s="889"/>
      <c r="G771" s="889"/>
      <c r="H771" s="889"/>
      <c r="I771" s="890"/>
      <c r="J771" s="890"/>
      <c r="K771" s="890"/>
      <c r="L771" s="989"/>
      <c r="M771" s="891"/>
      <c r="N771" s="891"/>
      <c r="O771" s="891"/>
      <c r="P771" s="891"/>
      <c r="Q771" s="891"/>
      <c r="R771" s="891"/>
      <c r="S771" s="989"/>
      <c r="T771" s="891"/>
      <c r="U771" s="891"/>
      <c r="V771" s="891"/>
      <c r="W771" s="891"/>
      <c r="X771" s="891"/>
      <c r="Y771" s="891"/>
      <c r="Z771" s="989"/>
      <c r="AA771" s="891"/>
      <c r="AB771" s="891"/>
      <c r="AC771" s="891"/>
      <c r="AD771" s="891"/>
      <c r="AE771" s="827"/>
      <c r="AF771" s="891"/>
      <c r="AG771" s="989"/>
      <c r="AH771" s="893"/>
      <c r="AI771" s="894">
        <f t="shared" si="50"/>
        <v>0</v>
      </c>
      <c r="AJ771" s="890">
        <v>0</v>
      </c>
      <c r="AK771" s="889">
        <f t="shared" si="51"/>
        <v>0</v>
      </c>
      <c r="AL771" s="895" t="s">
        <v>1486</v>
      </c>
      <c r="AM771" s="896">
        <f t="shared" si="52"/>
        <v>12.87</v>
      </c>
    </row>
    <row r="772" spans="1:39" s="897" customFormat="1" hidden="1">
      <c r="A772" s="886" t="s">
        <v>599</v>
      </c>
      <c r="B772" s="886" t="s">
        <v>1191</v>
      </c>
      <c r="C772" s="887" t="s">
        <v>39</v>
      </c>
      <c r="D772" s="888"/>
      <c r="E772" s="981"/>
      <c r="F772" s="889"/>
      <c r="G772" s="889"/>
      <c r="H772" s="889"/>
      <c r="I772" s="890"/>
      <c r="J772" s="890"/>
      <c r="K772" s="890"/>
      <c r="L772" s="989"/>
      <c r="M772" s="891"/>
      <c r="N772" s="891"/>
      <c r="O772" s="891"/>
      <c r="P772" s="891"/>
      <c r="Q772" s="891"/>
      <c r="R772" s="891"/>
      <c r="S772" s="989"/>
      <c r="T772" s="891"/>
      <c r="U772" s="891"/>
      <c r="V772" s="891"/>
      <c r="W772" s="891"/>
      <c r="X772" s="891"/>
      <c r="Y772" s="891"/>
      <c r="Z772" s="989"/>
      <c r="AA772" s="891"/>
      <c r="AB772" s="891"/>
      <c r="AC772" s="891"/>
      <c r="AD772" s="891"/>
      <c r="AE772" s="827"/>
      <c r="AF772" s="891"/>
      <c r="AG772" s="989"/>
      <c r="AH772" s="893"/>
      <c r="AI772" s="894">
        <f t="shared" si="50"/>
        <v>0</v>
      </c>
      <c r="AJ772" s="890">
        <v>0</v>
      </c>
      <c r="AK772" s="889">
        <f t="shared" si="51"/>
        <v>0</v>
      </c>
      <c r="AL772" s="895" t="s">
        <v>1487</v>
      </c>
      <c r="AM772" s="896">
        <f t="shared" si="52"/>
        <v>2.68</v>
      </c>
    </row>
    <row r="773" spans="1:39" s="897" customFormat="1" hidden="1">
      <c r="A773" s="886" t="s">
        <v>600</v>
      </c>
      <c r="B773" s="886" t="s">
        <v>1153</v>
      </c>
      <c r="C773" s="900" t="s">
        <v>36</v>
      </c>
      <c r="D773" s="888"/>
      <c r="E773" s="981"/>
      <c r="F773" s="889"/>
      <c r="G773" s="889"/>
      <c r="H773" s="889"/>
      <c r="I773" s="890"/>
      <c r="J773" s="890"/>
      <c r="K773" s="890"/>
      <c r="L773" s="989"/>
      <c r="M773" s="891"/>
      <c r="N773" s="891"/>
      <c r="O773" s="891"/>
      <c r="P773" s="891"/>
      <c r="Q773" s="891"/>
      <c r="R773" s="891"/>
      <c r="S773" s="989"/>
      <c r="T773" s="891"/>
      <c r="U773" s="891"/>
      <c r="V773" s="891"/>
      <c r="W773" s="891"/>
      <c r="X773" s="891"/>
      <c r="Y773" s="891"/>
      <c r="Z773" s="989"/>
      <c r="AA773" s="891"/>
      <c r="AB773" s="891"/>
      <c r="AC773" s="891"/>
      <c r="AD773" s="891"/>
      <c r="AE773" s="827"/>
      <c r="AF773" s="891"/>
      <c r="AG773" s="989"/>
      <c r="AH773" s="893"/>
      <c r="AI773" s="894">
        <f t="shared" si="50"/>
        <v>0</v>
      </c>
      <c r="AJ773" s="890">
        <v>0</v>
      </c>
      <c r="AK773" s="889">
        <f t="shared" si="51"/>
        <v>0</v>
      </c>
      <c r="AL773" s="895" t="s">
        <v>1488</v>
      </c>
      <c r="AM773" s="896">
        <f t="shared" si="52"/>
        <v>96.66</v>
      </c>
    </row>
    <row r="774" spans="1:39" s="560" customFormat="1" hidden="1">
      <c r="A774" s="604" t="s">
        <v>601</v>
      </c>
      <c r="B774" s="604" t="s">
        <v>1154</v>
      </c>
      <c r="C774" s="530" t="s">
        <v>36</v>
      </c>
      <c r="D774" s="580"/>
      <c r="E774" s="981"/>
      <c r="F774" s="581"/>
      <c r="G774" s="581"/>
      <c r="H774" s="581"/>
      <c r="I774" s="949"/>
      <c r="J774" s="949"/>
      <c r="K774" s="949"/>
      <c r="L774" s="989"/>
      <c r="M774" s="575"/>
      <c r="N774" s="575"/>
      <c r="O774" s="575"/>
      <c r="P774" s="575"/>
      <c r="Q774" s="575"/>
      <c r="R774" s="575"/>
      <c r="S774" s="989"/>
      <c r="T774" s="575"/>
      <c r="U774" s="575"/>
      <c r="V774" s="575"/>
      <c r="W774" s="575"/>
      <c r="X774" s="575"/>
      <c r="Y774" s="575"/>
      <c r="Z774" s="989"/>
      <c r="AA774" s="575"/>
      <c r="AB774" s="575"/>
      <c r="AC774" s="575"/>
      <c r="AD774" s="575"/>
      <c r="AE774" s="827"/>
      <c r="AF774" s="575"/>
      <c r="AG774" s="989"/>
      <c r="AH774" s="842"/>
      <c r="AI774" s="738">
        <f t="shared" si="50"/>
        <v>0</v>
      </c>
      <c r="AJ774" s="949">
        <v>0</v>
      </c>
      <c r="AK774" s="581">
        <f t="shared" si="51"/>
        <v>0</v>
      </c>
      <c r="AL774" s="746" t="s">
        <v>1483</v>
      </c>
      <c r="AM774" s="743">
        <f t="shared" si="52"/>
        <v>57.19</v>
      </c>
    </row>
    <row r="775" spans="1:39" s="560" customFormat="1">
      <c r="A775" s="607" t="s">
        <v>602</v>
      </c>
      <c r="B775" s="607" t="s">
        <v>1155</v>
      </c>
      <c r="C775" s="679"/>
      <c r="D775" s="580"/>
      <c r="E775" s="981"/>
      <c r="F775" s="581"/>
      <c r="G775" s="581"/>
      <c r="H775" s="581"/>
      <c r="I775" s="949"/>
      <c r="J775" s="949"/>
      <c r="K775" s="949"/>
      <c r="L775" s="989"/>
      <c r="M775" s="575"/>
      <c r="N775" s="575"/>
      <c r="O775" s="575"/>
      <c r="P775" s="575"/>
      <c r="Q775" s="575"/>
      <c r="R775" s="575"/>
      <c r="S775" s="989"/>
      <c r="T775" s="575"/>
      <c r="U775" s="575"/>
      <c r="V775" s="575"/>
      <c r="W775" s="575"/>
      <c r="X775" s="575"/>
      <c r="Y775" s="575"/>
      <c r="Z775" s="989"/>
      <c r="AA775" s="575"/>
      <c r="AB775" s="575"/>
      <c r="AC775" s="575"/>
      <c r="AD775" s="575"/>
      <c r="AE775" s="827"/>
      <c r="AF775" s="575"/>
      <c r="AG775" s="989"/>
      <c r="AH775" s="842"/>
      <c r="AI775" s="738">
        <f t="shared" si="50"/>
        <v>0</v>
      </c>
      <c r="AJ775" s="949">
        <v>0</v>
      </c>
      <c r="AK775" s="581">
        <f t="shared" si="51"/>
        <v>0</v>
      </c>
      <c r="AL775" s="746"/>
      <c r="AM775" s="743">
        <f t="shared" si="52"/>
        <v>0</v>
      </c>
    </row>
    <row r="776" spans="1:39" s="560" customFormat="1" hidden="1">
      <c r="A776" s="604" t="s">
        <v>603</v>
      </c>
      <c r="B776" s="604" t="s">
        <v>1156</v>
      </c>
      <c r="C776" s="679"/>
      <c r="D776" s="580"/>
      <c r="E776" s="981"/>
      <c r="F776" s="581"/>
      <c r="G776" s="581"/>
      <c r="H776" s="581"/>
      <c r="I776" s="949"/>
      <c r="J776" s="949"/>
      <c r="K776" s="949"/>
      <c r="L776" s="989"/>
      <c r="M776" s="575"/>
      <c r="N776" s="575"/>
      <c r="O776" s="575"/>
      <c r="P776" s="575"/>
      <c r="Q776" s="575"/>
      <c r="R776" s="575"/>
      <c r="S776" s="989"/>
      <c r="T776" s="575"/>
      <c r="U776" s="575"/>
      <c r="V776" s="575"/>
      <c r="W776" s="575"/>
      <c r="X776" s="575"/>
      <c r="Y776" s="575"/>
      <c r="Z776" s="989"/>
      <c r="AA776" s="575"/>
      <c r="AB776" s="575"/>
      <c r="AC776" s="575"/>
      <c r="AD776" s="575"/>
      <c r="AE776" s="827"/>
      <c r="AF776" s="575"/>
      <c r="AG776" s="989"/>
      <c r="AH776" s="842"/>
      <c r="AI776" s="738">
        <f t="shared" si="50"/>
        <v>0</v>
      </c>
      <c r="AJ776" s="949">
        <v>0</v>
      </c>
      <c r="AK776" s="581">
        <f t="shared" si="51"/>
        <v>0</v>
      </c>
      <c r="AL776" s="746"/>
      <c r="AM776" s="743">
        <f t="shared" si="52"/>
        <v>0</v>
      </c>
    </row>
    <row r="777" spans="1:39" s="560" customFormat="1" hidden="1">
      <c r="A777" s="604" t="s">
        <v>604</v>
      </c>
      <c r="B777" s="604" t="s">
        <v>1192</v>
      </c>
      <c r="C777" s="530" t="s">
        <v>39</v>
      </c>
      <c r="D777" s="580"/>
      <c r="E777" s="981"/>
      <c r="F777" s="581"/>
      <c r="G777" s="581"/>
      <c r="H777" s="581"/>
      <c r="I777" s="949"/>
      <c r="J777" s="949"/>
      <c r="K777" s="949"/>
      <c r="L777" s="989"/>
      <c r="M777" s="575"/>
      <c r="N777" s="575"/>
      <c r="O777" s="575"/>
      <c r="P777" s="575"/>
      <c r="Q777" s="575"/>
      <c r="R777" s="575"/>
      <c r="S777" s="989"/>
      <c r="T777" s="575"/>
      <c r="U777" s="575"/>
      <c r="V777" s="575"/>
      <c r="W777" s="575"/>
      <c r="X777" s="575"/>
      <c r="Y777" s="575"/>
      <c r="Z777" s="989"/>
      <c r="AA777" s="575"/>
      <c r="AB777" s="575"/>
      <c r="AC777" s="575"/>
      <c r="AD777" s="949"/>
      <c r="AE777" s="854"/>
      <c r="AF777" s="575"/>
      <c r="AG777" s="989"/>
      <c r="AH777" s="842"/>
      <c r="AI777" s="738">
        <f t="shared" si="50"/>
        <v>0</v>
      </c>
      <c r="AJ777" s="949">
        <v>0</v>
      </c>
      <c r="AK777" s="581">
        <f t="shared" si="51"/>
        <v>0</v>
      </c>
      <c r="AL777" s="746" t="s">
        <v>1489</v>
      </c>
      <c r="AM777" s="743">
        <f t="shared" si="52"/>
        <v>8.06</v>
      </c>
    </row>
    <row r="778" spans="1:39" s="560" customFormat="1" hidden="1">
      <c r="A778" s="604" t="s">
        <v>605</v>
      </c>
      <c r="B778" s="604" t="s">
        <v>1158</v>
      </c>
      <c r="C778" s="530" t="s">
        <v>47</v>
      </c>
      <c r="D778" s="580"/>
      <c r="E778" s="981"/>
      <c r="F778" s="581"/>
      <c r="G778" s="581"/>
      <c r="H778" s="581"/>
      <c r="I778" s="949"/>
      <c r="J778" s="949"/>
      <c r="K778" s="949"/>
      <c r="L778" s="989"/>
      <c r="M778" s="575"/>
      <c r="N778" s="575"/>
      <c r="O778" s="575"/>
      <c r="P778" s="575"/>
      <c r="Q778" s="575"/>
      <c r="R778" s="575"/>
      <c r="S778" s="989"/>
      <c r="T778" s="575"/>
      <c r="U778" s="575"/>
      <c r="V778" s="575"/>
      <c r="W778" s="575"/>
      <c r="X778" s="575"/>
      <c r="Y778" s="575"/>
      <c r="Z778" s="989"/>
      <c r="AA778" s="575"/>
      <c r="AB778" s="575"/>
      <c r="AC778" s="813"/>
      <c r="AD778" s="741"/>
      <c r="AE778" s="827"/>
      <c r="AF778" s="575"/>
      <c r="AG778" s="989"/>
      <c r="AH778" s="842"/>
      <c r="AI778" s="738">
        <f t="shared" si="50"/>
        <v>0</v>
      </c>
      <c r="AJ778" s="949">
        <v>0</v>
      </c>
      <c r="AK778" s="581">
        <f t="shared" si="51"/>
        <v>0</v>
      </c>
      <c r="AL778" s="746" t="s">
        <v>1490</v>
      </c>
      <c r="AM778" s="743">
        <f t="shared" si="52"/>
        <v>337.22</v>
      </c>
    </row>
    <row r="779" spans="1:39" s="560" customFormat="1">
      <c r="A779" s="604" t="s">
        <v>606</v>
      </c>
      <c r="B779" s="604" t="s">
        <v>1159</v>
      </c>
      <c r="C779" s="679"/>
      <c r="D779" s="580"/>
      <c r="E779" s="981"/>
      <c r="F779" s="581"/>
      <c r="G779" s="581"/>
      <c r="H779" s="581"/>
      <c r="I779" s="949"/>
      <c r="J779" s="949"/>
      <c r="K779" s="949"/>
      <c r="L779" s="989"/>
      <c r="M779" s="575"/>
      <c r="N779" s="575"/>
      <c r="O779" s="575"/>
      <c r="P779" s="575"/>
      <c r="Q779" s="575"/>
      <c r="R779" s="575"/>
      <c r="S779" s="989"/>
      <c r="T779" s="575"/>
      <c r="U779" s="575"/>
      <c r="V779" s="575"/>
      <c r="W779" s="575"/>
      <c r="X779" s="575"/>
      <c r="Y779" s="575"/>
      <c r="Z779" s="989"/>
      <c r="AA779" s="575"/>
      <c r="AB779" s="575"/>
      <c r="AC779" s="575"/>
      <c r="AD779" s="575"/>
      <c r="AE779" s="827"/>
      <c r="AF779" s="575"/>
      <c r="AG779" s="989"/>
      <c r="AH779" s="842"/>
      <c r="AI779" s="738">
        <f t="shared" si="50"/>
        <v>0</v>
      </c>
      <c r="AJ779" s="949">
        <v>0</v>
      </c>
      <c r="AK779" s="581">
        <f t="shared" si="51"/>
        <v>0</v>
      </c>
      <c r="AL779" s="746"/>
      <c r="AM779" s="743">
        <f t="shared" si="52"/>
        <v>0</v>
      </c>
    </row>
    <row r="780" spans="1:39" s="560" customFormat="1">
      <c r="A780" s="604" t="s">
        <v>607</v>
      </c>
      <c r="B780" s="604" t="s">
        <v>1193</v>
      </c>
      <c r="C780" s="530" t="s">
        <v>39</v>
      </c>
      <c r="D780" s="580"/>
      <c r="E780" s="981"/>
      <c r="F780" s="581"/>
      <c r="G780" s="581"/>
      <c r="H780" s="581"/>
      <c r="I780" s="922">
        <f>40.91*0.25*0.1278</f>
        <v>1.3070744999999999</v>
      </c>
      <c r="J780" s="949"/>
      <c r="K780" s="949"/>
      <c r="L780" s="989"/>
      <c r="M780" s="575"/>
      <c r="N780" s="575"/>
      <c r="O780" s="575"/>
      <c r="P780" s="575"/>
      <c r="Q780" s="575"/>
      <c r="R780" s="575"/>
      <c r="S780" s="989"/>
      <c r="T780" s="575"/>
      <c r="U780" s="575"/>
      <c r="V780" s="575"/>
      <c r="W780" s="575"/>
      <c r="X780" s="575"/>
      <c r="Y780" s="575"/>
      <c r="Z780" s="989"/>
      <c r="AA780" s="575"/>
      <c r="AB780" s="575"/>
      <c r="AC780" s="575"/>
      <c r="AD780" s="575"/>
      <c r="AE780" s="827"/>
      <c r="AF780" s="575"/>
      <c r="AG780" s="989"/>
      <c r="AH780" s="842"/>
      <c r="AI780" s="966">
        <f t="shared" si="50"/>
        <v>1.31</v>
      </c>
      <c r="AJ780" s="949">
        <v>0</v>
      </c>
      <c r="AK780" s="581">
        <f t="shared" si="51"/>
        <v>1.31</v>
      </c>
      <c r="AL780" s="746" t="s">
        <v>1491</v>
      </c>
      <c r="AM780" s="743">
        <f t="shared" si="52"/>
        <v>2.5</v>
      </c>
    </row>
    <row r="781" spans="1:39" s="560" customFormat="1">
      <c r="A781" s="604" t="s">
        <v>608</v>
      </c>
      <c r="B781" s="604" t="s">
        <v>1161</v>
      </c>
      <c r="C781" s="614" t="s">
        <v>36</v>
      </c>
      <c r="D781" s="580"/>
      <c r="E781" s="981"/>
      <c r="F781" s="581"/>
      <c r="G781" s="581"/>
      <c r="H781" s="922">
        <f>40.91*2*0.1278</f>
        <v>10.456595999999999</v>
      </c>
      <c r="I781" s="581"/>
      <c r="J781" s="949"/>
      <c r="K781" s="949"/>
      <c r="L781" s="989"/>
      <c r="M781" s="575"/>
      <c r="N781" s="575"/>
      <c r="O781" s="575"/>
      <c r="P781" s="575"/>
      <c r="Q781" s="575"/>
      <c r="R781" s="575"/>
      <c r="S781" s="989"/>
      <c r="T781" s="575"/>
      <c r="U781" s="575"/>
      <c r="V781" s="575"/>
      <c r="W781" s="575"/>
      <c r="X781" s="575"/>
      <c r="Y781" s="575"/>
      <c r="Z781" s="989"/>
      <c r="AA781" s="575"/>
      <c r="AB781" s="575"/>
      <c r="AC781" s="575"/>
      <c r="AD781" s="575"/>
      <c r="AE781" s="827"/>
      <c r="AF781" s="575"/>
      <c r="AG781" s="989"/>
      <c r="AH781" s="842"/>
      <c r="AI781" s="966">
        <f t="shared" si="50"/>
        <v>10.46</v>
      </c>
      <c r="AJ781" s="949">
        <v>0</v>
      </c>
      <c r="AK781" s="581">
        <f t="shared" si="51"/>
        <v>10.46</v>
      </c>
      <c r="AL781" s="746" t="s">
        <v>1492</v>
      </c>
      <c r="AM781" s="743">
        <f t="shared" si="52"/>
        <v>19.989999999999998</v>
      </c>
    </row>
    <row r="782" spans="1:39" s="560" customFormat="1">
      <c r="A782" s="604" t="s">
        <v>609</v>
      </c>
      <c r="B782" s="604" t="s">
        <v>1162</v>
      </c>
      <c r="C782" s="530" t="s">
        <v>47</v>
      </c>
      <c r="D782" s="580"/>
      <c r="E782" s="981"/>
      <c r="F782" s="581"/>
      <c r="G782" s="922">
        <v>205.61</v>
      </c>
      <c r="H782" s="741"/>
      <c r="I782" s="741"/>
      <c r="J782" s="949"/>
      <c r="K782" s="949"/>
      <c r="L782" s="989"/>
      <c r="M782" s="575"/>
      <c r="N782" s="575"/>
      <c r="O782" s="575"/>
      <c r="P782" s="575"/>
      <c r="Q782" s="575"/>
      <c r="R782" s="575"/>
      <c r="S782" s="989"/>
      <c r="T782" s="575"/>
      <c r="U782" s="575"/>
      <c r="V782" s="575"/>
      <c r="W782" s="575"/>
      <c r="X782" s="575"/>
      <c r="Y782" s="575"/>
      <c r="Z782" s="989"/>
      <c r="AA782" s="575"/>
      <c r="AB782" s="575"/>
      <c r="AC782" s="575"/>
      <c r="AD782" s="575"/>
      <c r="AE782" s="827"/>
      <c r="AF782" s="575"/>
      <c r="AG782" s="991"/>
      <c r="AH782" s="843"/>
      <c r="AI782" s="738">
        <f t="shared" si="50"/>
        <v>205.61</v>
      </c>
      <c r="AJ782" s="949">
        <v>0</v>
      </c>
      <c r="AK782" s="581">
        <f t="shared" si="51"/>
        <v>205.61</v>
      </c>
      <c r="AL782" s="746" t="s">
        <v>1493</v>
      </c>
      <c r="AM782" s="743">
        <f t="shared" si="52"/>
        <v>116.45999999999998</v>
      </c>
    </row>
    <row r="783" spans="1:39" s="560" customFormat="1" hidden="1">
      <c r="A783" s="604" t="s">
        <v>610</v>
      </c>
      <c r="B783" s="604" t="s">
        <v>1163</v>
      </c>
      <c r="C783" s="679"/>
      <c r="D783" s="580"/>
      <c r="E783" s="981"/>
      <c r="F783" s="581"/>
      <c r="G783" s="581"/>
      <c r="H783" s="581"/>
      <c r="I783" s="949"/>
      <c r="J783" s="949"/>
      <c r="K783" s="949"/>
      <c r="L783" s="989"/>
      <c r="M783" s="575"/>
      <c r="N783" s="575"/>
      <c r="O783" s="575"/>
      <c r="P783" s="575"/>
      <c r="Q783" s="575"/>
      <c r="R783" s="575"/>
      <c r="S783" s="989"/>
      <c r="T783" s="575"/>
      <c r="U783" s="575"/>
      <c r="V783" s="575"/>
      <c r="W783" s="575"/>
      <c r="X783" s="575"/>
      <c r="Y783" s="575"/>
      <c r="Z783" s="989"/>
      <c r="AA783" s="575"/>
      <c r="AB783" s="575"/>
      <c r="AC783" s="575"/>
      <c r="AD783" s="575"/>
      <c r="AE783" s="827"/>
      <c r="AF783" s="575"/>
      <c r="AG783" s="989"/>
      <c r="AH783" s="842"/>
      <c r="AI783" s="738">
        <f t="shared" si="50"/>
        <v>0</v>
      </c>
      <c r="AJ783" s="949">
        <v>0</v>
      </c>
      <c r="AK783" s="581">
        <f t="shared" si="51"/>
        <v>0</v>
      </c>
      <c r="AL783" s="746"/>
      <c r="AM783" s="743">
        <f t="shared" si="52"/>
        <v>0</v>
      </c>
    </row>
    <row r="784" spans="1:39" s="560" customFormat="1" hidden="1">
      <c r="A784" s="604" t="s">
        <v>611</v>
      </c>
      <c r="B784" s="604" t="s">
        <v>1194</v>
      </c>
      <c r="C784" s="530" t="s">
        <v>39</v>
      </c>
      <c r="D784" s="580"/>
      <c r="E784" s="981"/>
      <c r="F784" s="581"/>
      <c r="G784" s="581"/>
      <c r="H784" s="581"/>
      <c r="I784" s="949"/>
      <c r="J784" s="949"/>
      <c r="K784" s="949"/>
      <c r="L784" s="989"/>
      <c r="M784" s="575"/>
      <c r="N784" s="575"/>
      <c r="O784" s="575"/>
      <c r="P784" s="575"/>
      <c r="Q784" s="583"/>
      <c r="R784" s="583"/>
      <c r="S784" s="989"/>
      <c r="T784" s="583"/>
      <c r="U784" s="575"/>
      <c r="V784" s="575"/>
      <c r="W784" s="575"/>
      <c r="X784" s="575"/>
      <c r="Y784" s="575"/>
      <c r="Z784" s="989"/>
      <c r="AA784" s="575"/>
      <c r="AB784" s="575"/>
      <c r="AC784" s="575"/>
      <c r="AD784" s="575"/>
      <c r="AE784" s="827"/>
      <c r="AF784" s="575"/>
      <c r="AG784" s="989"/>
      <c r="AH784" s="842"/>
      <c r="AI784" s="738">
        <f t="shared" si="50"/>
        <v>0</v>
      </c>
      <c r="AJ784" s="949">
        <v>0</v>
      </c>
      <c r="AK784" s="581">
        <f t="shared" si="51"/>
        <v>0</v>
      </c>
      <c r="AL784" s="746" t="s">
        <v>1494</v>
      </c>
      <c r="AM784" s="743">
        <f t="shared" si="52"/>
        <v>5.95</v>
      </c>
    </row>
    <row r="785" spans="1:39" s="560" customFormat="1" hidden="1">
      <c r="A785" s="604" t="s">
        <v>612</v>
      </c>
      <c r="B785" s="604" t="s">
        <v>1165</v>
      </c>
      <c r="C785" s="530" t="s">
        <v>36</v>
      </c>
      <c r="D785" s="586"/>
      <c r="E785" s="982"/>
      <c r="F785" s="587"/>
      <c r="G785" s="587"/>
      <c r="H785" s="587"/>
      <c r="I785" s="588"/>
      <c r="J785" s="588"/>
      <c r="K785" s="588"/>
      <c r="L785" s="989"/>
      <c r="M785" s="575"/>
      <c r="N785" s="575"/>
      <c r="O785" s="575"/>
      <c r="P785" s="575"/>
      <c r="Q785" s="575"/>
      <c r="R785" s="575"/>
      <c r="S785" s="989"/>
      <c r="T785" s="575"/>
      <c r="U785" s="575"/>
      <c r="V785" s="575"/>
      <c r="W785" s="575"/>
      <c r="X785" s="575"/>
      <c r="Y785" s="575"/>
      <c r="Z785" s="989"/>
      <c r="AA785" s="575"/>
      <c r="AB785" s="575"/>
      <c r="AC785" s="575"/>
      <c r="AD785" s="575"/>
      <c r="AE785" s="827"/>
      <c r="AF785" s="810"/>
      <c r="AG785" s="989"/>
      <c r="AH785" s="842"/>
      <c r="AI785" s="738">
        <f t="shared" si="50"/>
        <v>0</v>
      </c>
      <c r="AJ785" s="949">
        <v>0</v>
      </c>
      <c r="AK785" s="581">
        <f t="shared" si="51"/>
        <v>0</v>
      </c>
      <c r="AL785" s="747" t="s">
        <v>1495</v>
      </c>
      <c r="AM785" s="743">
        <f t="shared" si="52"/>
        <v>77.91</v>
      </c>
    </row>
    <row r="786" spans="1:39" s="560" customFormat="1" hidden="1">
      <c r="A786" s="604" t="s">
        <v>613</v>
      </c>
      <c r="B786" s="604" t="s">
        <v>1166</v>
      </c>
      <c r="C786" s="530" t="s">
        <v>47</v>
      </c>
      <c r="D786" s="580"/>
      <c r="E786" s="981"/>
      <c r="F786" s="581"/>
      <c r="G786" s="581"/>
      <c r="H786" s="581"/>
      <c r="I786" s="949"/>
      <c r="J786" s="949"/>
      <c r="K786" s="949"/>
      <c r="L786" s="989"/>
      <c r="M786" s="575"/>
      <c r="N786" s="575"/>
      <c r="O786" s="575"/>
      <c r="P786" s="575"/>
      <c r="Q786" s="575"/>
      <c r="R786" s="575"/>
      <c r="S786" s="989"/>
      <c r="T786" s="575"/>
      <c r="U786" s="575"/>
      <c r="V786" s="575"/>
      <c r="W786" s="575"/>
      <c r="X786" s="575"/>
      <c r="Y786" s="575"/>
      <c r="Z786" s="989"/>
      <c r="AA786" s="575"/>
      <c r="AB786" s="575"/>
      <c r="AC786" s="575"/>
      <c r="AE786" s="855"/>
      <c r="AF786" s="810"/>
      <c r="AG786" s="989"/>
      <c r="AH786" s="842"/>
      <c r="AI786" s="738">
        <f t="shared" si="50"/>
        <v>0</v>
      </c>
      <c r="AJ786" s="949">
        <v>0</v>
      </c>
      <c r="AK786" s="581">
        <f t="shared" si="51"/>
        <v>0</v>
      </c>
      <c r="AL786" s="746" t="s">
        <v>1496</v>
      </c>
      <c r="AM786" s="743">
        <f t="shared" si="52"/>
        <v>2582.91</v>
      </c>
    </row>
    <row r="787" spans="1:39" s="560" customFormat="1" hidden="1">
      <c r="A787" s="604" t="s">
        <v>614</v>
      </c>
      <c r="B787" s="604" t="s">
        <v>1167</v>
      </c>
      <c r="C787" s="679"/>
      <c r="D787" s="580"/>
      <c r="E787" s="981"/>
      <c r="F787" s="581"/>
      <c r="G787" s="581"/>
      <c r="H787" s="581"/>
      <c r="I787" s="949"/>
      <c r="J787" s="949"/>
      <c r="K787" s="949"/>
      <c r="L787" s="989"/>
      <c r="M787" s="575"/>
      <c r="N787" s="575"/>
      <c r="O787" s="575"/>
      <c r="P787" s="575"/>
      <c r="Q787" s="575"/>
      <c r="R787" s="575"/>
      <c r="S787" s="989"/>
      <c r="T787" s="575"/>
      <c r="U787" s="575"/>
      <c r="V787" s="575"/>
      <c r="W787" s="575"/>
      <c r="X787" s="575"/>
      <c r="Y787" s="575"/>
      <c r="Z787" s="989"/>
      <c r="AA787" s="575"/>
      <c r="AB787" s="575"/>
      <c r="AC787" s="575"/>
      <c r="AD787" s="575"/>
      <c r="AE787" s="827"/>
      <c r="AF787" s="575"/>
      <c r="AG787" s="989"/>
      <c r="AH787" s="842"/>
      <c r="AI787" s="738">
        <f t="shared" si="50"/>
        <v>0</v>
      </c>
      <c r="AJ787" s="949">
        <v>0</v>
      </c>
      <c r="AK787" s="581">
        <f t="shared" si="51"/>
        <v>0</v>
      </c>
      <c r="AL787" s="746"/>
      <c r="AM787" s="743">
        <f t="shared" si="52"/>
        <v>0</v>
      </c>
    </row>
    <row r="788" spans="1:39" s="560" customFormat="1" hidden="1">
      <c r="A788" s="604" t="s">
        <v>615</v>
      </c>
      <c r="B788" s="604" t="s">
        <v>1168</v>
      </c>
      <c r="C788" s="530" t="s">
        <v>39</v>
      </c>
      <c r="D788" s="580"/>
      <c r="E788" s="981"/>
      <c r="F788" s="581"/>
      <c r="G788" s="581"/>
      <c r="H788" s="581"/>
      <c r="I788" s="949"/>
      <c r="J788" s="949"/>
      <c r="K788" s="949"/>
      <c r="L788" s="989"/>
      <c r="M788" s="575"/>
      <c r="N788" s="575"/>
      <c r="O788" s="575"/>
      <c r="P788" s="575"/>
      <c r="Q788" s="575"/>
      <c r="R788" s="575"/>
      <c r="S788" s="989"/>
      <c r="T788" s="575"/>
      <c r="U788" s="575"/>
      <c r="V788" s="575"/>
      <c r="W788" s="575"/>
      <c r="X788" s="575"/>
      <c r="Y788" s="575"/>
      <c r="Z788" s="989"/>
      <c r="AA788" s="575"/>
      <c r="AB788" s="575"/>
      <c r="AC788" s="575"/>
      <c r="AD788" s="575"/>
      <c r="AE788" s="827"/>
      <c r="AF788" s="575"/>
      <c r="AG788" s="989"/>
      <c r="AH788" s="842"/>
      <c r="AI788" s="738">
        <f t="shared" si="50"/>
        <v>0</v>
      </c>
      <c r="AJ788" s="949">
        <v>0</v>
      </c>
      <c r="AK788" s="581">
        <f t="shared" si="51"/>
        <v>0</v>
      </c>
      <c r="AL788" s="746" t="s">
        <v>1497</v>
      </c>
      <c r="AM788" s="743">
        <f t="shared" si="52"/>
        <v>2.82</v>
      </c>
    </row>
    <row r="789" spans="1:39" s="560" customFormat="1" hidden="1">
      <c r="A789" s="604" t="s">
        <v>616</v>
      </c>
      <c r="B789" s="604" t="s">
        <v>1169</v>
      </c>
      <c r="C789" s="614" t="s">
        <v>36</v>
      </c>
      <c r="D789" s="580"/>
      <c r="E789" s="981"/>
      <c r="F789" s="581"/>
      <c r="G789" s="581"/>
      <c r="H789" s="581"/>
      <c r="I789" s="949"/>
      <c r="J789" s="949"/>
      <c r="K789" s="949"/>
      <c r="L789" s="989"/>
      <c r="M789" s="575"/>
      <c r="N789" s="575"/>
      <c r="O789" s="575"/>
      <c r="P789" s="575"/>
      <c r="Q789" s="575"/>
      <c r="R789" s="575"/>
      <c r="S789" s="989"/>
      <c r="T789" s="575"/>
      <c r="U789" s="575"/>
      <c r="V789" s="575"/>
      <c r="W789" s="575"/>
      <c r="X789" s="575"/>
      <c r="Y789" s="575"/>
      <c r="Z789" s="989"/>
      <c r="AA789" s="575"/>
      <c r="AB789" s="575"/>
      <c r="AC789" s="575"/>
      <c r="AD789" s="575"/>
      <c r="AE789" s="827"/>
      <c r="AF789" s="575"/>
      <c r="AG789" s="989"/>
      <c r="AH789" s="842"/>
      <c r="AI789" s="738">
        <f t="shared" si="50"/>
        <v>0</v>
      </c>
      <c r="AJ789" s="949">
        <v>0</v>
      </c>
      <c r="AK789" s="581">
        <f t="shared" si="51"/>
        <v>0</v>
      </c>
      <c r="AL789" s="746" t="s">
        <v>1498</v>
      </c>
      <c r="AM789" s="743">
        <f t="shared" si="52"/>
        <v>35.44</v>
      </c>
    </row>
    <row r="790" spans="1:39" s="560" customFormat="1" hidden="1">
      <c r="A790" s="604" t="s">
        <v>617</v>
      </c>
      <c r="B790" s="604" t="s">
        <v>1170</v>
      </c>
      <c r="C790" s="530" t="s">
        <v>47</v>
      </c>
      <c r="D790" s="580"/>
      <c r="E790" s="981"/>
      <c r="F790" s="581"/>
      <c r="G790" s="581"/>
      <c r="H790" s="581"/>
      <c r="I790" s="949"/>
      <c r="J790" s="949"/>
      <c r="K790" s="949"/>
      <c r="L790" s="989"/>
      <c r="M790" s="575"/>
      <c r="N790" s="575"/>
      <c r="O790" s="575"/>
      <c r="P790" s="575"/>
      <c r="Q790" s="575"/>
      <c r="R790" s="575"/>
      <c r="S790" s="989"/>
      <c r="T790" s="575"/>
      <c r="U790" s="575"/>
      <c r="V790" s="575"/>
      <c r="W790" s="575"/>
      <c r="X790" s="575"/>
      <c r="Y790" s="575"/>
      <c r="Z790" s="989"/>
      <c r="AA790" s="575"/>
      <c r="AB790" s="575"/>
      <c r="AC790" s="575"/>
      <c r="AD790" s="575"/>
      <c r="AE790" s="827"/>
      <c r="AF790" s="575"/>
      <c r="AG790" s="989"/>
      <c r="AH790" s="842"/>
      <c r="AI790" s="738">
        <f t="shared" si="50"/>
        <v>0</v>
      </c>
      <c r="AJ790" s="949">
        <v>0</v>
      </c>
      <c r="AK790" s="581">
        <f t="shared" si="51"/>
        <v>0</v>
      </c>
      <c r="AL790" s="746" t="s">
        <v>1499</v>
      </c>
      <c r="AM790" s="743">
        <f t="shared" si="52"/>
        <v>536.94000000000005</v>
      </c>
    </row>
    <row r="791" spans="1:39" s="560" customFormat="1" hidden="1">
      <c r="A791" s="604" t="s">
        <v>618</v>
      </c>
      <c r="B791" s="604" t="s">
        <v>1171</v>
      </c>
      <c r="C791" s="679"/>
      <c r="D791" s="580"/>
      <c r="E791" s="981"/>
      <c r="F791" s="581"/>
      <c r="G791" s="581"/>
      <c r="H791" s="581"/>
      <c r="I791" s="949"/>
      <c r="J791" s="949"/>
      <c r="K791" s="949"/>
      <c r="L791" s="989"/>
      <c r="M791" s="575"/>
      <c r="N791" s="575"/>
      <c r="O791" s="575"/>
      <c r="P791" s="575"/>
      <c r="Q791" s="575"/>
      <c r="R791" s="575"/>
      <c r="S791" s="989"/>
      <c r="T791" s="575"/>
      <c r="U791" s="575"/>
      <c r="V791" s="575"/>
      <c r="W791" s="575"/>
      <c r="X791" s="575"/>
      <c r="Y791" s="575"/>
      <c r="Z791" s="989"/>
      <c r="AA791" s="575"/>
      <c r="AB791" s="575"/>
      <c r="AC791" s="575"/>
      <c r="AD791" s="575"/>
      <c r="AE791" s="827"/>
      <c r="AF791" s="575"/>
      <c r="AG791" s="989"/>
      <c r="AH791" s="842"/>
      <c r="AI791" s="738">
        <f t="shared" si="50"/>
        <v>0</v>
      </c>
      <c r="AJ791" s="949">
        <v>0</v>
      </c>
      <c r="AK791" s="581">
        <f t="shared" si="51"/>
        <v>0</v>
      </c>
      <c r="AL791" s="746"/>
      <c r="AM791" s="743">
        <f t="shared" si="52"/>
        <v>0</v>
      </c>
    </row>
    <row r="792" spans="1:39" s="560" customFormat="1" hidden="1">
      <c r="A792" s="604" t="s">
        <v>619</v>
      </c>
      <c r="B792" s="604" t="s">
        <v>1172</v>
      </c>
      <c r="C792" s="530" t="s">
        <v>39</v>
      </c>
      <c r="D792" s="580"/>
      <c r="E792" s="981"/>
      <c r="F792" s="581"/>
      <c r="G792" s="581"/>
      <c r="H792" s="581"/>
      <c r="I792" s="949"/>
      <c r="J792" s="949"/>
      <c r="K792" s="949"/>
      <c r="L792" s="989"/>
      <c r="M792" s="575"/>
      <c r="N792" s="575"/>
      <c r="O792" s="575"/>
      <c r="P792" s="575"/>
      <c r="Q792" s="575"/>
      <c r="R792" s="575"/>
      <c r="S792" s="989"/>
      <c r="T792" s="575"/>
      <c r="U792" s="575"/>
      <c r="V792" s="575"/>
      <c r="W792" s="575"/>
      <c r="X792" s="575"/>
      <c r="Y792" s="575"/>
      <c r="Z792" s="989"/>
      <c r="AA792" s="575"/>
      <c r="AB792" s="575"/>
      <c r="AC792" s="575"/>
      <c r="AD792" s="575"/>
      <c r="AE792" s="827"/>
      <c r="AF792" s="575"/>
      <c r="AG792" s="989"/>
      <c r="AH792" s="842"/>
      <c r="AI792" s="738">
        <f t="shared" si="50"/>
        <v>0</v>
      </c>
      <c r="AJ792" s="949">
        <v>0</v>
      </c>
      <c r="AK792" s="581">
        <f t="shared" si="51"/>
        <v>0</v>
      </c>
      <c r="AL792" s="746" t="s">
        <v>1500</v>
      </c>
      <c r="AM792" s="743">
        <f t="shared" si="52"/>
        <v>10.33</v>
      </c>
    </row>
    <row r="793" spans="1:39" s="560" customFormat="1" hidden="1">
      <c r="A793" s="604" t="s">
        <v>620</v>
      </c>
      <c r="B793" s="604" t="s">
        <v>1173</v>
      </c>
      <c r="C793" s="530" t="s">
        <v>36</v>
      </c>
      <c r="D793" s="580"/>
      <c r="E793" s="981"/>
      <c r="F793" s="581"/>
      <c r="G793" s="581"/>
      <c r="H793" s="581"/>
      <c r="I793" s="949"/>
      <c r="J793" s="949"/>
      <c r="K793" s="949"/>
      <c r="L793" s="989"/>
      <c r="M793" s="575"/>
      <c r="N793" s="575"/>
      <c r="O793" s="575"/>
      <c r="P793" s="575"/>
      <c r="Q793" s="575"/>
      <c r="R793" s="575"/>
      <c r="S793" s="989"/>
      <c r="T793" s="575"/>
      <c r="U793" s="575"/>
      <c r="V793" s="575"/>
      <c r="W793" s="575"/>
      <c r="X793" s="575"/>
      <c r="Y793" s="575"/>
      <c r="Z793" s="989"/>
      <c r="AA793" s="575"/>
      <c r="AB793" s="575"/>
      <c r="AC793" s="575"/>
      <c r="AD793" s="575"/>
      <c r="AE793" s="827"/>
      <c r="AF793" s="575"/>
      <c r="AG793" s="989"/>
      <c r="AH793" s="842"/>
      <c r="AI793" s="738">
        <f t="shared" si="50"/>
        <v>0</v>
      </c>
      <c r="AJ793" s="949">
        <v>0</v>
      </c>
      <c r="AK793" s="581">
        <f t="shared" si="51"/>
        <v>0</v>
      </c>
      <c r="AL793" s="746" t="s">
        <v>1501</v>
      </c>
      <c r="AM793" s="743">
        <f t="shared" si="52"/>
        <v>116.46</v>
      </c>
    </row>
    <row r="794" spans="1:39" s="560" customFormat="1" hidden="1">
      <c r="A794" s="604" t="s">
        <v>621</v>
      </c>
      <c r="B794" s="604" t="s">
        <v>1174</v>
      </c>
      <c r="C794" s="530" t="s">
        <v>47</v>
      </c>
      <c r="D794" s="580"/>
      <c r="E794" s="981"/>
      <c r="F794" s="581"/>
      <c r="G794" s="581"/>
      <c r="H794" s="581"/>
      <c r="I794" s="949"/>
      <c r="J794" s="949"/>
      <c r="K794" s="949"/>
      <c r="L794" s="989"/>
      <c r="M794" s="575"/>
      <c r="N794" s="575"/>
      <c r="O794" s="575"/>
      <c r="P794" s="575"/>
      <c r="Q794" s="575"/>
      <c r="R794" s="575"/>
      <c r="S794" s="989"/>
      <c r="T794" s="575"/>
      <c r="U794" s="575"/>
      <c r="V794" s="575"/>
      <c r="W794" s="575"/>
      <c r="X794" s="575"/>
      <c r="Y794" s="575"/>
      <c r="Z794" s="989"/>
      <c r="AA794" s="575"/>
      <c r="AB794" s="575"/>
      <c r="AC794" s="575"/>
      <c r="AD794" s="575"/>
      <c r="AE794" s="827"/>
      <c r="AF794" s="575"/>
      <c r="AG794" s="989"/>
      <c r="AH794" s="842"/>
      <c r="AI794" s="738">
        <f t="shared" si="50"/>
        <v>0</v>
      </c>
      <c r="AJ794" s="949">
        <v>0</v>
      </c>
      <c r="AK794" s="581">
        <f t="shared" si="51"/>
        <v>0</v>
      </c>
      <c r="AL794" s="746" t="s">
        <v>1502</v>
      </c>
      <c r="AM794" s="743">
        <f t="shared" si="52"/>
        <v>1452.85</v>
      </c>
    </row>
    <row r="795" spans="1:39" s="560" customFormat="1" hidden="1">
      <c r="A795" s="604" t="s">
        <v>622</v>
      </c>
      <c r="B795" s="604" t="s">
        <v>1175</v>
      </c>
      <c r="C795" s="530"/>
      <c r="D795" s="580"/>
      <c r="E795" s="981"/>
      <c r="F795" s="581"/>
      <c r="G795" s="581"/>
      <c r="H795" s="581"/>
      <c r="I795" s="949"/>
      <c r="J795" s="949"/>
      <c r="K795" s="949"/>
      <c r="L795" s="989"/>
      <c r="M795" s="575"/>
      <c r="N795" s="575"/>
      <c r="O795" s="575"/>
      <c r="P795" s="575"/>
      <c r="Q795" s="575"/>
      <c r="R795" s="575"/>
      <c r="S795" s="989"/>
      <c r="T795" s="575"/>
      <c r="U795" s="575"/>
      <c r="V795" s="575"/>
      <c r="W795" s="575"/>
      <c r="X795" s="575"/>
      <c r="Y795" s="575"/>
      <c r="Z795" s="989"/>
      <c r="AA795" s="575"/>
      <c r="AB795" s="575"/>
      <c r="AC795" s="575"/>
      <c r="AD795" s="575"/>
      <c r="AE795" s="827"/>
      <c r="AF795" s="575"/>
      <c r="AG795" s="989"/>
      <c r="AH795" s="842"/>
      <c r="AI795" s="738">
        <f t="shared" si="50"/>
        <v>0</v>
      </c>
      <c r="AJ795" s="949">
        <v>0</v>
      </c>
      <c r="AK795" s="581">
        <f t="shared" si="51"/>
        <v>0</v>
      </c>
      <c r="AL795" s="746"/>
      <c r="AM795" s="743">
        <f t="shared" si="52"/>
        <v>0</v>
      </c>
    </row>
    <row r="796" spans="1:39" s="560" customFormat="1" hidden="1">
      <c r="A796" s="604" t="s">
        <v>623</v>
      </c>
      <c r="B796" s="604" t="s">
        <v>1176</v>
      </c>
      <c r="C796" s="530" t="s">
        <v>39</v>
      </c>
      <c r="D796" s="580"/>
      <c r="E796" s="981"/>
      <c r="F796" s="581"/>
      <c r="G796" s="581"/>
      <c r="H796" s="581"/>
      <c r="I796" s="949"/>
      <c r="J796" s="949"/>
      <c r="K796" s="949"/>
      <c r="L796" s="989"/>
      <c r="M796" s="575"/>
      <c r="N796" s="575"/>
      <c r="O796" s="575"/>
      <c r="P796" s="575"/>
      <c r="Q796" s="575"/>
      <c r="R796" s="575"/>
      <c r="S796" s="989"/>
      <c r="T796" s="575"/>
      <c r="U796" s="575"/>
      <c r="V796" s="575"/>
      <c r="W796" s="575"/>
      <c r="X796" s="575"/>
      <c r="Y796" s="575"/>
      <c r="Z796" s="989"/>
      <c r="AA796" s="575"/>
      <c r="AB796" s="575"/>
      <c r="AC796" s="575"/>
      <c r="AD796" s="575"/>
      <c r="AE796" s="827"/>
      <c r="AF796" s="575"/>
      <c r="AG796" s="989"/>
      <c r="AH796" s="842"/>
      <c r="AI796" s="738">
        <f t="shared" si="50"/>
        <v>0</v>
      </c>
      <c r="AJ796" s="949">
        <v>0</v>
      </c>
      <c r="AK796" s="581">
        <f t="shared" si="51"/>
        <v>0</v>
      </c>
      <c r="AL796" s="746" t="s">
        <v>1503</v>
      </c>
      <c r="AM796" s="743">
        <f t="shared" si="52"/>
        <v>8.94</v>
      </c>
    </row>
    <row r="797" spans="1:39" s="560" customFormat="1" hidden="1">
      <c r="A797" s="604" t="s">
        <v>624</v>
      </c>
      <c r="B797" s="604" t="s">
        <v>1177</v>
      </c>
      <c r="C797" s="530" t="s">
        <v>36</v>
      </c>
      <c r="D797" s="580"/>
      <c r="E797" s="981"/>
      <c r="F797" s="581"/>
      <c r="G797" s="581"/>
      <c r="H797" s="581"/>
      <c r="I797" s="949"/>
      <c r="J797" s="949"/>
      <c r="K797" s="949"/>
      <c r="L797" s="989"/>
      <c r="M797" s="575"/>
      <c r="N797" s="575"/>
      <c r="O797" s="575"/>
      <c r="P797" s="575"/>
      <c r="Q797" s="575"/>
      <c r="R797" s="575"/>
      <c r="S797" s="989"/>
      <c r="T797" s="575"/>
      <c r="U797" s="575"/>
      <c r="V797" s="575"/>
      <c r="W797" s="575"/>
      <c r="X797" s="575"/>
      <c r="Y797" s="575"/>
      <c r="Z797" s="989"/>
      <c r="AA797" s="575"/>
      <c r="AB797" s="575"/>
      <c r="AC797" s="575"/>
      <c r="AD797" s="575"/>
      <c r="AE797" s="827"/>
      <c r="AF797" s="575"/>
      <c r="AG797" s="989"/>
      <c r="AH797" s="842"/>
      <c r="AI797" s="738">
        <f t="shared" si="50"/>
        <v>0</v>
      </c>
      <c r="AJ797" s="949">
        <v>0</v>
      </c>
      <c r="AK797" s="581">
        <f t="shared" si="51"/>
        <v>0</v>
      </c>
      <c r="AL797" s="746" t="s">
        <v>1504</v>
      </c>
      <c r="AM797" s="743">
        <f t="shared" si="52"/>
        <v>102.17</v>
      </c>
    </row>
    <row r="798" spans="1:39" s="560" customFormat="1" hidden="1">
      <c r="A798" s="604" t="s">
        <v>625</v>
      </c>
      <c r="B798" s="604" t="s">
        <v>1178</v>
      </c>
      <c r="C798" s="530" t="s">
        <v>47</v>
      </c>
      <c r="D798" s="580"/>
      <c r="E798" s="981"/>
      <c r="F798" s="581"/>
      <c r="G798" s="581"/>
      <c r="H798" s="581"/>
      <c r="I798" s="949"/>
      <c r="J798" s="949"/>
      <c r="K798" s="949"/>
      <c r="L798" s="989"/>
      <c r="M798" s="575"/>
      <c r="N798" s="575"/>
      <c r="O798" s="575"/>
      <c r="P798" s="575"/>
      <c r="Q798" s="575"/>
      <c r="R798" s="575"/>
      <c r="S798" s="989"/>
      <c r="T798" s="575"/>
      <c r="U798" s="575"/>
      <c r="V798" s="575"/>
      <c r="W798" s="575"/>
      <c r="X798" s="575"/>
      <c r="Y798" s="575"/>
      <c r="Z798" s="989"/>
      <c r="AA798" s="575"/>
      <c r="AB798" s="575"/>
      <c r="AC798" s="575"/>
      <c r="AD798" s="575"/>
      <c r="AE798" s="827"/>
      <c r="AF798" s="575"/>
      <c r="AG798" s="989"/>
      <c r="AH798" s="842"/>
      <c r="AI798" s="738">
        <f t="shared" si="50"/>
        <v>0</v>
      </c>
      <c r="AJ798" s="949">
        <v>0</v>
      </c>
      <c r="AK798" s="581">
        <f t="shared" si="51"/>
        <v>0</v>
      </c>
      <c r="AL798" s="746" t="s">
        <v>1505</v>
      </c>
      <c r="AM798" s="743">
        <f t="shared" si="52"/>
        <v>1062.45</v>
      </c>
    </row>
    <row r="799" spans="1:39" s="560" customFormat="1" hidden="1">
      <c r="A799" s="604" t="s">
        <v>626</v>
      </c>
      <c r="B799" s="604" t="s">
        <v>1179</v>
      </c>
      <c r="C799" s="530" t="s">
        <v>1436</v>
      </c>
      <c r="D799" s="580"/>
      <c r="E799" s="981"/>
      <c r="F799" s="581"/>
      <c r="G799" s="581"/>
      <c r="H799" s="581"/>
      <c r="I799" s="949"/>
      <c r="J799" s="949"/>
      <c r="K799" s="949"/>
      <c r="L799" s="989"/>
      <c r="M799" s="575"/>
      <c r="N799" s="575"/>
      <c r="O799" s="575"/>
      <c r="P799" s="575"/>
      <c r="Q799" s="575"/>
      <c r="R799" s="575"/>
      <c r="S799" s="989"/>
      <c r="T799" s="575"/>
      <c r="U799" s="575"/>
      <c r="V799" s="575"/>
      <c r="W799" s="575"/>
      <c r="X799" s="575"/>
      <c r="Y799" s="575"/>
      <c r="Z799" s="989"/>
      <c r="AA799" s="575"/>
      <c r="AB799" s="575"/>
      <c r="AC799" s="575"/>
      <c r="AD799" s="575"/>
      <c r="AE799" s="827"/>
      <c r="AF799" s="575"/>
      <c r="AG799" s="989"/>
      <c r="AH799" s="842"/>
      <c r="AI799" s="738">
        <f t="shared" si="50"/>
        <v>0</v>
      </c>
      <c r="AJ799" s="949">
        <v>0</v>
      </c>
      <c r="AK799" s="581">
        <f t="shared" si="51"/>
        <v>0</v>
      </c>
      <c r="AL799" s="746" t="s">
        <v>1506</v>
      </c>
      <c r="AM799" s="743">
        <f t="shared" si="52"/>
        <v>851.11</v>
      </c>
    </row>
    <row r="800" spans="1:39" s="560" customFormat="1" hidden="1">
      <c r="A800" s="604" t="s">
        <v>627</v>
      </c>
      <c r="B800" s="604" t="s">
        <v>1180</v>
      </c>
      <c r="C800" s="679"/>
      <c r="D800" s="580"/>
      <c r="E800" s="981"/>
      <c r="F800" s="581"/>
      <c r="G800" s="581"/>
      <c r="H800" s="581"/>
      <c r="I800" s="949"/>
      <c r="J800" s="949"/>
      <c r="K800" s="949"/>
      <c r="L800" s="989"/>
      <c r="M800" s="575"/>
      <c r="N800" s="575"/>
      <c r="O800" s="575"/>
      <c r="P800" s="575"/>
      <c r="Q800" s="575"/>
      <c r="R800" s="575"/>
      <c r="S800" s="989"/>
      <c r="T800" s="575"/>
      <c r="U800" s="575"/>
      <c r="V800" s="575"/>
      <c r="W800" s="575"/>
      <c r="X800" s="575"/>
      <c r="Y800" s="575"/>
      <c r="Z800" s="989"/>
      <c r="AA800" s="575"/>
      <c r="AB800" s="575"/>
      <c r="AC800" s="575"/>
      <c r="AD800" s="575"/>
      <c r="AE800" s="827"/>
      <c r="AF800" s="575"/>
      <c r="AG800" s="989"/>
      <c r="AH800" s="842"/>
      <c r="AI800" s="738">
        <f t="shared" si="50"/>
        <v>0</v>
      </c>
      <c r="AJ800" s="949">
        <v>0</v>
      </c>
      <c r="AK800" s="581">
        <f t="shared" si="51"/>
        <v>0</v>
      </c>
      <c r="AL800" s="746"/>
      <c r="AM800" s="743">
        <f t="shared" si="52"/>
        <v>0</v>
      </c>
    </row>
    <row r="801" spans="1:39" s="560" customFormat="1" hidden="1">
      <c r="A801" s="604" t="s">
        <v>628</v>
      </c>
      <c r="B801" s="604" t="s">
        <v>1181</v>
      </c>
      <c r="C801" s="530" t="s">
        <v>39</v>
      </c>
      <c r="D801" s="580"/>
      <c r="E801" s="981"/>
      <c r="F801" s="581"/>
      <c r="G801" s="581"/>
      <c r="H801" s="581"/>
      <c r="I801" s="949"/>
      <c r="J801" s="949"/>
      <c r="K801" s="949"/>
      <c r="L801" s="989"/>
      <c r="M801" s="575"/>
      <c r="N801" s="575"/>
      <c r="O801" s="575"/>
      <c r="P801" s="575"/>
      <c r="Q801" s="575"/>
      <c r="R801" s="575"/>
      <c r="S801" s="989"/>
      <c r="T801" s="575"/>
      <c r="U801" s="575"/>
      <c r="V801" s="575"/>
      <c r="W801" s="575"/>
      <c r="X801" s="575"/>
      <c r="Y801" s="575"/>
      <c r="Z801" s="989"/>
      <c r="AA801" s="575"/>
      <c r="AB801" s="575"/>
      <c r="AC801" s="575"/>
      <c r="AD801" s="575"/>
      <c r="AE801" s="827"/>
      <c r="AF801" s="575"/>
      <c r="AG801" s="989"/>
      <c r="AH801" s="842"/>
      <c r="AI801" s="738">
        <f t="shared" si="50"/>
        <v>0</v>
      </c>
      <c r="AJ801" s="949">
        <v>0</v>
      </c>
      <c r="AK801" s="581">
        <f t="shared" si="51"/>
        <v>0</v>
      </c>
      <c r="AL801" s="746" t="s">
        <v>1507</v>
      </c>
      <c r="AM801" s="743">
        <f t="shared" si="52"/>
        <v>2.66</v>
      </c>
    </row>
    <row r="802" spans="1:39" s="560" customFormat="1" hidden="1">
      <c r="A802" s="604" t="s">
        <v>629</v>
      </c>
      <c r="B802" s="604" t="s">
        <v>1182</v>
      </c>
      <c r="C802" s="530" t="s">
        <v>36</v>
      </c>
      <c r="D802" s="580"/>
      <c r="E802" s="981"/>
      <c r="F802" s="581"/>
      <c r="G802" s="581"/>
      <c r="H802" s="581"/>
      <c r="I802" s="949"/>
      <c r="J802" s="949"/>
      <c r="K802" s="949"/>
      <c r="L802" s="989"/>
      <c r="M802" s="575"/>
      <c r="N802" s="575"/>
      <c r="O802" s="575"/>
      <c r="P802" s="575"/>
      <c r="Q802" s="575"/>
      <c r="R802" s="575"/>
      <c r="S802" s="989"/>
      <c r="T802" s="575"/>
      <c r="U802" s="575"/>
      <c r="V802" s="575"/>
      <c r="W802" s="575"/>
      <c r="X802" s="575"/>
      <c r="Y802" s="575"/>
      <c r="Z802" s="989"/>
      <c r="AA802" s="575"/>
      <c r="AB802" s="575"/>
      <c r="AC802" s="575"/>
      <c r="AD802" s="575"/>
      <c r="AE802" s="827"/>
      <c r="AF802" s="575"/>
      <c r="AG802" s="989"/>
      <c r="AH802" s="842"/>
      <c r="AI802" s="738">
        <f t="shared" si="50"/>
        <v>0</v>
      </c>
      <c r="AJ802" s="949">
        <v>0</v>
      </c>
      <c r="AK802" s="581">
        <f t="shared" si="51"/>
        <v>0</v>
      </c>
      <c r="AL802" s="746" t="s">
        <v>1498</v>
      </c>
      <c r="AM802" s="743">
        <f t="shared" si="52"/>
        <v>35.44</v>
      </c>
    </row>
    <row r="803" spans="1:39" s="560" customFormat="1" hidden="1">
      <c r="A803" s="604" t="s">
        <v>630</v>
      </c>
      <c r="B803" s="604" t="s">
        <v>1183</v>
      </c>
      <c r="C803" s="530" t="s">
        <v>47</v>
      </c>
      <c r="D803" s="580"/>
      <c r="E803" s="981"/>
      <c r="F803" s="581"/>
      <c r="G803" s="581"/>
      <c r="H803" s="581"/>
      <c r="I803" s="949"/>
      <c r="J803" s="949"/>
      <c r="K803" s="949"/>
      <c r="L803" s="989"/>
      <c r="M803" s="575"/>
      <c r="N803" s="575"/>
      <c r="O803" s="575"/>
      <c r="P803" s="575"/>
      <c r="Q803" s="575"/>
      <c r="R803" s="575"/>
      <c r="S803" s="989"/>
      <c r="T803" s="575"/>
      <c r="U803" s="575"/>
      <c r="V803" s="575"/>
      <c r="W803" s="575"/>
      <c r="X803" s="575"/>
      <c r="Y803" s="575"/>
      <c r="Z803" s="989"/>
      <c r="AA803" s="575"/>
      <c r="AB803" s="575"/>
      <c r="AC803" s="575"/>
      <c r="AD803" s="575"/>
      <c r="AE803" s="827"/>
      <c r="AF803" s="575"/>
      <c r="AG803" s="989"/>
      <c r="AH803" s="842"/>
      <c r="AI803" s="738">
        <f t="shared" si="50"/>
        <v>0</v>
      </c>
      <c r="AJ803" s="949">
        <v>0</v>
      </c>
      <c r="AK803" s="581">
        <f t="shared" si="51"/>
        <v>0</v>
      </c>
      <c r="AL803" s="746" t="s">
        <v>1508</v>
      </c>
      <c r="AM803" s="743">
        <f t="shared" si="52"/>
        <v>179.59</v>
      </c>
    </row>
    <row r="804" spans="1:39" s="560" customFormat="1" hidden="1">
      <c r="A804" s="607" t="s">
        <v>631</v>
      </c>
      <c r="B804" s="607" t="s">
        <v>1184</v>
      </c>
      <c r="C804" s="679"/>
      <c r="D804" s="580"/>
      <c r="E804" s="981"/>
      <c r="F804" s="581"/>
      <c r="G804" s="581"/>
      <c r="H804" s="581"/>
      <c r="I804" s="949"/>
      <c r="J804" s="949"/>
      <c r="K804" s="949"/>
      <c r="L804" s="989"/>
      <c r="M804" s="575"/>
      <c r="N804" s="575"/>
      <c r="O804" s="575"/>
      <c r="P804" s="575"/>
      <c r="Q804" s="575"/>
      <c r="R804" s="575"/>
      <c r="S804" s="989"/>
      <c r="T804" s="575"/>
      <c r="U804" s="575"/>
      <c r="V804" s="575"/>
      <c r="W804" s="575"/>
      <c r="X804" s="575"/>
      <c r="Y804" s="575"/>
      <c r="Z804" s="989"/>
      <c r="AA804" s="575"/>
      <c r="AB804" s="575"/>
      <c r="AC804" s="575"/>
      <c r="AD804" s="575"/>
      <c r="AE804" s="827"/>
      <c r="AF804" s="575"/>
      <c r="AG804" s="989"/>
      <c r="AH804" s="842"/>
      <c r="AI804" s="738">
        <f t="shared" si="50"/>
        <v>0</v>
      </c>
      <c r="AJ804" s="949">
        <v>0</v>
      </c>
      <c r="AK804" s="581">
        <f t="shared" si="51"/>
        <v>0</v>
      </c>
      <c r="AL804" s="746"/>
      <c r="AM804" s="743">
        <f t="shared" si="52"/>
        <v>0</v>
      </c>
    </row>
    <row r="805" spans="1:39" s="560" customFormat="1" hidden="1">
      <c r="A805" s="604" t="s">
        <v>632</v>
      </c>
      <c r="B805" s="604" t="s">
        <v>1185</v>
      </c>
      <c r="C805" s="530" t="s">
        <v>37</v>
      </c>
      <c r="D805" s="580"/>
      <c r="E805" s="981"/>
      <c r="F805" s="581"/>
      <c r="G805" s="581"/>
      <c r="H805" s="581"/>
      <c r="I805" s="949"/>
      <c r="J805" s="949"/>
      <c r="K805" s="949"/>
      <c r="L805" s="989"/>
      <c r="M805" s="575"/>
      <c r="N805" s="575"/>
      <c r="O805" s="575"/>
      <c r="P805" s="575"/>
      <c r="Q805" s="575"/>
      <c r="R805" s="575"/>
      <c r="S805" s="989"/>
      <c r="T805" s="575"/>
      <c r="U805" s="575"/>
      <c r="V805" s="575"/>
      <c r="W805" s="575"/>
      <c r="X805" s="575"/>
      <c r="Y805" s="575"/>
      <c r="Z805" s="989"/>
      <c r="AA805" s="575"/>
      <c r="AB805" s="575"/>
      <c r="AC805" s="575"/>
      <c r="AD805" s="575"/>
      <c r="AE805" s="827"/>
      <c r="AF805" s="575"/>
      <c r="AG805" s="989"/>
      <c r="AH805" s="842"/>
      <c r="AI805" s="738">
        <f t="shared" si="50"/>
        <v>0</v>
      </c>
      <c r="AJ805" s="949">
        <v>0</v>
      </c>
      <c r="AK805" s="581">
        <f t="shared" si="51"/>
        <v>0</v>
      </c>
      <c r="AL805" s="746" t="s">
        <v>1509</v>
      </c>
      <c r="AM805" s="743">
        <f t="shared" si="52"/>
        <v>158.4</v>
      </c>
    </row>
    <row r="806" spans="1:39" s="560" customFormat="1" hidden="1">
      <c r="A806" s="607" t="s">
        <v>633</v>
      </c>
      <c r="B806" s="607" t="s">
        <v>1186</v>
      </c>
      <c r="C806" s="690"/>
      <c r="D806" s="586"/>
      <c r="E806" s="982"/>
      <c r="F806" s="587"/>
      <c r="G806" s="587"/>
      <c r="H806" s="587"/>
      <c r="I806" s="588"/>
      <c r="J806" s="588"/>
      <c r="K806" s="588"/>
      <c r="L806" s="989"/>
      <c r="M806" s="575"/>
      <c r="N806" s="575"/>
      <c r="O806" s="575"/>
      <c r="P806" s="575"/>
      <c r="Q806" s="575"/>
      <c r="R806" s="575"/>
      <c r="S806" s="989"/>
      <c r="T806" s="575"/>
      <c r="U806" s="575"/>
      <c r="V806" s="575"/>
      <c r="W806" s="575"/>
      <c r="X806" s="575"/>
      <c r="Y806" s="575"/>
      <c r="Z806" s="989"/>
      <c r="AA806" s="575"/>
      <c r="AB806" s="575"/>
      <c r="AC806" s="575"/>
      <c r="AD806" s="575"/>
      <c r="AE806" s="827"/>
      <c r="AF806" s="575"/>
      <c r="AG806" s="989"/>
      <c r="AH806" s="842"/>
      <c r="AI806" s="738">
        <f t="shared" si="50"/>
        <v>0</v>
      </c>
      <c r="AJ806" s="949">
        <v>0</v>
      </c>
      <c r="AK806" s="581">
        <f t="shared" si="51"/>
        <v>0</v>
      </c>
      <c r="AL806" s="747"/>
      <c r="AM806" s="743">
        <f t="shared" si="52"/>
        <v>0</v>
      </c>
    </row>
    <row r="807" spans="1:39" s="560" customFormat="1" hidden="1">
      <c r="A807" s="604" t="s">
        <v>634</v>
      </c>
      <c r="B807" s="604" t="s">
        <v>1187</v>
      </c>
      <c r="C807" s="530" t="s">
        <v>37</v>
      </c>
      <c r="D807" s="586"/>
      <c r="E807" s="982"/>
      <c r="F807" s="587"/>
      <c r="G807" s="587"/>
      <c r="H807" s="587"/>
      <c r="I807" s="588"/>
      <c r="J807" s="588"/>
      <c r="K807" s="588"/>
      <c r="L807" s="989"/>
      <c r="M807" s="575"/>
      <c r="N807" s="575"/>
      <c r="O807" s="575"/>
      <c r="P807" s="575"/>
      <c r="Q807" s="575"/>
      <c r="R807" s="575"/>
      <c r="S807" s="989"/>
      <c r="T807" s="575"/>
      <c r="U807" s="575"/>
      <c r="V807" s="575"/>
      <c r="W807" s="575"/>
      <c r="X807" s="575"/>
      <c r="Y807" s="575"/>
      <c r="Z807" s="989"/>
      <c r="AA807" s="575"/>
      <c r="AB807" s="575"/>
      <c r="AC807" s="575"/>
      <c r="AD807" s="575"/>
      <c r="AE807" s="827"/>
      <c r="AF807" s="575"/>
      <c r="AG807" s="989"/>
      <c r="AH807" s="842"/>
      <c r="AI807" s="738">
        <f t="shared" si="50"/>
        <v>0</v>
      </c>
      <c r="AJ807" s="949">
        <v>0</v>
      </c>
      <c r="AK807" s="581">
        <f t="shared" si="51"/>
        <v>0</v>
      </c>
      <c r="AL807" s="747" t="s">
        <v>1510</v>
      </c>
      <c r="AM807" s="743">
        <f t="shared" si="52"/>
        <v>83.2</v>
      </c>
    </row>
    <row r="808" spans="1:39" s="560" customFormat="1" hidden="1">
      <c r="A808" s="604" t="s">
        <v>635</v>
      </c>
      <c r="B808" s="604" t="s">
        <v>224</v>
      </c>
      <c r="C808" s="530" t="s">
        <v>1436</v>
      </c>
      <c r="D808" s="580"/>
      <c r="E808" s="981"/>
      <c r="F808" s="581"/>
      <c r="G808" s="581"/>
      <c r="H808" s="581"/>
      <c r="I808" s="949"/>
      <c r="J808" s="949"/>
      <c r="K808" s="949"/>
      <c r="L808" s="989"/>
      <c r="M808" s="575"/>
      <c r="N808" s="575"/>
      <c r="O808" s="575"/>
      <c r="P808" s="575"/>
      <c r="Q808" s="575"/>
      <c r="R808" s="575"/>
      <c r="S808" s="989"/>
      <c r="T808" s="575"/>
      <c r="U808" s="575"/>
      <c r="V808" s="575"/>
      <c r="W808" s="575"/>
      <c r="X808" s="575"/>
      <c r="Y808" s="575"/>
      <c r="Z808" s="989"/>
      <c r="AA808" s="575"/>
      <c r="AB808" s="575"/>
      <c r="AC808" s="575"/>
      <c r="AD808" s="575"/>
      <c r="AE808" s="827"/>
      <c r="AF808" s="575"/>
      <c r="AG808" s="989"/>
      <c r="AH808" s="842"/>
      <c r="AI808" s="738">
        <f t="shared" si="50"/>
        <v>0</v>
      </c>
      <c r="AJ808" s="949">
        <v>0</v>
      </c>
      <c r="AK808" s="581">
        <f t="shared" si="51"/>
        <v>0</v>
      </c>
      <c r="AL808" s="746" t="s">
        <v>1479</v>
      </c>
      <c r="AM808" s="743">
        <f t="shared" si="52"/>
        <v>15</v>
      </c>
    </row>
    <row r="809" spans="1:39" s="560" customFormat="1">
      <c r="A809" s="492" t="s">
        <v>51</v>
      </c>
      <c r="B809" s="608" t="s">
        <v>1195</v>
      </c>
      <c r="C809" s="679"/>
      <c r="D809" s="580"/>
      <c r="E809" s="981"/>
      <c r="F809" s="581"/>
      <c r="G809" s="581"/>
      <c r="H809" s="581"/>
      <c r="I809" s="949"/>
      <c r="J809" s="949"/>
      <c r="K809" s="949"/>
      <c r="L809" s="989"/>
      <c r="M809" s="575"/>
      <c r="N809" s="575"/>
      <c r="O809" s="575"/>
      <c r="P809" s="575"/>
      <c r="Q809" s="575"/>
      <c r="R809" s="575"/>
      <c r="S809" s="989"/>
      <c r="T809" s="575"/>
      <c r="U809" s="575"/>
      <c r="V809" s="575"/>
      <c r="W809" s="575"/>
      <c r="X809" s="575"/>
      <c r="Y809" s="575"/>
      <c r="Z809" s="989"/>
      <c r="AA809" s="575"/>
      <c r="AB809" s="575"/>
      <c r="AC809" s="575"/>
      <c r="AD809" s="575"/>
      <c r="AE809" s="827"/>
      <c r="AF809" s="575"/>
      <c r="AG809" s="989"/>
      <c r="AH809" s="842"/>
      <c r="AI809" s="738">
        <f t="shared" si="50"/>
        <v>0</v>
      </c>
      <c r="AJ809" s="949">
        <v>0</v>
      </c>
      <c r="AK809" s="581">
        <f t="shared" si="51"/>
        <v>0</v>
      </c>
      <c r="AL809" s="746"/>
      <c r="AM809" s="743">
        <f t="shared" si="52"/>
        <v>0</v>
      </c>
    </row>
    <row r="810" spans="1:39" s="560" customFormat="1" hidden="1">
      <c r="A810" s="607" t="s">
        <v>55</v>
      </c>
      <c r="B810" s="607" t="s">
        <v>45</v>
      </c>
      <c r="C810" s="690"/>
      <c r="D810" s="580"/>
      <c r="E810" s="981"/>
      <c r="F810" s="581"/>
      <c r="G810" s="581"/>
      <c r="H810" s="581"/>
      <c r="I810" s="949"/>
      <c r="J810" s="949"/>
      <c r="K810" s="949"/>
      <c r="L810" s="991"/>
      <c r="M810" s="583"/>
      <c r="N810" s="583"/>
      <c r="O810" s="583"/>
      <c r="P810" s="583"/>
      <c r="Q810" s="583"/>
      <c r="R810" s="583"/>
      <c r="S810" s="991"/>
      <c r="T810" s="583"/>
      <c r="U810" s="583"/>
      <c r="V810" s="583"/>
      <c r="W810" s="583"/>
      <c r="X810" s="583"/>
      <c r="Y810" s="583"/>
      <c r="Z810" s="991"/>
      <c r="AA810" s="583"/>
      <c r="AB810" s="583"/>
      <c r="AC810" s="583"/>
      <c r="AD810" s="583"/>
      <c r="AE810" s="827"/>
      <c r="AF810" s="583"/>
      <c r="AG810" s="991"/>
      <c r="AH810" s="843"/>
      <c r="AI810" s="738">
        <f t="shared" si="50"/>
        <v>0</v>
      </c>
      <c r="AJ810" s="949">
        <v>0</v>
      </c>
      <c r="AK810" s="581">
        <f t="shared" si="51"/>
        <v>0</v>
      </c>
      <c r="AL810" s="746" t="s">
        <v>1511</v>
      </c>
      <c r="AM810" s="743">
        <f t="shared" si="52"/>
        <v>28.51</v>
      </c>
    </row>
    <row r="811" spans="1:39" s="560" customFormat="1" hidden="1">
      <c r="A811" s="604" t="s">
        <v>636</v>
      </c>
      <c r="B811" s="604" t="s">
        <v>1142</v>
      </c>
      <c r="C811" s="614" t="s">
        <v>39</v>
      </c>
      <c r="D811" s="580"/>
      <c r="E811" s="981"/>
      <c r="F811" s="581"/>
      <c r="G811" s="581"/>
      <c r="H811" s="581"/>
      <c r="I811" s="949"/>
      <c r="J811" s="949"/>
      <c r="K811" s="949"/>
      <c r="L811" s="991"/>
      <c r="M811" s="583"/>
      <c r="N811" s="583"/>
      <c r="O811" s="583"/>
      <c r="P811" s="583"/>
      <c r="Q811" s="583"/>
      <c r="R811" s="583"/>
      <c r="S811" s="991"/>
      <c r="T811" s="583"/>
      <c r="U811" s="583"/>
      <c r="V811" s="583"/>
      <c r="W811" s="583"/>
      <c r="X811" s="583"/>
      <c r="Y811" s="583"/>
      <c r="Z811" s="991"/>
      <c r="AA811" s="583"/>
      <c r="AB811" s="583"/>
      <c r="AC811" s="583"/>
      <c r="AD811" s="583"/>
      <c r="AE811" s="827"/>
      <c r="AF811" s="583"/>
      <c r="AG811" s="991"/>
      <c r="AH811" s="843"/>
      <c r="AI811" s="738">
        <f t="shared" si="50"/>
        <v>0</v>
      </c>
      <c r="AJ811" s="949">
        <v>0</v>
      </c>
      <c r="AK811" s="581">
        <f t="shared" si="51"/>
        <v>0</v>
      </c>
      <c r="AL811" s="746" t="s">
        <v>1512</v>
      </c>
      <c r="AM811" s="743">
        <f t="shared" si="52"/>
        <v>19.8</v>
      </c>
    </row>
    <row r="812" spans="1:39" s="560" customFormat="1" hidden="1">
      <c r="A812" s="604" t="s">
        <v>637</v>
      </c>
      <c r="B812" s="604" t="s">
        <v>1143</v>
      </c>
      <c r="C812" s="614" t="s">
        <v>39</v>
      </c>
      <c r="D812" s="586"/>
      <c r="E812" s="982"/>
      <c r="F812" s="587"/>
      <c r="G812" s="587"/>
      <c r="H812" s="587"/>
      <c r="I812" s="588"/>
      <c r="J812" s="588"/>
      <c r="K812" s="588"/>
      <c r="L812" s="991"/>
      <c r="M812" s="583"/>
      <c r="N812" s="583"/>
      <c r="O812" s="583"/>
      <c r="P812" s="583"/>
      <c r="Q812" s="583"/>
      <c r="R812" s="583"/>
      <c r="S812" s="991"/>
      <c r="T812" s="583"/>
      <c r="U812" s="583"/>
      <c r="V812" s="583"/>
      <c r="W812" s="583"/>
      <c r="X812" s="583"/>
      <c r="Y812" s="583"/>
      <c r="Z812" s="991"/>
      <c r="AA812" s="583"/>
      <c r="AB812" s="583"/>
      <c r="AC812" s="583"/>
      <c r="AD812" s="583"/>
      <c r="AE812" s="827"/>
      <c r="AF812" s="583"/>
      <c r="AG812" s="991"/>
      <c r="AH812" s="843"/>
      <c r="AI812" s="738">
        <f t="shared" si="50"/>
        <v>0</v>
      </c>
      <c r="AJ812" s="949">
        <v>0</v>
      </c>
      <c r="AK812" s="581">
        <f t="shared" si="51"/>
        <v>0</v>
      </c>
      <c r="AL812" s="747" t="s">
        <v>1513</v>
      </c>
      <c r="AM812" s="743">
        <f t="shared" si="52"/>
        <v>34.56</v>
      </c>
    </row>
    <row r="813" spans="1:39" s="560" customFormat="1" hidden="1">
      <c r="A813" s="604" t="s">
        <v>638</v>
      </c>
      <c r="B813" s="604" t="s">
        <v>1144</v>
      </c>
      <c r="C813" s="614" t="s">
        <v>39</v>
      </c>
      <c r="D813" s="580"/>
      <c r="E813" s="981"/>
      <c r="F813" s="581"/>
      <c r="G813" s="581"/>
      <c r="H813" s="581"/>
      <c r="I813" s="949"/>
      <c r="J813" s="949"/>
      <c r="K813" s="949"/>
      <c r="L813" s="991"/>
      <c r="M813" s="583"/>
      <c r="N813" s="583"/>
      <c r="O813" s="583"/>
      <c r="P813" s="583"/>
      <c r="Q813" s="583"/>
      <c r="R813" s="583"/>
      <c r="S813" s="991"/>
      <c r="T813" s="583"/>
      <c r="U813" s="583"/>
      <c r="V813" s="583"/>
      <c r="W813" s="583"/>
      <c r="X813" s="583"/>
      <c r="Y813" s="583"/>
      <c r="Z813" s="991"/>
      <c r="AA813" s="583"/>
      <c r="AB813" s="583"/>
      <c r="AC813" s="583"/>
      <c r="AD813" s="583"/>
      <c r="AE813" s="827"/>
      <c r="AF813" s="583"/>
      <c r="AG813" s="991"/>
      <c r="AH813" s="843"/>
      <c r="AI813" s="738">
        <f t="shared" si="50"/>
        <v>0</v>
      </c>
      <c r="AJ813" s="949">
        <v>0</v>
      </c>
      <c r="AK813" s="581">
        <f t="shared" si="51"/>
        <v>0</v>
      </c>
      <c r="AL813" s="746" t="s">
        <v>1514</v>
      </c>
      <c r="AM813" s="743">
        <f t="shared" si="52"/>
        <v>72.33</v>
      </c>
    </row>
    <row r="814" spans="1:39" s="560" customFormat="1" hidden="1">
      <c r="A814" s="604" t="s">
        <v>639</v>
      </c>
      <c r="B814" s="604" t="s">
        <v>1145</v>
      </c>
      <c r="C814" s="614" t="s">
        <v>36</v>
      </c>
      <c r="D814" s="580"/>
      <c r="E814" s="981"/>
      <c r="F814" s="581"/>
      <c r="G814" s="581"/>
      <c r="H814" s="581"/>
      <c r="I814" s="949"/>
      <c r="J814" s="949"/>
      <c r="K814" s="949"/>
      <c r="L814" s="991"/>
      <c r="M814" s="583"/>
      <c r="N814" s="583"/>
      <c r="O814" s="583"/>
      <c r="P814" s="583"/>
      <c r="Q814" s="583"/>
      <c r="R814" s="583"/>
      <c r="S814" s="991"/>
      <c r="T814" s="583"/>
      <c r="U814" s="583"/>
      <c r="V814" s="583"/>
      <c r="W814" s="583"/>
      <c r="X814" s="583"/>
      <c r="Y814" s="583"/>
      <c r="Z814" s="991"/>
      <c r="AA814" s="583"/>
      <c r="AB814" s="583"/>
      <c r="AC814" s="583"/>
      <c r="AD814" s="583"/>
      <c r="AE814" s="827"/>
      <c r="AF814" s="583"/>
      <c r="AG814" s="991"/>
      <c r="AH814" s="843"/>
      <c r="AI814" s="738">
        <f t="shared" si="50"/>
        <v>0</v>
      </c>
      <c r="AJ814" s="949">
        <v>0</v>
      </c>
      <c r="AK814" s="581">
        <f t="shared" si="51"/>
        <v>0</v>
      </c>
      <c r="AL814" s="746" t="s">
        <v>1515</v>
      </c>
      <c r="AM814" s="743">
        <f t="shared" si="52"/>
        <v>17.190000000000001</v>
      </c>
    </row>
    <row r="815" spans="1:39" s="560" customFormat="1" hidden="1">
      <c r="A815" s="604" t="s">
        <v>640</v>
      </c>
      <c r="B815" s="604" t="s">
        <v>1146</v>
      </c>
      <c r="C815" s="614" t="s">
        <v>39</v>
      </c>
      <c r="D815" s="580"/>
      <c r="E815" s="981"/>
      <c r="F815" s="581"/>
      <c r="G815" s="581"/>
      <c r="H815" s="581"/>
      <c r="I815" s="949"/>
      <c r="J815" s="949"/>
      <c r="K815" s="949"/>
      <c r="L815" s="989"/>
      <c r="M815" s="575"/>
      <c r="N815" s="575"/>
      <c r="O815" s="575"/>
      <c r="P815" s="575"/>
      <c r="Q815" s="575"/>
      <c r="R815" s="575"/>
      <c r="S815" s="989"/>
      <c r="T815" s="575"/>
      <c r="U815" s="575"/>
      <c r="V815" s="575"/>
      <c r="W815" s="575"/>
      <c r="X815" s="575"/>
      <c r="Y815" s="575"/>
      <c r="Z815" s="989"/>
      <c r="AA815" s="575"/>
      <c r="AB815" s="575"/>
      <c r="AC815" s="575"/>
      <c r="AD815" s="575"/>
      <c r="AE815" s="827"/>
      <c r="AF815" s="575"/>
      <c r="AG815" s="989"/>
      <c r="AH815" s="842"/>
      <c r="AI815" s="738">
        <f t="shared" ref="AI815:AI830" si="53">ROUND((SUM(D815:AG815)),2)</f>
        <v>0</v>
      </c>
      <c r="AJ815" s="949">
        <v>0</v>
      </c>
      <c r="AK815" s="581">
        <f t="shared" si="51"/>
        <v>0</v>
      </c>
      <c r="AL815" s="746" t="s">
        <v>1515</v>
      </c>
      <c r="AM815" s="743">
        <f t="shared" si="52"/>
        <v>17.190000000000001</v>
      </c>
    </row>
    <row r="816" spans="1:39" s="560" customFormat="1" hidden="1">
      <c r="A816" s="604" t="s">
        <v>641</v>
      </c>
      <c r="B816" s="604" t="s">
        <v>1147</v>
      </c>
      <c r="C816" s="614" t="s">
        <v>39</v>
      </c>
      <c r="D816" s="580"/>
      <c r="E816" s="981"/>
      <c r="F816" s="581"/>
      <c r="G816" s="581"/>
      <c r="H816" s="581"/>
      <c r="I816" s="949"/>
      <c r="J816" s="949"/>
      <c r="K816" s="949"/>
      <c r="L816" s="989"/>
      <c r="M816" s="575"/>
      <c r="N816" s="575"/>
      <c r="O816" s="575"/>
      <c r="P816" s="575"/>
      <c r="Q816" s="575"/>
      <c r="R816" s="575"/>
      <c r="S816" s="989"/>
      <c r="T816" s="575"/>
      <c r="U816" s="575"/>
      <c r="V816" s="575"/>
      <c r="W816" s="575"/>
      <c r="X816" s="575"/>
      <c r="Y816" s="575"/>
      <c r="Z816" s="989"/>
      <c r="AA816" s="575"/>
      <c r="AB816" s="575"/>
      <c r="AC816" s="575"/>
      <c r="AD816" s="575"/>
      <c r="AE816" s="827"/>
      <c r="AF816" s="575"/>
      <c r="AG816" s="989"/>
      <c r="AH816" s="842"/>
      <c r="AI816" s="738">
        <f t="shared" si="53"/>
        <v>0</v>
      </c>
      <c r="AJ816" s="949">
        <v>0</v>
      </c>
      <c r="AK816" s="581">
        <f t="shared" si="51"/>
        <v>0</v>
      </c>
      <c r="AL816" s="746"/>
      <c r="AM816" s="743">
        <f t="shared" si="52"/>
        <v>0</v>
      </c>
    </row>
    <row r="817" spans="1:42" s="560" customFormat="1" hidden="1">
      <c r="A817" s="607" t="s">
        <v>56</v>
      </c>
      <c r="B817" s="607" t="s">
        <v>1148</v>
      </c>
      <c r="C817" s="690"/>
      <c r="D817" s="586"/>
      <c r="E817" s="982"/>
      <c r="F817" s="587"/>
      <c r="G817" s="587"/>
      <c r="H817" s="587"/>
      <c r="I817" s="588"/>
      <c r="J817" s="588"/>
      <c r="K817" s="588"/>
      <c r="L817" s="989"/>
      <c r="M817" s="575"/>
      <c r="N817" s="575"/>
      <c r="O817" s="575"/>
      <c r="P817" s="575"/>
      <c r="Q817" s="575"/>
      <c r="R817" s="575"/>
      <c r="S817" s="989"/>
      <c r="T817" s="575"/>
      <c r="U817" s="575"/>
      <c r="V817" s="575"/>
      <c r="W817" s="575"/>
      <c r="X817" s="575"/>
      <c r="Y817" s="575"/>
      <c r="Z817" s="989"/>
      <c r="AA817" s="575"/>
      <c r="AB817" s="575"/>
      <c r="AC817" s="575"/>
      <c r="AD817" s="810"/>
      <c r="AE817" s="827"/>
      <c r="AF817" s="575"/>
      <c r="AG817" s="989"/>
      <c r="AH817" s="842"/>
      <c r="AI817" s="738">
        <f t="shared" si="53"/>
        <v>0</v>
      </c>
      <c r="AJ817" s="949">
        <v>0</v>
      </c>
      <c r="AK817" s="581">
        <f t="shared" si="51"/>
        <v>0</v>
      </c>
      <c r="AL817" s="747" t="s">
        <v>1516</v>
      </c>
      <c r="AM817" s="743">
        <f t="shared" si="52"/>
        <v>23.07</v>
      </c>
    </row>
    <row r="818" spans="1:42" s="560" customFormat="1" hidden="1">
      <c r="A818" s="604" t="s">
        <v>642</v>
      </c>
      <c r="B818" s="604" t="s">
        <v>1189</v>
      </c>
      <c r="C818" s="614" t="s">
        <v>36</v>
      </c>
      <c r="D818" s="580"/>
      <c r="E818" s="981"/>
      <c r="F818" s="581"/>
      <c r="G818" s="581"/>
      <c r="H818" s="581"/>
      <c r="I818" s="949"/>
      <c r="J818" s="949"/>
      <c r="K818" s="949"/>
      <c r="L818" s="989"/>
      <c r="M818" s="575"/>
      <c r="N818" s="575"/>
      <c r="O818" s="575"/>
      <c r="P818" s="575"/>
      <c r="Q818" s="575"/>
      <c r="R818" s="575"/>
      <c r="S818" s="989"/>
      <c r="T818" s="575"/>
      <c r="U818" s="575"/>
      <c r="V818" s="575"/>
      <c r="W818" s="575"/>
      <c r="X818" s="575"/>
      <c r="Y818" s="575"/>
      <c r="Z818" s="989"/>
      <c r="AA818" s="575"/>
      <c r="AB818" s="575"/>
      <c r="AC818" s="575"/>
      <c r="AD818" s="575"/>
      <c r="AE818" s="827"/>
      <c r="AF818" s="575"/>
      <c r="AG818" s="989"/>
      <c r="AH818" s="842"/>
      <c r="AI818" s="738">
        <f t="shared" si="53"/>
        <v>0</v>
      </c>
      <c r="AJ818" s="949">
        <v>0</v>
      </c>
      <c r="AK818" s="581">
        <f t="shared" si="51"/>
        <v>0</v>
      </c>
      <c r="AL818" s="746" t="s">
        <v>1517</v>
      </c>
      <c r="AM818" s="743">
        <f t="shared" si="52"/>
        <v>10.4</v>
      </c>
    </row>
    <row r="819" spans="1:42" s="897" customFormat="1" hidden="1">
      <c r="A819" s="886" t="s">
        <v>643</v>
      </c>
      <c r="B819" s="886" t="s">
        <v>1190</v>
      </c>
      <c r="C819" s="900" t="s">
        <v>39</v>
      </c>
      <c r="D819" s="888"/>
      <c r="E819" s="981"/>
      <c r="F819" s="889"/>
      <c r="G819" s="889"/>
      <c r="H819" s="889"/>
      <c r="I819" s="890"/>
      <c r="J819" s="890"/>
      <c r="K819" s="890"/>
      <c r="L819" s="989"/>
      <c r="M819" s="891"/>
      <c r="N819" s="891"/>
      <c r="O819" s="891"/>
      <c r="P819" s="891"/>
      <c r="Q819" s="891"/>
      <c r="R819" s="891"/>
      <c r="S819" s="989"/>
      <c r="T819" s="891"/>
      <c r="U819" s="891"/>
      <c r="V819" s="891"/>
      <c r="W819" s="891"/>
      <c r="X819" s="891"/>
      <c r="Y819" s="891"/>
      <c r="Z819" s="989"/>
      <c r="AA819" s="891"/>
      <c r="AB819" s="891"/>
      <c r="AC819" s="891"/>
      <c r="AD819" s="891"/>
      <c r="AE819" s="827"/>
      <c r="AF819" s="891"/>
      <c r="AG819" s="989"/>
      <c r="AH819" s="893"/>
      <c r="AI819" s="894">
        <f t="shared" si="53"/>
        <v>0</v>
      </c>
      <c r="AJ819" s="890">
        <v>0</v>
      </c>
      <c r="AK819" s="889">
        <f t="shared" si="51"/>
        <v>0</v>
      </c>
      <c r="AL819" s="895" t="s">
        <v>1518</v>
      </c>
      <c r="AM819" s="896">
        <f t="shared" si="52"/>
        <v>2.1800000000000002</v>
      </c>
    </row>
    <row r="820" spans="1:42" s="897" customFormat="1" hidden="1">
      <c r="A820" s="886" t="s">
        <v>644</v>
      </c>
      <c r="B820" s="886" t="s">
        <v>1191</v>
      </c>
      <c r="C820" s="900" t="s">
        <v>39</v>
      </c>
      <c r="D820" s="888"/>
      <c r="E820" s="981"/>
      <c r="F820" s="889"/>
      <c r="G820" s="889"/>
      <c r="H820" s="889"/>
      <c r="I820" s="890"/>
      <c r="J820" s="890"/>
      <c r="K820" s="890"/>
      <c r="L820" s="989"/>
      <c r="M820" s="891"/>
      <c r="N820" s="891"/>
      <c r="O820" s="891"/>
      <c r="P820" s="891"/>
      <c r="Q820" s="891"/>
      <c r="R820" s="891"/>
      <c r="S820" s="989"/>
      <c r="T820" s="891"/>
      <c r="U820" s="891"/>
      <c r="V820" s="891"/>
      <c r="W820" s="891"/>
      <c r="X820" s="891"/>
      <c r="Y820" s="891"/>
      <c r="Z820" s="989"/>
      <c r="AA820" s="891"/>
      <c r="AB820" s="891"/>
      <c r="AC820" s="891"/>
      <c r="AD820" s="891"/>
      <c r="AE820" s="827"/>
      <c r="AF820" s="891"/>
      <c r="AG820" s="989"/>
      <c r="AH820" s="893"/>
      <c r="AI820" s="894">
        <f t="shared" si="53"/>
        <v>0</v>
      </c>
      <c r="AJ820" s="890">
        <v>0</v>
      </c>
      <c r="AK820" s="889">
        <f t="shared" si="51"/>
        <v>0</v>
      </c>
      <c r="AL820" s="895" t="s">
        <v>1519</v>
      </c>
      <c r="AM820" s="896">
        <f t="shared" si="52"/>
        <v>29.03</v>
      </c>
    </row>
    <row r="821" spans="1:42" s="560" customFormat="1" hidden="1">
      <c r="A821" s="604" t="s">
        <v>645</v>
      </c>
      <c r="B821" s="604" t="s">
        <v>1153</v>
      </c>
      <c r="C821" s="614" t="s">
        <v>36</v>
      </c>
      <c r="D821" s="580"/>
      <c r="E821" s="981"/>
      <c r="F821" s="581"/>
      <c r="G821" s="581"/>
      <c r="H821" s="581"/>
      <c r="I821" s="949"/>
      <c r="J821" s="949"/>
      <c r="K821" s="949"/>
      <c r="L821" s="989"/>
      <c r="M821" s="575"/>
      <c r="N821" s="575"/>
      <c r="O821" s="575"/>
      <c r="P821" s="575"/>
      <c r="Q821" s="575"/>
      <c r="R821" s="575"/>
      <c r="S821" s="989"/>
      <c r="T821" s="575"/>
      <c r="U821" s="575"/>
      <c r="V821" s="575"/>
      <c r="W821" s="575"/>
      <c r="X821" s="575"/>
      <c r="Y821" s="575"/>
      <c r="Z821" s="989"/>
      <c r="AA821" s="575"/>
      <c r="AB821" s="575"/>
      <c r="AC821" s="575"/>
      <c r="AD821" s="575"/>
      <c r="AE821" s="827"/>
      <c r="AF821" s="575"/>
      <c r="AG821" s="989"/>
      <c r="AH821" s="842"/>
      <c r="AI821" s="738">
        <f t="shared" si="53"/>
        <v>0</v>
      </c>
      <c r="AJ821" s="949">
        <v>0</v>
      </c>
      <c r="AK821" s="581">
        <f t="shared" si="51"/>
        <v>0</v>
      </c>
      <c r="AL821" s="746" t="s">
        <v>1514</v>
      </c>
      <c r="AM821" s="743">
        <f t="shared" si="52"/>
        <v>72.33</v>
      </c>
    </row>
    <row r="822" spans="1:42" s="560" customFormat="1" hidden="1">
      <c r="A822" s="604" t="s">
        <v>646</v>
      </c>
      <c r="B822" s="604" t="s">
        <v>1154</v>
      </c>
      <c r="C822" s="614" t="s">
        <v>36</v>
      </c>
      <c r="D822" s="580"/>
      <c r="E822" s="981"/>
      <c r="F822" s="581"/>
      <c r="G822" s="581"/>
      <c r="H822" s="581"/>
      <c r="I822" s="949"/>
      <c r="J822" s="949"/>
      <c r="K822" s="949"/>
      <c r="L822" s="989"/>
      <c r="M822" s="575"/>
      <c r="N822" s="575"/>
      <c r="O822" s="575"/>
      <c r="P822" s="575"/>
      <c r="Q822" s="575"/>
      <c r="R822" s="575"/>
      <c r="S822" s="989"/>
      <c r="T822" s="575"/>
      <c r="U822" s="575"/>
      <c r="V822" s="575"/>
      <c r="W822" s="575"/>
      <c r="X822" s="575"/>
      <c r="Y822" s="575"/>
      <c r="Z822" s="989"/>
      <c r="AA822" s="575"/>
      <c r="AB822" s="575"/>
      <c r="AC822" s="575"/>
      <c r="AD822" s="575"/>
      <c r="AE822" s="827"/>
      <c r="AF822" s="575"/>
      <c r="AG822" s="989"/>
      <c r="AH822" s="842"/>
      <c r="AI822" s="738">
        <f t="shared" si="53"/>
        <v>0</v>
      </c>
      <c r="AJ822" s="949">
        <v>0</v>
      </c>
      <c r="AK822" s="581">
        <f t="shared" si="51"/>
        <v>0</v>
      </c>
      <c r="AL822" s="746"/>
      <c r="AM822" s="743">
        <f t="shared" si="52"/>
        <v>0</v>
      </c>
    </row>
    <row r="823" spans="1:42" s="560" customFormat="1">
      <c r="A823" s="607" t="s">
        <v>647</v>
      </c>
      <c r="B823" s="607" t="s">
        <v>1155</v>
      </c>
      <c r="C823" s="690"/>
      <c r="D823" s="580"/>
      <c r="E823" s="981"/>
      <c r="F823" s="581"/>
      <c r="G823" s="581"/>
      <c r="H823" s="581"/>
      <c r="I823" s="949"/>
      <c r="J823" s="949"/>
      <c r="K823" s="949"/>
      <c r="L823" s="989"/>
      <c r="M823" s="575"/>
      <c r="N823" s="575"/>
      <c r="O823" s="575"/>
      <c r="P823" s="575"/>
      <c r="Q823" s="575"/>
      <c r="R823" s="575"/>
      <c r="S823" s="989"/>
      <c r="T823" s="575"/>
      <c r="U823" s="575"/>
      <c r="V823" s="575"/>
      <c r="W823" s="575"/>
      <c r="X823" s="575"/>
      <c r="Y823" s="575"/>
      <c r="Z823" s="989"/>
      <c r="AA823" s="575"/>
      <c r="AB823" s="575"/>
      <c r="AC823" s="575"/>
      <c r="AD823" s="575"/>
      <c r="AE823" s="827"/>
      <c r="AF823" s="575"/>
      <c r="AG823" s="989"/>
      <c r="AH823" s="842"/>
      <c r="AI823" s="738">
        <f t="shared" si="53"/>
        <v>0</v>
      </c>
      <c r="AJ823" s="949">
        <v>0</v>
      </c>
      <c r="AK823" s="581">
        <f t="shared" si="51"/>
        <v>0</v>
      </c>
      <c r="AL823" s="746"/>
      <c r="AM823" s="743">
        <f t="shared" si="52"/>
        <v>0</v>
      </c>
    </row>
    <row r="824" spans="1:42" s="560" customFormat="1" hidden="1">
      <c r="A824" s="604" t="s">
        <v>648</v>
      </c>
      <c r="B824" s="604" t="s">
        <v>1156</v>
      </c>
      <c r="C824" s="690"/>
      <c r="D824" s="580"/>
      <c r="E824" s="981"/>
      <c r="F824" s="581"/>
      <c r="G824" s="581"/>
      <c r="H824" s="581"/>
      <c r="I824" s="949"/>
      <c r="J824" s="949"/>
      <c r="K824" s="949"/>
      <c r="L824" s="989"/>
      <c r="M824" s="575"/>
      <c r="N824" s="575"/>
      <c r="O824" s="575"/>
      <c r="P824" s="575"/>
      <c r="Q824" s="575"/>
      <c r="R824" s="575"/>
      <c r="S824" s="989"/>
      <c r="T824" s="575"/>
      <c r="U824" s="575"/>
      <c r="V824" s="575"/>
      <c r="W824" s="575"/>
      <c r="X824" s="575"/>
      <c r="Y824" s="575"/>
      <c r="Z824" s="989"/>
      <c r="AA824" s="575"/>
      <c r="AB824" s="575"/>
      <c r="AC824" s="583"/>
      <c r="AD824" s="575"/>
      <c r="AE824" s="827"/>
      <c r="AF824" s="575"/>
      <c r="AG824" s="989"/>
      <c r="AH824" s="842"/>
      <c r="AI824" s="738">
        <f t="shared" si="53"/>
        <v>0</v>
      </c>
      <c r="AJ824" s="949">
        <v>0</v>
      </c>
      <c r="AK824" s="581">
        <f t="shared" si="51"/>
        <v>0</v>
      </c>
      <c r="AL824" s="746" t="s">
        <v>1520</v>
      </c>
      <c r="AM824" s="743">
        <f t="shared" si="52"/>
        <v>6.34</v>
      </c>
    </row>
    <row r="825" spans="1:42" s="560" customFormat="1" hidden="1">
      <c r="A825" s="604" t="s">
        <v>649</v>
      </c>
      <c r="B825" s="604" t="s">
        <v>1192</v>
      </c>
      <c r="C825" s="614" t="s">
        <v>39</v>
      </c>
      <c r="D825" s="580"/>
      <c r="E825" s="981"/>
      <c r="F825" s="581"/>
      <c r="G825" s="581"/>
      <c r="H825" s="581"/>
      <c r="I825" s="949"/>
      <c r="J825" s="949"/>
      <c r="K825" s="949"/>
      <c r="L825" s="989"/>
      <c r="M825" s="575"/>
      <c r="N825" s="575"/>
      <c r="O825" s="575"/>
      <c r="P825" s="575"/>
      <c r="Q825" s="575"/>
      <c r="R825" s="575"/>
      <c r="S825" s="989"/>
      <c r="T825" s="575"/>
      <c r="U825" s="575"/>
      <c r="V825" s="575"/>
      <c r="W825" s="575"/>
      <c r="X825" s="575"/>
      <c r="Y825" s="575"/>
      <c r="Z825" s="995"/>
      <c r="AA825" s="575"/>
      <c r="AB825" s="575"/>
      <c r="AC825" s="575"/>
      <c r="AD825" s="575"/>
      <c r="AE825" s="827"/>
      <c r="AF825" s="575"/>
      <c r="AG825" s="989"/>
      <c r="AH825" s="842"/>
      <c r="AI825" s="738">
        <f t="shared" si="53"/>
        <v>0</v>
      </c>
      <c r="AJ825" s="949">
        <v>0</v>
      </c>
      <c r="AK825" s="581">
        <f t="shared" ref="AK825:AK830" si="54">AI825+AJ825</f>
        <v>0</v>
      </c>
      <c r="AL825" s="746" t="s">
        <v>1521</v>
      </c>
      <c r="AM825" s="743">
        <f t="shared" ref="AM825:AM830" si="55">AL825-AK825</f>
        <v>264.95999999999998</v>
      </c>
    </row>
    <row r="826" spans="1:42" s="560" customFormat="1" hidden="1">
      <c r="A826" s="604" t="s">
        <v>650</v>
      </c>
      <c r="B826" s="604" t="s">
        <v>1158</v>
      </c>
      <c r="C826" s="614" t="s">
        <v>47</v>
      </c>
      <c r="D826" s="580"/>
      <c r="E826" s="981"/>
      <c r="F826" s="581"/>
      <c r="G826" s="581"/>
      <c r="H826" s="581"/>
      <c r="I826" s="949"/>
      <c r="J826" s="949"/>
      <c r="K826" s="949"/>
      <c r="L826" s="989"/>
      <c r="M826" s="575"/>
      <c r="N826" s="575"/>
      <c r="O826" s="575"/>
      <c r="P826" s="575"/>
      <c r="Q826" s="575"/>
      <c r="R826" s="575"/>
      <c r="S826" s="989"/>
      <c r="T826" s="575"/>
      <c r="U826" s="575"/>
      <c r="V826" s="575"/>
      <c r="W826" s="575"/>
      <c r="X826" s="575"/>
      <c r="Y826" s="575"/>
      <c r="Z826" s="989"/>
      <c r="AA826" s="575"/>
      <c r="AB826" s="575"/>
      <c r="AC826" s="575"/>
      <c r="AD826" s="575"/>
      <c r="AE826" s="827"/>
      <c r="AF826" s="575"/>
      <c r="AG826" s="989"/>
      <c r="AH826" s="842"/>
      <c r="AI826" s="738">
        <f t="shared" si="53"/>
        <v>0</v>
      </c>
      <c r="AJ826" s="949">
        <v>0</v>
      </c>
      <c r="AK826" s="581">
        <f t="shared" si="54"/>
        <v>0</v>
      </c>
      <c r="AL826" s="746"/>
      <c r="AM826" s="743">
        <f t="shared" si="55"/>
        <v>0</v>
      </c>
    </row>
    <row r="827" spans="1:42" s="560" customFormat="1">
      <c r="A827" s="604" t="s">
        <v>651</v>
      </c>
      <c r="B827" s="604" t="s">
        <v>1159</v>
      </c>
      <c r="C827" s="690"/>
      <c r="D827" s="580"/>
      <c r="E827" s="981"/>
      <c r="F827" s="581"/>
      <c r="G827" s="581"/>
      <c r="H827" s="581"/>
      <c r="I827" s="949"/>
      <c r="J827" s="949"/>
      <c r="K827" s="949"/>
      <c r="L827" s="989"/>
      <c r="M827" s="575"/>
      <c r="N827" s="575"/>
      <c r="O827" s="575"/>
      <c r="P827" s="575"/>
      <c r="Q827" s="575"/>
      <c r="R827" s="575"/>
      <c r="S827" s="989"/>
      <c r="T827" s="575"/>
      <c r="U827" s="575"/>
      <c r="V827" s="575"/>
      <c r="W827" s="575"/>
      <c r="X827" s="575"/>
      <c r="Y827" s="575"/>
      <c r="Z827" s="989"/>
      <c r="AA827" s="575"/>
      <c r="AB827" s="575"/>
      <c r="AC827" s="575"/>
      <c r="AD827" s="575"/>
      <c r="AE827" s="827"/>
      <c r="AF827" s="575"/>
      <c r="AG827" s="989"/>
      <c r="AH827" s="842"/>
      <c r="AI827" s="738">
        <f t="shared" si="53"/>
        <v>0</v>
      </c>
      <c r="AJ827" s="949">
        <v>0</v>
      </c>
      <c r="AK827" s="581">
        <f t="shared" si="54"/>
        <v>0</v>
      </c>
      <c r="AL827" s="746" t="s">
        <v>1522</v>
      </c>
      <c r="AM827" s="743">
        <f t="shared" si="55"/>
        <v>3.77</v>
      </c>
    </row>
    <row r="828" spans="1:42" s="560" customFormat="1">
      <c r="A828" s="604" t="s">
        <v>652</v>
      </c>
      <c r="B828" s="604" t="s">
        <v>1193</v>
      </c>
      <c r="C828" s="614" t="s">
        <v>39</v>
      </c>
      <c r="D828" s="580"/>
      <c r="E828" s="981"/>
      <c r="G828" s="922">
        <f>40.27*0.1253*0.25</f>
        <v>1.2614577500000002</v>
      </c>
      <c r="H828" s="581"/>
      <c r="I828" s="949"/>
      <c r="J828" s="949"/>
      <c r="K828" s="949"/>
      <c r="L828" s="989"/>
      <c r="M828" s="575"/>
      <c r="N828" s="575"/>
      <c r="O828" s="575"/>
      <c r="P828" s="575"/>
      <c r="Q828" s="575"/>
      <c r="R828" s="575"/>
      <c r="S828" s="989"/>
      <c r="T828" s="575"/>
      <c r="U828" s="575"/>
      <c r="V828" s="575"/>
      <c r="W828" s="575"/>
      <c r="X828" s="575"/>
      <c r="Y828" s="575"/>
      <c r="Z828" s="989"/>
      <c r="AA828" s="575"/>
      <c r="AB828" s="575"/>
      <c r="AC828" s="575"/>
      <c r="AD828" s="575"/>
      <c r="AE828" s="827"/>
      <c r="AF828" s="575"/>
      <c r="AG828" s="989"/>
      <c r="AH828" s="842"/>
      <c r="AI828" s="966">
        <f t="shared" si="53"/>
        <v>1.26</v>
      </c>
      <c r="AJ828" s="949">
        <v>0</v>
      </c>
      <c r="AK828" s="581">
        <f t="shared" si="54"/>
        <v>1.26</v>
      </c>
      <c r="AL828" s="746" t="s">
        <v>1523</v>
      </c>
      <c r="AM828" s="743">
        <f t="shared" si="55"/>
        <v>28.919999999999998</v>
      </c>
    </row>
    <row r="829" spans="1:42" s="560" customFormat="1">
      <c r="A829" s="604" t="s">
        <v>653</v>
      </c>
      <c r="B829" s="604" t="s">
        <v>1161</v>
      </c>
      <c r="C829" s="614" t="s">
        <v>36</v>
      </c>
      <c r="D829" s="580"/>
      <c r="E829" s="981"/>
      <c r="F829" s="922">
        <f>40.27*0.1253*2</f>
        <v>10.091662000000001</v>
      </c>
      <c r="G829" s="581"/>
      <c r="H829" s="581"/>
      <c r="I829" s="949"/>
      <c r="J829" s="949"/>
      <c r="K829" s="949"/>
      <c r="L829" s="989"/>
      <c r="M829" s="575"/>
      <c r="N829" s="575"/>
      <c r="O829" s="575"/>
      <c r="P829" s="575"/>
      <c r="Q829" s="575"/>
      <c r="R829" s="575"/>
      <c r="S829" s="989"/>
      <c r="T829" s="575"/>
      <c r="U829" s="575"/>
      <c r="V829" s="575"/>
      <c r="W829" s="575"/>
      <c r="X829" s="575"/>
      <c r="Y829" s="575"/>
      <c r="Z829" s="989"/>
      <c r="AA829" s="575"/>
      <c r="AB829" s="575"/>
      <c r="AC829" s="588"/>
      <c r="AD829" s="741"/>
      <c r="AE829" s="827"/>
      <c r="AF829" s="575"/>
      <c r="AG829" s="989"/>
      <c r="AH829" s="842"/>
      <c r="AI829" s="966">
        <f t="shared" si="53"/>
        <v>10.09</v>
      </c>
      <c r="AJ829" s="949">
        <v>0</v>
      </c>
      <c r="AK829" s="581">
        <f t="shared" si="54"/>
        <v>10.09</v>
      </c>
      <c r="AL829" s="746" t="s">
        <v>1524</v>
      </c>
      <c r="AM829" s="743">
        <f t="shared" si="55"/>
        <v>355.24</v>
      </c>
    </row>
    <row r="830" spans="1:42" s="560" customFormat="1" ht="13.2" customHeight="1">
      <c r="A830" s="604" t="s">
        <v>654</v>
      </c>
      <c r="B830" s="604" t="s">
        <v>1162</v>
      </c>
      <c r="C830" s="614" t="s">
        <v>47</v>
      </c>
      <c r="D830" s="580"/>
      <c r="E830" s="981"/>
      <c r="F830" s="922">
        <v>193.67</v>
      </c>
      <c r="G830" s="581"/>
      <c r="H830" s="581"/>
      <c r="I830" s="949"/>
      <c r="J830" s="949"/>
      <c r="K830" s="949"/>
      <c r="L830" s="989"/>
      <c r="M830" s="575"/>
      <c r="N830" s="575"/>
      <c r="O830" s="575"/>
      <c r="P830" s="575"/>
      <c r="Q830" s="575"/>
      <c r="R830" s="575"/>
      <c r="S830" s="989"/>
      <c r="T830" s="575"/>
      <c r="U830" s="575"/>
      <c r="V830" s="575"/>
      <c r="W830" s="575"/>
      <c r="X830" s="575"/>
      <c r="Y830" s="575"/>
      <c r="Z830" s="989"/>
      <c r="AA830" s="575"/>
      <c r="AB830" s="575"/>
      <c r="AC830" s="575"/>
      <c r="AD830" s="575"/>
      <c r="AE830" s="827"/>
      <c r="AF830" s="575"/>
      <c r="AG830" s="989"/>
      <c r="AH830" s="842"/>
      <c r="AI830" s="738">
        <f t="shared" si="53"/>
        <v>193.67</v>
      </c>
      <c r="AJ830" s="949">
        <v>0</v>
      </c>
      <c r="AK830" s="581">
        <f t="shared" si="54"/>
        <v>193.67</v>
      </c>
      <c r="AL830" s="746"/>
      <c r="AM830" s="743">
        <f t="shared" si="55"/>
        <v>-193.67</v>
      </c>
    </row>
    <row r="831" spans="1:42" s="1000" customFormat="1" ht="24" thickBot="1">
      <c r="A831" s="999"/>
      <c r="B831" s="1005" t="s">
        <v>257</v>
      </c>
      <c r="C831" s="1004"/>
      <c r="D831" s="1567" t="s">
        <v>257</v>
      </c>
      <c r="E831" s="1567"/>
      <c r="F831" s="1567"/>
      <c r="G831" s="1567"/>
      <c r="H831" s="1567"/>
      <c r="I831" s="1567"/>
      <c r="J831" s="1567"/>
      <c r="K831" s="1567"/>
      <c r="L831" s="1567"/>
      <c r="M831" s="1567"/>
      <c r="N831" s="1567"/>
      <c r="O831" s="1567"/>
      <c r="P831" s="1567"/>
      <c r="Q831" s="1567"/>
      <c r="R831" s="1567"/>
      <c r="S831" s="1567"/>
      <c r="T831" s="1567"/>
      <c r="U831" s="1567"/>
      <c r="V831" s="1567"/>
      <c r="W831" s="1567"/>
      <c r="X831" s="1567"/>
      <c r="Y831" s="1567"/>
      <c r="Z831" s="1567"/>
      <c r="AA831" s="1567"/>
      <c r="AB831" s="1567"/>
      <c r="AC831" s="1567"/>
      <c r="AD831" s="1567"/>
      <c r="AE831" s="1567"/>
      <c r="AF831" s="1567"/>
      <c r="AG831" s="1567"/>
      <c r="AH831" s="1567"/>
      <c r="AI831" s="1567"/>
      <c r="AJ831" s="1567"/>
      <c r="AK831" s="1567"/>
      <c r="AL831" s="1567"/>
      <c r="AM831" s="1567"/>
      <c r="AN831" s="1567"/>
      <c r="AO831" s="1567"/>
      <c r="AP831" s="1567"/>
    </row>
    <row r="832" spans="1:42" s="579" customFormat="1">
      <c r="A832" s="626" t="s">
        <v>500</v>
      </c>
      <c r="B832" s="627" t="s">
        <v>1790</v>
      </c>
      <c r="C832" s="625"/>
      <c r="D832" s="571"/>
      <c r="E832" s="980"/>
      <c r="F832" s="572"/>
      <c r="G832" s="572"/>
      <c r="H832" s="572"/>
      <c r="I832" s="573"/>
      <c r="J832" s="573"/>
      <c r="K832" s="573"/>
      <c r="L832" s="996"/>
      <c r="M832" s="573"/>
      <c r="N832" s="573"/>
      <c r="O832" s="573"/>
      <c r="P832" s="573"/>
      <c r="Q832" s="573"/>
      <c r="R832" s="573"/>
      <c r="S832" s="996"/>
      <c r="T832" s="573"/>
      <c r="U832" s="573"/>
      <c r="V832" s="573"/>
      <c r="W832" s="573"/>
      <c r="X832" s="573"/>
      <c r="Y832" s="573"/>
      <c r="Z832" s="996"/>
      <c r="AA832" s="573"/>
      <c r="AB832" s="574"/>
      <c r="AC832" s="574"/>
      <c r="AD832" s="574"/>
      <c r="AE832" s="862"/>
      <c r="AF832" s="575"/>
      <c r="AG832" s="989"/>
      <c r="AH832" s="575"/>
      <c r="AI832" s="576">
        <f>SUM(D832:AH832)</f>
        <v>0</v>
      </c>
      <c r="AJ832" s="577">
        <v>0</v>
      </c>
      <c r="AK832" s="578">
        <f>AI832-AJ832</f>
        <v>0</v>
      </c>
      <c r="AN832" s="577">
        <v>0</v>
      </c>
      <c r="AO832" s="578">
        <f>AM832-AN832</f>
        <v>0</v>
      </c>
    </row>
    <row r="833" spans="1:43" s="560" customFormat="1">
      <c r="A833" s="604" t="s">
        <v>501</v>
      </c>
      <c r="B833" s="314" t="s">
        <v>33</v>
      </c>
      <c r="C833" s="590"/>
      <c r="D833" s="580"/>
      <c r="E833" s="981"/>
      <c r="F833" s="581"/>
      <c r="G833" s="581"/>
      <c r="H833" s="581"/>
      <c r="I833" s="949"/>
      <c r="J833" s="949"/>
      <c r="K833" s="949"/>
      <c r="L833" s="962"/>
      <c r="M833" s="949"/>
      <c r="N833" s="949"/>
      <c r="O833" s="949"/>
      <c r="P833" s="949"/>
      <c r="Q833" s="949"/>
      <c r="R833" s="949"/>
      <c r="S833" s="962"/>
      <c r="T833" s="949"/>
      <c r="U833" s="949"/>
      <c r="V833" s="949"/>
      <c r="W833" s="949"/>
      <c r="X833" s="949"/>
      <c r="Y833" s="949"/>
      <c r="Z833" s="962"/>
      <c r="AA833" s="949"/>
      <c r="AB833" s="583"/>
      <c r="AC833" s="583"/>
      <c r="AD833" s="575"/>
      <c r="AE833" s="817"/>
      <c r="AF833" s="575"/>
      <c r="AG833" s="989"/>
      <c r="AH833" s="575"/>
      <c r="AI833" s="576">
        <f t="shared" ref="AI833:AI872" si="56">SUM(D833:AH833)</f>
        <v>0</v>
      </c>
      <c r="AJ833" s="584">
        <v>0</v>
      </c>
      <c r="AK833" s="578">
        <f>AI833-AJ833</f>
        <v>0</v>
      </c>
      <c r="AN833" s="584">
        <v>0</v>
      </c>
      <c r="AO833" s="578">
        <f>AM833-AN833</f>
        <v>0</v>
      </c>
    </row>
    <row r="834" spans="1:43" s="560" customFormat="1" ht="13.8">
      <c r="A834" s="604" t="s">
        <v>1791</v>
      </c>
      <c r="B834" s="320" t="s">
        <v>1806</v>
      </c>
      <c r="C834" s="585" t="s">
        <v>39</v>
      </c>
      <c r="D834" s="824">
        <v>15</v>
      </c>
      <c r="E834" s="987"/>
      <c r="F834" s="824">
        <v>20</v>
      </c>
      <c r="G834" s="824">
        <v>20</v>
      </c>
      <c r="H834" s="824">
        <v>20</v>
      </c>
      <c r="I834" s="824">
        <v>20</v>
      </c>
      <c r="J834" s="824">
        <v>20</v>
      </c>
      <c r="K834" s="824">
        <v>15</v>
      </c>
      <c r="L834" s="987"/>
      <c r="M834" s="824">
        <v>20</v>
      </c>
      <c r="N834" s="824">
        <v>20</v>
      </c>
      <c r="O834" s="824">
        <v>20</v>
      </c>
      <c r="P834" s="824">
        <v>20</v>
      </c>
      <c r="Q834" s="824">
        <v>20</v>
      </c>
      <c r="R834" s="824">
        <v>15</v>
      </c>
      <c r="S834" s="987"/>
      <c r="T834" s="824">
        <v>20</v>
      </c>
      <c r="U834" s="824">
        <v>20</v>
      </c>
      <c r="V834" s="824">
        <v>20</v>
      </c>
      <c r="W834" s="824">
        <v>20</v>
      </c>
      <c r="X834" s="824">
        <v>20</v>
      </c>
      <c r="Y834" s="824">
        <v>15</v>
      </c>
      <c r="Z834" s="987"/>
      <c r="AA834" s="824">
        <v>20</v>
      </c>
      <c r="AB834" s="824">
        <v>20</v>
      </c>
      <c r="AC834" s="824">
        <v>20</v>
      </c>
      <c r="AD834" s="824">
        <v>20</v>
      </c>
      <c r="AE834" s="824"/>
      <c r="AF834" s="824">
        <v>15</v>
      </c>
      <c r="AG834" s="987"/>
      <c r="AH834" s="945">
        <v>21.93</v>
      </c>
      <c r="AI834" s="576">
        <f t="shared" si="56"/>
        <v>476.93</v>
      </c>
      <c r="AJ834" s="584">
        <v>1088.27</v>
      </c>
      <c r="AK834" s="578">
        <f>AI834+AJ834</f>
        <v>1565.2</v>
      </c>
      <c r="AL834" s="560">
        <f>1.3*1204</f>
        <v>1565.2</v>
      </c>
      <c r="AM834" s="578">
        <f>AL834-AK834</f>
        <v>0</v>
      </c>
      <c r="AN834" s="584">
        <v>1088.27</v>
      </c>
      <c r="AO834" s="578">
        <f>AM834+AN834</f>
        <v>1088.27</v>
      </c>
      <c r="AP834" s="560">
        <f>1.3*1204</f>
        <v>1565.2</v>
      </c>
      <c r="AQ834" s="578">
        <f>AP834-AO834</f>
        <v>476.93000000000006</v>
      </c>
    </row>
    <row r="835" spans="1:43" s="560" customFormat="1" ht="13.8">
      <c r="A835" s="604" t="s">
        <v>1814</v>
      </c>
      <c r="B835" s="804" t="s">
        <v>1820</v>
      </c>
      <c r="C835" s="798" t="s">
        <v>39</v>
      </c>
      <c r="D835" s="581"/>
      <c r="E835" s="981"/>
      <c r="F835" s="922">
        <v>14</v>
      </c>
      <c r="G835" s="922">
        <v>14</v>
      </c>
      <c r="H835" s="581"/>
      <c r="I835" s="825">
        <v>14</v>
      </c>
      <c r="J835" s="825">
        <v>14</v>
      </c>
      <c r="K835" s="949"/>
      <c r="L835" s="962"/>
      <c r="M835" s="949"/>
      <c r="N835" s="588"/>
      <c r="O835" s="825">
        <v>14</v>
      </c>
      <c r="P835" s="825">
        <v>21</v>
      </c>
      <c r="Q835" s="825">
        <v>14</v>
      </c>
      <c r="R835" s="825">
        <v>14</v>
      </c>
      <c r="S835" s="962"/>
      <c r="T835" s="825">
        <v>14</v>
      </c>
      <c r="U835" s="825">
        <v>14</v>
      </c>
      <c r="V835" s="949"/>
      <c r="W835" s="949"/>
      <c r="X835" s="825">
        <v>14</v>
      </c>
      <c r="Y835" s="825">
        <v>14</v>
      </c>
      <c r="Z835" s="962"/>
      <c r="AA835" s="825">
        <v>14</v>
      </c>
      <c r="AB835" s="825">
        <v>14</v>
      </c>
      <c r="AC835" s="949"/>
      <c r="AD835" s="949"/>
      <c r="AE835" s="825"/>
      <c r="AF835" s="949"/>
      <c r="AG835" s="962"/>
      <c r="AH835" s="786"/>
      <c r="AI835" s="576">
        <f t="shared" si="56"/>
        <v>203</v>
      </c>
      <c r="AJ835" s="584">
        <v>339.27</v>
      </c>
      <c r="AK835" s="578">
        <f>AI835+AJ835</f>
        <v>542.27</v>
      </c>
      <c r="AL835" s="560">
        <v>1204.5</v>
      </c>
      <c r="AM835" s="578">
        <f t="shared" ref="AM835:AM838" si="57">AL835-AK835</f>
        <v>662.23</v>
      </c>
      <c r="AN835" s="584">
        <v>339.27</v>
      </c>
      <c r="AO835" s="578">
        <f>AM835+AN835</f>
        <v>1001.5</v>
      </c>
      <c r="AP835" s="560">
        <v>1204.5</v>
      </c>
      <c r="AQ835" s="578">
        <f t="shared" ref="AQ835:AQ838" si="58">AP835-AO835</f>
        <v>203</v>
      </c>
    </row>
    <row r="836" spans="1:43" ht="13.8">
      <c r="A836" s="604" t="s">
        <v>1816</v>
      </c>
      <c r="B836" s="804" t="s">
        <v>1821</v>
      </c>
      <c r="C836" s="798" t="s">
        <v>39</v>
      </c>
      <c r="D836" s="581"/>
      <c r="E836" s="981"/>
      <c r="F836" s="581"/>
      <c r="G836" s="581"/>
      <c r="H836" s="581"/>
      <c r="I836" s="949"/>
      <c r="J836" s="949"/>
      <c r="K836" s="949"/>
      <c r="L836" s="962"/>
      <c r="M836" s="949"/>
      <c r="N836" s="825">
        <v>29</v>
      </c>
      <c r="O836" s="949"/>
      <c r="P836" s="949"/>
      <c r="Q836" s="949"/>
      <c r="R836" s="949"/>
      <c r="S836" s="962"/>
      <c r="T836" s="949"/>
      <c r="U836" s="949"/>
      <c r="V836" s="949"/>
      <c r="W836" s="949"/>
      <c r="X836" s="949"/>
      <c r="Y836" s="566"/>
      <c r="Z836" s="997"/>
      <c r="AA836" s="949"/>
      <c r="AB836" s="949"/>
      <c r="AC836" s="949"/>
      <c r="AD836" s="949"/>
      <c r="AE836" s="825"/>
      <c r="AF836" s="949"/>
      <c r="AG836" s="962"/>
      <c r="AH836" s="786"/>
      <c r="AI836" s="576">
        <f t="shared" si="56"/>
        <v>29</v>
      </c>
      <c r="AJ836" s="584">
        <v>340.27</v>
      </c>
      <c r="AK836" s="578">
        <f t="shared" ref="AK836:AK839" si="59">AI836+AJ836</f>
        <v>369.27</v>
      </c>
      <c r="AL836" s="560">
        <v>1205.5</v>
      </c>
      <c r="AM836" s="578">
        <f t="shared" si="57"/>
        <v>836.23</v>
      </c>
      <c r="AN836" s="584">
        <v>340.27</v>
      </c>
      <c r="AO836" s="578">
        <f t="shared" ref="AO836:AO839" si="60">AM836+AN836</f>
        <v>1176.5</v>
      </c>
      <c r="AP836" s="560">
        <v>1205.5</v>
      </c>
      <c r="AQ836" s="578">
        <f t="shared" si="58"/>
        <v>29</v>
      </c>
    </row>
    <row r="837" spans="1:43" s="560" customFormat="1" ht="13.8">
      <c r="A837" s="604" t="s">
        <v>1817</v>
      </c>
      <c r="B837" s="804" t="s">
        <v>1822</v>
      </c>
      <c r="C837" s="798" t="s">
        <v>39</v>
      </c>
      <c r="D837" s="585"/>
      <c r="E837" s="981"/>
      <c r="F837" s="581"/>
      <c r="G837" s="581"/>
      <c r="H837" s="581"/>
      <c r="I837" s="949"/>
      <c r="J837" s="949"/>
      <c r="K837" s="949"/>
      <c r="L837" s="962"/>
      <c r="M837" s="949"/>
      <c r="N837" s="825">
        <v>8</v>
      </c>
      <c r="O837" s="949"/>
      <c r="P837" s="949"/>
      <c r="Q837" s="949"/>
      <c r="R837" s="949"/>
      <c r="S837" s="962"/>
      <c r="T837" s="949"/>
      <c r="U837" s="949"/>
      <c r="V837" s="949"/>
      <c r="W837" s="949"/>
      <c r="X837" s="949"/>
      <c r="Y837" s="949"/>
      <c r="Z837" s="962"/>
      <c r="AA837" s="949"/>
      <c r="AB837" s="949"/>
      <c r="AC837" s="949"/>
      <c r="AD837" s="949"/>
      <c r="AE837" s="825"/>
      <c r="AF837" s="949"/>
      <c r="AG837" s="962"/>
      <c r="AH837" s="786"/>
      <c r="AI837" s="576">
        <f t="shared" si="56"/>
        <v>8</v>
      </c>
      <c r="AJ837" s="584">
        <v>341.27</v>
      </c>
      <c r="AK837" s="578">
        <f t="shared" si="59"/>
        <v>349.27</v>
      </c>
      <c r="AL837" s="560">
        <v>1206.5</v>
      </c>
      <c r="AM837" s="578">
        <f t="shared" si="57"/>
        <v>857.23</v>
      </c>
      <c r="AN837" s="584">
        <v>341.27</v>
      </c>
      <c r="AO837" s="578">
        <f t="shared" si="60"/>
        <v>1198.5</v>
      </c>
      <c r="AP837" s="560">
        <v>1206.5</v>
      </c>
      <c r="AQ837" s="578">
        <f t="shared" si="58"/>
        <v>8</v>
      </c>
    </row>
    <row r="838" spans="1:43" s="560" customFormat="1" ht="13.8">
      <c r="A838" s="604" t="s">
        <v>1818</v>
      </c>
      <c r="B838" s="804" t="s">
        <v>1824</v>
      </c>
      <c r="C838" s="798" t="s">
        <v>1823</v>
      </c>
      <c r="E838" s="981"/>
      <c r="F838" s="581"/>
      <c r="G838" s="581"/>
      <c r="H838" s="581"/>
      <c r="I838" s="949"/>
      <c r="J838" s="949"/>
      <c r="K838" s="949"/>
      <c r="L838" s="962"/>
      <c r="M838" s="949"/>
      <c r="N838" s="949"/>
      <c r="O838" s="949"/>
      <c r="P838" s="949"/>
      <c r="Q838" s="949"/>
      <c r="R838" s="949"/>
      <c r="S838" s="962"/>
      <c r="T838" s="949"/>
      <c r="U838" s="949"/>
      <c r="V838" s="949"/>
      <c r="W838" s="949"/>
      <c r="X838" s="949"/>
      <c r="Y838" s="949"/>
      <c r="Z838" s="962"/>
      <c r="AA838" s="949"/>
      <c r="AB838" s="949"/>
      <c r="AC838" s="949"/>
      <c r="AD838" s="949"/>
      <c r="AE838" s="863"/>
      <c r="AF838" s="949"/>
      <c r="AG838" s="962"/>
      <c r="AH838" s="786"/>
      <c r="AI838" s="576">
        <f t="shared" si="56"/>
        <v>0</v>
      </c>
      <c r="AJ838" s="584">
        <v>342.27</v>
      </c>
      <c r="AK838" s="578">
        <f t="shared" si="59"/>
        <v>342.27</v>
      </c>
      <c r="AL838" s="560">
        <v>1207.5</v>
      </c>
      <c r="AM838" s="578">
        <f t="shared" si="57"/>
        <v>865.23</v>
      </c>
      <c r="AN838" s="584">
        <v>342.27</v>
      </c>
      <c r="AO838" s="578">
        <f t="shared" si="60"/>
        <v>1207.5</v>
      </c>
      <c r="AP838" s="560">
        <v>1207.5</v>
      </c>
      <c r="AQ838" s="578">
        <f t="shared" si="58"/>
        <v>0</v>
      </c>
    </row>
    <row r="839" spans="1:43" s="560" customFormat="1" ht="13.8">
      <c r="A839" s="604" t="s">
        <v>1819</v>
      </c>
      <c r="B839" s="804" t="s">
        <v>1815</v>
      </c>
      <c r="C839" s="799" t="s">
        <v>39</v>
      </c>
      <c r="D839" s="800"/>
      <c r="E839" s="988"/>
      <c r="F839" s="932">
        <v>7</v>
      </c>
      <c r="G839" s="932">
        <v>7</v>
      </c>
      <c r="H839" s="800"/>
      <c r="I839" s="802"/>
      <c r="J839" s="826">
        <v>7</v>
      </c>
      <c r="K839" s="802"/>
      <c r="L839" s="992"/>
      <c r="M839" s="802"/>
      <c r="N839" s="802"/>
      <c r="O839" s="802"/>
      <c r="P839" s="826">
        <v>14</v>
      </c>
      <c r="Q839" s="826">
        <v>14</v>
      </c>
      <c r="R839" s="826">
        <v>10</v>
      </c>
      <c r="S839" s="992"/>
      <c r="T839" s="826">
        <v>14</v>
      </c>
      <c r="U839" s="826">
        <v>14</v>
      </c>
      <c r="V839" s="802"/>
      <c r="W839" s="802"/>
      <c r="X839" s="826">
        <v>14</v>
      </c>
      <c r="Y839" s="826">
        <v>14</v>
      </c>
      <c r="Z839" s="962"/>
      <c r="AA839" s="826">
        <v>14</v>
      </c>
      <c r="AB839" s="826">
        <v>14</v>
      </c>
      <c r="AC839" s="802"/>
      <c r="AD839" s="802"/>
      <c r="AE839" s="826"/>
      <c r="AF839" s="802"/>
      <c r="AG839" s="992"/>
      <c r="AH839" s="786"/>
      <c r="AI839" s="576">
        <f t="shared" si="56"/>
        <v>143</v>
      </c>
      <c r="AJ839" s="584">
        <v>340.27</v>
      </c>
      <c r="AK839" s="578">
        <f t="shared" si="59"/>
        <v>483.27</v>
      </c>
      <c r="AL839" s="560">
        <v>1204.5</v>
      </c>
      <c r="AM839" s="578">
        <f>AL839-AK839</f>
        <v>721.23</v>
      </c>
      <c r="AN839" s="584">
        <v>340.27</v>
      </c>
      <c r="AO839" s="578">
        <f t="shared" si="60"/>
        <v>1061.5</v>
      </c>
      <c r="AP839" s="560">
        <v>1204.5</v>
      </c>
      <c r="AQ839" s="578">
        <f>AP839-AO839</f>
        <v>143</v>
      </c>
    </row>
    <row r="840" spans="1:43" s="560" customFormat="1" ht="13.8">
      <c r="A840" s="604" t="s">
        <v>1825</v>
      </c>
      <c r="B840" s="804" t="s">
        <v>1829</v>
      </c>
      <c r="C840" s="799" t="s">
        <v>1828</v>
      </c>
      <c r="D840" s="800"/>
      <c r="E840" s="988"/>
      <c r="F840" s="800"/>
      <c r="G840" s="800"/>
      <c r="H840" s="800"/>
      <c r="I840" s="802"/>
      <c r="J840" s="802"/>
      <c r="K840" s="802"/>
      <c r="L840" s="992"/>
      <c r="M840" s="802"/>
      <c r="N840" s="802"/>
      <c r="O840" s="802"/>
      <c r="P840" s="802"/>
      <c r="Q840" s="949"/>
      <c r="R840" s="949"/>
      <c r="S840" s="992"/>
      <c r="T840" s="802"/>
      <c r="U840" s="802"/>
      <c r="V840" s="802"/>
      <c r="W840" s="802"/>
      <c r="X840" s="802"/>
      <c r="Y840" s="802"/>
      <c r="Z840" s="992"/>
      <c r="AB840" s="826">
        <f>((2*3*10/12)*250)+((2*4/12*10)*100)+((10*10/24)*100)+(150*(8*10/24))</f>
        <v>2833.333333333333</v>
      </c>
      <c r="AC840" s="802"/>
      <c r="AD840" s="802"/>
      <c r="AE840" s="826"/>
      <c r="AF840" s="802"/>
      <c r="AG840" s="992"/>
      <c r="AH840" s="786"/>
      <c r="AI840" s="576">
        <f t="shared" si="56"/>
        <v>2833.333333333333</v>
      </c>
      <c r="AJ840" s="811"/>
      <c r="AK840" s="578"/>
      <c r="AM840" s="578"/>
    </row>
    <row r="841" spans="1:43" s="560" customFormat="1" ht="13.8">
      <c r="A841" s="604" t="s">
        <v>1826</v>
      </c>
      <c r="B841" s="804" t="s">
        <v>1830</v>
      </c>
      <c r="C841" s="799" t="s">
        <v>1828</v>
      </c>
      <c r="D841" s="800"/>
      <c r="E841" s="988"/>
      <c r="F841" s="800"/>
      <c r="G841" s="800"/>
      <c r="H841" s="800"/>
      <c r="I841" s="802"/>
      <c r="J841" s="802"/>
      <c r="K841" s="802"/>
      <c r="L841" s="992"/>
      <c r="M841" s="802"/>
      <c r="N841" s="802"/>
      <c r="O841" s="802"/>
      <c r="P841" s="802"/>
      <c r="Q841" s="741"/>
      <c r="R841" s="949"/>
      <c r="S841" s="992"/>
      <c r="T841" s="802"/>
      <c r="U841" s="802"/>
      <c r="V841" s="802"/>
      <c r="W841" s="802"/>
      <c r="X841" s="802"/>
      <c r="Y841" s="802"/>
      <c r="Z841" s="992"/>
      <c r="AA841" s="802"/>
      <c r="AB841" s="802"/>
      <c r="AC841" s="802"/>
      <c r="AD841" s="802"/>
      <c r="AE841" s="826"/>
      <c r="AF841" s="802"/>
      <c r="AG841" s="992"/>
      <c r="AH841" s="786"/>
      <c r="AI841" s="576">
        <f t="shared" si="56"/>
        <v>0</v>
      </c>
      <c r="AJ841" s="811"/>
      <c r="AK841" s="578"/>
      <c r="AM841" s="578"/>
    </row>
    <row r="842" spans="1:43" s="560" customFormat="1" ht="13.8">
      <c r="A842" s="604" t="s">
        <v>1827</v>
      </c>
      <c r="B842" s="804" t="s">
        <v>1831</v>
      </c>
      <c r="C842" s="799" t="s">
        <v>36</v>
      </c>
      <c r="D842" s="800"/>
      <c r="E842" s="988"/>
      <c r="F842" s="800"/>
      <c r="G842" s="800"/>
      <c r="H842" s="800"/>
      <c r="I842" s="802"/>
      <c r="J842" s="802"/>
      <c r="K842" s="802"/>
      <c r="L842" s="992"/>
      <c r="M842" s="802"/>
      <c r="N842" s="802"/>
      <c r="O842" s="802"/>
      <c r="P842" s="802"/>
      <c r="Q842" s="741"/>
      <c r="R842" s="949"/>
      <c r="S842" s="992"/>
      <c r="T842" s="802"/>
      <c r="U842" s="802"/>
      <c r="V842" s="802"/>
      <c r="W842" s="802"/>
      <c r="X842" s="802"/>
      <c r="Y842" s="802"/>
      <c r="Z842" s="992"/>
      <c r="AA842" s="802"/>
      <c r="AB842" s="802"/>
      <c r="AC842" s="802"/>
      <c r="AD842" s="802"/>
      <c r="AE842" s="826"/>
      <c r="AF842" s="802"/>
      <c r="AG842" s="992"/>
      <c r="AH842" s="786"/>
      <c r="AI842" s="576">
        <f t="shared" si="56"/>
        <v>0</v>
      </c>
      <c r="AJ842" s="811"/>
      <c r="AK842" s="578"/>
      <c r="AM842" s="578"/>
    </row>
    <row r="843" spans="1:43" s="560" customFormat="1" ht="13.8">
      <c r="A843" s="604" t="s">
        <v>1875</v>
      </c>
      <c r="B843" s="967" t="s">
        <v>1888</v>
      </c>
      <c r="C843" s="799" t="s">
        <v>72</v>
      </c>
      <c r="D843" s="800"/>
      <c r="E843" s="988"/>
      <c r="F843" s="800"/>
      <c r="G843" s="800"/>
      <c r="H843" s="800"/>
      <c r="I843" s="802"/>
      <c r="J843" s="826">
        <v>3035</v>
      </c>
      <c r="K843" s="826">
        <v>1965</v>
      </c>
      <c r="L843" s="992"/>
      <c r="M843" s="802"/>
      <c r="N843" s="802"/>
      <c r="O843" s="802"/>
      <c r="P843" s="802"/>
      <c r="Q843" s="744"/>
      <c r="R843" s="588"/>
      <c r="S843" s="992"/>
      <c r="T843" s="802"/>
      <c r="U843" s="802"/>
      <c r="V843" s="802"/>
      <c r="W843" s="802"/>
      <c r="X843" s="802"/>
      <c r="Y843" s="802"/>
      <c r="Z843" s="992"/>
      <c r="AA843" s="802"/>
      <c r="AB843" s="802"/>
      <c r="AC843" s="802"/>
      <c r="AD843" s="802"/>
      <c r="AE843" s="826"/>
      <c r="AF843" s="802"/>
      <c r="AG843" s="992"/>
      <c r="AH843" s="786"/>
      <c r="AI843" s="576">
        <f t="shared" si="56"/>
        <v>5000</v>
      </c>
      <c r="AJ843" s="811"/>
      <c r="AK843" s="578"/>
      <c r="AM843" s="578"/>
    </row>
    <row r="844" spans="1:43" s="560" customFormat="1" ht="13.8">
      <c r="A844" s="604" t="s">
        <v>1886</v>
      </c>
      <c r="B844" s="967" t="s">
        <v>1977</v>
      </c>
      <c r="C844" s="799" t="s">
        <v>72</v>
      </c>
      <c r="D844" s="800"/>
      <c r="E844" s="988"/>
      <c r="F844" s="800"/>
      <c r="G844" s="800"/>
      <c r="H844" s="800"/>
      <c r="I844" s="802"/>
      <c r="J844" s="802"/>
      <c r="K844" s="802"/>
      <c r="L844" s="992"/>
      <c r="M844" s="802"/>
      <c r="N844" s="802"/>
      <c r="O844" s="826">
        <v>491</v>
      </c>
      <c r="P844" s="802"/>
      <c r="Q844" s="744"/>
      <c r="R844" s="588"/>
      <c r="S844" s="992"/>
      <c r="T844" s="802"/>
      <c r="U844" s="802"/>
      <c r="V844" s="802"/>
      <c r="W844" s="826">
        <v>1100</v>
      </c>
      <c r="X844" s="802"/>
      <c r="Y844" s="802"/>
      <c r="Z844" s="992"/>
      <c r="AA844" s="826">
        <v>609</v>
      </c>
      <c r="AB844" s="802"/>
      <c r="AC844" s="802"/>
      <c r="AD844" s="802"/>
      <c r="AE844" s="826"/>
      <c r="AF844" s="802"/>
      <c r="AG844" s="992"/>
      <c r="AH844" s="786"/>
      <c r="AI844" s="576">
        <f t="shared" si="56"/>
        <v>2200</v>
      </c>
      <c r="AJ844" s="811"/>
      <c r="AK844" s="578"/>
      <c r="AM844" s="578"/>
    </row>
    <row r="845" spans="1:43" s="560" customFormat="1" ht="13.8">
      <c r="A845" s="604" t="s">
        <v>1890</v>
      </c>
      <c r="B845" s="967" t="s">
        <v>1891</v>
      </c>
      <c r="C845" s="799" t="s">
        <v>72</v>
      </c>
      <c r="D845" s="800"/>
      <c r="E845" s="988"/>
      <c r="F845" s="800"/>
      <c r="G845" s="800"/>
      <c r="H845" s="800"/>
      <c r="I845" s="802"/>
      <c r="J845" s="802"/>
      <c r="K845" s="802"/>
      <c r="L845" s="992"/>
      <c r="M845" s="826">
        <v>390</v>
      </c>
      <c r="N845" s="802"/>
      <c r="O845" s="802"/>
      <c r="P845" s="802"/>
      <c r="Q845" s="744"/>
      <c r="R845" s="588"/>
      <c r="S845" s="992"/>
      <c r="T845" s="802"/>
      <c r="U845" s="802"/>
      <c r="V845" s="802"/>
      <c r="W845" s="802"/>
      <c r="X845" s="802"/>
      <c r="Y845" s="802"/>
      <c r="Z845" s="992"/>
      <c r="AA845" s="802"/>
      <c r="AB845" s="802"/>
      <c r="AC845" s="802"/>
      <c r="AD845" s="802"/>
      <c r="AE845" s="826"/>
      <c r="AF845" s="802"/>
      <c r="AG845" s="992"/>
      <c r="AH845" s="786"/>
      <c r="AI845" s="576">
        <f t="shared" si="56"/>
        <v>390</v>
      </c>
      <c r="AJ845" s="811"/>
      <c r="AK845" s="578"/>
      <c r="AM845" s="578"/>
    </row>
    <row r="846" spans="1:43" s="560" customFormat="1" ht="13.8">
      <c r="A846" s="939" t="s">
        <v>1947</v>
      </c>
      <c r="B846" s="804" t="s">
        <v>1188</v>
      </c>
      <c r="C846" s="799"/>
      <c r="D846" s="800"/>
      <c r="E846" s="988"/>
      <c r="F846" s="800"/>
      <c r="G846" s="800"/>
      <c r="H846" s="800"/>
      <c r="I846" s="802"/>
      <c r="J846" s="802"/>
      <c r="K846" s="802"/>
      <c r="L846" s="992"/>
      <c r="M846" s="802"/>
      <c r="N846" s="802"/>
      <c r="O846" s="802"/>
      <c r="P846" s="802"/>
      <c r="Q846" s="741"/>
      <c r="R846" s="949"/>
      <c r="S846" s="992"/>
      <c r="T846" s="802"/>
      <c r="U846" s="802"/>
      <c r="V846" s="802"/>
      <c r="W846" s="802"/>
      <c r="X846" s="802"/>
      <c r="Y846" s="802"/>
      <c r="Z846" s="992"/>
      <c r="AA846" s="802"/>
      <c r="AB846" s="802"/>
      <c r="AC846" s="802"/>
      <c r="AD846" s="802"/>
      <c r="AE846" s="826"/>
      <c r="AF846" s="802"/>
      <c r="AG846" s="992"/>
      <c r="AH846" s="786"/>
      <c r="AI846" s="576">
        <f t="shared" si="56"/>
        <v>0</v>
      </c>
      <c r="AJ846" s="811"/>
      <c r="AK846" s="578"/>
      <c r="AM846" s="578"/>
    </row>
    <row r="847" spans="1:43" s="560" customFormat="1" ht="13.8">
      <c r="A847" s="940" t="s">
        <v>1948</v>
      </c>
      <c r="B847" s="804" t="s">
        <v>1834</v>
      </c>
      <c r="C847" s="799"/>
      <c r="D847" s="800"/>
      <c r="E847" s="988"/>
      <c r="F847" s="800"/>
      <c r="G847" s="800"/>
      <c r="H847" s="800"/>
      <c r="I847" s="802"/>
      <c r="J847" s="802"/>
      <c r="K847" s="802"/>
      <c r="L847" s="992"/>
      <c r="M847" s="802"/>
      <c r="N847" s="802"/>
      <c r="O847" s="802"/>
      <c r="P847" s="802"/>
      <c r="Q847" s="741"/>
      <c r="R847" s="949"/>
      <c r="S847" s="992"/>
      <c r="T847" s="802"/>
      <c r="U847" s="802"/>
      <c r="V847" s="802"/>
      <c r="W847" s="802"/>
      <c r="X847" s="802"/>
      <c r="Y847" s="802"/>
      <c r="Z847" s="992"/>
      <c r="AA847" s="802"/>
      <c r="AB847" s="802"/>
      <c r="AC847" s="802"/>
      <c r="AD847" s="802"/>
      <c r="AE847" s="826"/>
      <c r="AF847" s="802"/>
      <c r="AG847" s="992"/>
      <c r="AH847" s="786"/>
      <c r="AI847" s="576">
        <f t="shared" si="56"/>
        <v>0</v>
      </c>
      <c r="AJ847" s="811"/>
      <c r="AK847" s="578"/>
      <c r="AM847" s="578"/>
    </row>
    <row r="848" spans="1:43" s="560" customFormat="1" ht="13.8">
      <c r="A848" s="940" t="s">
        <v>1949</v>
      </c>
      <c r="B848" s="804" t="s">
        <v>1835</v>
      </c>
      <c r="C848" s="799" t="s">
        <v>39</v>
      </c>
      <c r="D848" s="800"/>
      <c r="E848" s="988"/>
      <c r="F848" s="800"/>
      <c r="G848" s="800"/>
      <c r="H848" s="800"/>
      <c r="I848" s="802"/>
      <c r="J848" s="802"/>
      <c r="K848" s="802"/>
      <c r="L848" s="992"/>
      <c r="M848" s="802"/>
      <c r="N848" s="802"/>
      <c r="O848" s="802"/>
      <c r="Q848" s="821"/>
      <c r="R848" s="949"/>
      <c r="S848" s="992"/>
      <c r="T848" s="802"/>
      <c r="U848" s="802"/>
      <c r="V848" s="802"/>
      <c r="W848" s="802"/>
      <c r="X848" s="802"/>
      <c r="Y848" s="802"/>
      <c r="Z848" s="992"/>
      <c r="AA848" s="802"/>
      <c r="AB848" s="802"/>
      <c r="AC848" s="802"/>
      <c r="AD848" s="802"/>
      <c r="AE848" s="826"/>
      <c r="AF848" s="802"/>
      <c r="AG848" s="992"/>
      <c r="AH848" s="786"/>
      <c r="AI848" s="576">
        <f t="shared" si="56"/>
        <v>0</v>
      </c>
      <c r="AJ848" s="811"/>
      <c r="AK848" s="578"/>
      <c r="AM848" s="578"/>
    </row>
    <row r="849" spans="1:39" s="560" customFormat="1" ht="13.8">
      <c r="A849" s="940" t="s">
        <v>1950</v>
      </c>
      <c r="B849" s="804" t="s">
        <v>1876</v>
      </c>
      <c r="C849" s="799"/>
      <c r="D849" s="800"/>
      <c r="E849" s="988"/>
      <c r="F849" s="800"/>
      <c r="G849" s="800"/>
      <c r="H849" s="800"/>
      <c r="I849" s="802"/>
      <c r="J849" s="802"/>
      <c r="K849" s="802"/>
      <c r="L849" s="992"/>
      <c r="M849" s="802"/>
      <c r="N849" s="802"/>
      <c r="O849" s="802"/>
      <c r="Q849" s="821"/>
      <c r="R849" s="949"/>
      <c r="S849" s="992"/>
      <c r="T849" s="802"/>
      <c r="U849" s="802"/>
      <c r="V849" s="802"/>
      <c r="W849" s="802"/>
      <c r="X849" s="802"/>
      <c r="Y849" s="802"/>
      <c r="Z849" s="992"/>
      <c r="AA849" s="802"/>
      <c r="AB849" s="802"/>
      <c r="AC849" s="802"/>
      <c r="AD849" s="802"/>
      <c r="AE849" s="826"/>
      <c r="AF849" s="802"/>
      <c r="AG849" s="992"/>
      <c r="AH849" s="786"/>
      <c r="AI849" s="576">
        <f t="shared" si="56"/>
        <v>0</v>
      </c>
      <c r="AJ849" s="811"/>
      <c r="AK849" s="578"/>
      <c r="AM849" s="578"/>
    </row>
    <row r="850" spans="1:39" s="560" customFormat="1" ht="13.8">
      <c r="A850" s="940" t="s">
        <v>1951</v>
      </c>
      <c r="B850" s="804" t="s">
        <v>1877</v>
      </c>
      <c r="C850" s="799"/>
      <c r="D850" s="800"/>
      <c r="E850" s="988"/>
      <c r="F850" s="800"/>
      <c r="G850" s="800"/>
      <c r="H850" s="800"/>
      <c r="I850" s="802"/>
      <c r="J850" s="802"/>
      <c r="K850" s="802"/>
      <c r="L850" s="992"/>
      <c r="M850" s="802"/>
      <c r="N850" s="802"/>
      <c r="O850" s="802"/>
      <c r="Q850" s="821"/>
      <c r="R850" s="949"/>
      <c r="S850" s="992"/>
      <c r="T850" s="802"/>
      <c r="U850" s="802"/>
      <c r="V850" s="802"/>
      <c r="W850" s="802"/>
      <c r="X850" s="802"/>
      <c r="Y850" s="802"/>
      <c r="Z850" s="992"/>
      <c r="AA850" s="802"/>
      <c r="AB850" s="802"/>
      <c r="AC850" s="802"/>
      <c r="AD850" s="802"/>
      <c r="AE850" s="826"/>
      <c r="AF850" s="802"/>
      <c r="AG850" s="992"/>
      <c r="AH850" s="786"/>
      <c r="AI850" s="576">
        <f t="shared" si="56"/>
        <v>0</v>
      </c>
      <c r="AJ850" s="811"/>
      <c r="AK850" s="578"/>
      <c r="AM850" s="578"/>
    </row>
    <row r="851" spans="1:39" s="560" customFormat="1" ht="13.8">
      <c r="A851" s="940" t="s">
        <v>1952</v>
      </c>
      <c r="B851" s="967" t="s">
        <v>1878</v>
      </c>
      <c r="C851" s="799" t="s">
        <v>39</v>
      </c>
      <c r="D851" s="800"/>
      <c r="E851" s="988"/>
      <c r="F851" s="800"/>
      <c r="G851" s="800"/>
      <c r="H851" s="800"/>
      <c r="I851" s="802"/>
      <c r="J851" s="949"/>
      <c r="K851" s="826">
        <f>11.53*0.25*0.6*2</f>
        <v>3.4589999999999996</v>
      </c>
      <c r="L851" s="992"/>
      <c r="M851" s="802"/>
      <c r="N851" s="826">
        <f>6.94*0.25*0.6*2</f>
        <v>2.0819999999999999</v>
      </c>
      <c r="O851" s="826">
        <f>6.94*0.12*0.6+1.585*0.12*0.6</f>
        <v>0.6137999999999999</v>
      </c>
      <c r="Q851" s="821"/>
      <c r="R851" s="949"/>
      <c r="S851" s="992"/>
      <c r="T851" s="802"/>
      <c r="U851" s="802"/>
      <c r="V851" s="802"/>
      <c r="W851" s="802"/>
      <c r="X851" s="802"/>
      <c r="Y851" s="802"/>
      <c r="Z851" s="992"/>
      <c r="AA851" s="802"/>
      <c r="AB851" s="802"/>
      <c r="AC851" s="802"/>
      <c r="AD851" s="802"/>
      <c r="AE851" s="826"/>
      <c r="AF851" s="802"/>
      <c r="AG851" s="992"/>
      <c r="AH851" s="786"/>
      <c r="AI851" s="576">
        <f t="shared" si="56"/>
        <v>6.1547999999999998</v>
      </c>
      <c r="AJ851" s="811"/>
      <c r="AK851" s="578"/>
      <c r="AM851" s="578"/>
    </row>
    <row r="852" spans="1:39" s="560" customFormat="1" ht="13.8">
      <c r="A852" s="940" t="s">
        <v>1953</v>
      </c>
      <c r="B852" s="967" t="s">
        <v>1879</v>
      </c>
      <c r="C852" s="799" t="s">
        <v>36</v>
      </c>
      <c r="D852" s="800"/>
      <c r="E852" s="988"/>
      <c r="F852" s="800"/>
      <c r="G852" s="800"/>
      <c r="H852" s="800"/>
      <c r="I852" s="802"/>
      <c r="J852" s="979">
        <f>87.87*0.6</f>
        <v>52.722000000000001</v>
      </c>
      <c r="K852" s="802"/>
      <c r="L852" s="992"/>
      <c r="M852" s="802"/>
      <c r="N852" s="802"/>
      <c r="O852" s="802"/>
      <c r="Q852" s="821"/>
      <c r="R852" s="949"/>
      <c r="S852" s="992"/>
      <c r="T852" s="802"/>
      <c r="U852" s="802"/>
      <c r="V852" s="802"/>
      <c r="W852" s="802"/>
      <c r="X852" s="802"/>
      <c r="Y852" s="802"/>
      <c r="Z852" s="992"/>
      <c r="AA852" s="802"/>
      <c r="AB852" s="802"/>
      <c r="AC852" s="802"/>
      <c r="AD852" s="802"/>
      <c r="AE852" s="826"/>
      <c r="AF852" s="802"/>
      <c r="AG852" s="992"/>
      <c r="AH852" s="786"/>
      <c r="AI852" s="576">
        <f t="shared" si="56"/>
        <v>52.722000000000001</v>
      </c>
      <c r="AJ852" s="811"/>
      <c r="AK852" s="578"/>
      <c r="AM852" s="578"/>
    </row>
    <row r="853" spans="1:39" s="560" customFormat="1" ht="13.8">
      <c r="A853" s="940" t="s">
        <v>1954</v>
      </c>
      <c r="B853" s="967" t="s">
        <v>1880</v>
      </c>
      <c r="C853" s="799" t="s">
        <v>1823</v>
      </c>
      <c r="D853" s="800"/>
      <c r="E853" s="988"/>
      <c r="F853" s="800"/>
      <c r="G853" s="800"/>
      <c r="H853" s="800"/>
      <c r="I853" s="802"/>
      <c r="J853" s="826">
        <v>91.65</v>
      </c>
      <c r="K853" s="802"/>
      <c r="L853" s="992"/>
      <c r="M853" s="802"/>
      <c r="N853" s="802"/>
      <c r="O853" s="802"/>
      <c r="Q853" s="821"/>
      <c r="R853" s="949"/>
      <c r="S853" s="992"/>
      <c r="T853" s="802"/>
      <c r="U853" s="802"/>
      <c r="V853" s="802"/>
      <c r="W853" s="802"/>
      <c r="X853" s="802"/>
      <c r="Y853" s="802"/>
      <c r="Z853" s="992"/>
      <c r="AA853" s="802"/>
      <c r="AB853" s="802"/>
      <c r="AC853" s="802"/>
      <c r="AD853" s="802"/>
      <c r="AE853" s="826"/>
      <c r="AF853" s="802"/>
      <c r="AG853" s="992"/>
      <c r="AH853" s="786"/>
      <c r="AI853" s="576">
        <f t="shared" si="56"/>
        <v>91.65</v>
      </c>
      <c r="AJ853" s="811"/>
      <c r="AK853" s="578"/>
      <c r="AM853" s="578"/>
    </row>
    <row r="854" spans="1:39" s="560" customFormat="1" ht="13.8">
      <c r="A854" s="940" t="s">
        <v>1955</v>
      </c>
      <c r="B854" s="804" t="s">
        <v>1881</v>
      </c>
      <c r="C854" s="799"/>
      <c r="D854" s="800"/>
      <c r="E854" s="988"/>
      <c r="F854" s="800"/>
      <c r="G854" s="800"/>
      <c r="H854" s="800"/>
      <c r="I854" s="802"/>
      <c r="J854" s="802"/>
      <c r="K854" s="802"/>
      <c r="L854" s="992"/>
      <c r="M854" s="802"/>
      <c r="N854" s="802"/>
      <c r="O854" s="802"/>
      <c r="Q854" s="821"/>
      <c r="R854" s="949"/>
      <c r="S854" s="992"/>
      <c r="T854" s="802"/>
      <c r="U854" s="802"/>
      <c r="V854" s="802"/>
      <c r="W854" s="802"/>
      <c r="X854" s="802"/>
      <c r="Y854" s="802"/>
      <c r="Z854" s="992"/>
      <c r="AA854" s="802"/>
      <c r="AB854" s="802"/>
      <c r="AC854" s="802"/>
      <c r="AD854" s="802"/>
      <c r="AE854" s="826"/>
      <c r="AF854" s="802"/>
      <c r="AG854" s="992"/>
      <c r="AH854" s="786"/>
      <c r="AI854" s="576">
        <f t="shared" si="56"/>
        <v>0</v>
      </c>
      <c r="AJ854" s="811"/>
      <c r="AK854" s="578"/>
      <c r="AM854" s="578"/>
    </row>
    <row r="855" spans="1:39" s="560" customFormat="1" ht="13.8">
      <c r="A855" s="940" t="s">
        <v>1956</v>
      </c>
      <c r="B855" s="967" t="s">
        <v>1882</v>
      </c>
      <c r="C855" s="799" t="s">
        <v>39</v>
      </c>
      <c r="D855" s="800"/>
      <c r="E855" s="988"/>
      <c r="F855" s="800"/>
      <c r="G855" s="800"/>
      <c r="H855" s="800"/>
      <c r="I855" s="802"/>
      <c r="J855" s="802"/>
      <c r="K855" s="802"/>
      <c r="L855" s="992"/>
      <c r="M855" s="802"/>
      <c r="N855" s="826">
        <f>11.53*0.25*0.5*2</f>
        <v>2.8824999999999998</v>
      </c>
      <c r="O855" s="826">
        <f>6.94*0.25*0.5*2+6.94*0.12*0.5+1.585*0.12*0.5</f>
        <v>2.2465000000000002</v>
      </c>
      <c r="Q855" s="821"/>
      <c r="R855" s="949"/>
      <c r="S855" s="992"/>
      <c r="T855" s="802"/>
      <c r="U855" s="802"/>
      <c r="V855" s="802"/>
      <c r="W855" s="802"/>
      <c r="X855" s="802"/>
      <c r="Y855" s="802"/>
      <c r="Z855" s="992"/>
      <c r="AA855" s="802"/>
      <c r="AB855" s="802"/>
      <c r="AC855" s="802"/>
      <c r="AD855" s="802"/>
      <c r="AE855" s="826"/>
      <c r="AF855" s="802"/>
      <c r="AG855" s="992"/>
      <c r="AH855" s="786"/>
      <c r="AI855" s="576">
        <f t="shared" si="56"/>
        <v>5.1289999999999996</v>
      </c>
      <c r="AJ855" s="811"/>
      <c r="AK855" s="578"/>
      <c r="AM855" s="578"/>
    </row>
    <row r="856" spans="1:39" s="560" customFormat="1" ht="13.8">
      <c r="A856" s="940" t="s">
        <v>1957</v>
      </c>
      <c r="B856" s="967" t="s">
        <v>1883</v>
      </c>
      <c r="C856" s="799" t="s">
        <v>36</v>
      </c>
      <c r="D856" s="800"/>
      <c r="E856" s="988"/>
      <c r="F856" s="800"/>
      <c r="G856" s="800"/>
      <c r="H856" s="800"/>
      <c r="I856" s="802"/>
      <c r="J856" s="979">
        <f>87.87*0.5</f>
        <v>43.935000000000002</v>
      </c>
      <c r="K856" s="802"/>
      <c r="L856" s="992"/>
      <c r="M856" s="802"/>
      <c r="N856" s="802"/>
      <c r="O856" s="802"/>
      <c r="Q856" s="821"/>
      <c r="R856" s="949"/>
      <c r="S856" s="992"/>
      <c r="T856" s="802"/>
      <c r="U856" s="802"/>
      <c r="V856" s="802"/>
      <c r="W856" s="802"/>
      <c r="X856" s="802"/>
      <c r="Y856" s="802"/>
      <c r="Z856" s="992"/>
      <c r="AA856" s="802"/>
      <c r="AB856" s="802"/>
      <c r="AC856" s="802"/>
      <c r="AD856" s="802"/>
      <c r="AE856" s="826"/>
      <c r="AF856" s="802"/>
      <c r="AG856" s="992"/>
      <c r="AH856" s="786"/>
      <c r="AI856" s="576">
        <f t="shared" si="56"/>
        <v>43.935000000000002</v>
      </c>
      <c r="AJ856" s="811"/>
      <c r="AK856" s="578"/>
      <c r="AM856" s="578"/>
    </row>
    <row r="857" spans="1:39" s="560" customFormat="1" ht="13.8">
      <c r="A857" s="940" t="s">
        <v>1958</v>
      </c>
      <c r="B857" s="967" t="s">
        <v>1884</v>
      </c>
      <c r="C857" s="799" t="s">
        <v>1823</v>
      </c>
      <c r="D857" s="800"/>
      <c r="E857" s="988"/>
      <c r="F857" s="800"/>
      <c r="G857" s="800"/>
      <c r="H857" s="800"/>
      <c r="I857" s="802"/>
      <c r="J857" s="826">
        <v>91.65</v>
      </c>
      <c r="K857" s="802"/>
      <c r="L857" s="992"/>
      <c r="M857" s="802"/>
      <c r="N857" s="802"/>
      <c r="O857" s="802"/>
      <c r="Q857" s="821"/>
      <c r="R857" s="949"/>
      <c r="S857" s="992"/>
      <c r="T857" s="802"/>
      <c r="U857" s="802"/>
      <c r="V857" s="802"/>
      <c r="W857" s="802"/>
      <c r="X857" s="802"/>
      <c r="Y857" s="802"/>
      <c r="Z857" s="992"/>
      <c r="AA857" s="802"/>
      <c r="AB857" s="802"/>
      <c r="AC857" s="802"/>
      <c r="AD857" s="802"/>
      <c r="AE857" s="826"/>
      <c r="AF857" s="802"/>
      <c r="AG857" s="992"/>
      <c r="AH857" s="786"/>
      <c r="AI857" s="576">
        <f t="shared" si="56"/>
        <v>91.65</v>
      </c>
      <c r="AJ857" s="811"/>
      <c r="AK857" s="578"/>
      <c r="AM857" s="578"/>
    </row>
    <row r="858" spans="1:39" s="560" customFormat="1" ht="13.8">
      <c r="A858" s="939" t="s">
        <v>1959</v>
      </c>
      <c r="B858" s="804" t="s">
        <v>1195</v>
      </c>
      <c r="C858" s="799"/>
      <c r="D858" s="800"/>
      <c r="E858" s="988"/>
      <c r="F858" s="800"/>
      <c r="G858" s="800"/>
      <c r="H858" s="800"/>
      <c r="I858" s="802"/>
      <c r="J858" s="802"/>
      <c r="K858" s="802"/>
      <c r="L858" s="992"/>
      <c r="M858" s="802"/>
      <c r="N858" s="802"/>
      <c r="O858" s="802"/>
      <c r="P858" s="802"/>
      <c r="Q858" s="741"/>
      <c r="R858" s="949"/>
      <c r="S858" s="992"/>
      <c r="T858" s="802"/>
      <c r="U858" s="802"/>
      <c r="V858" s="802"/>
      <c r="W858" s="802"/>
      <c r="X858" s="802"/>
      <c r="Y858" s="802"/>
      <c r="Z858" s="992"/>
      <c r="AA858" s="802"/>
      <c r="AB858" s="802"/>
      <c r="AC858" s="802"/>
      <c r="AD858" s="802"/>
      <c r="AE858" s="826"/>
      <c r="AF858" s="802"/>
      <c r="AG858" s="992"/>
      <c r="AH858" s="786"/>
      <c r="AI858" s="576">
        <f t="shared" si="56"/>
        <v>0</v>
      </c>
      <c r="AJ858" s="811"/>
      <c r="AK858" s="578"/>
      <c r="AM858" s="578"/>
    </row>
    <row r="859" spans="1:39" s="560" customFormat="1" ht="13.8">
      <c r="A859" s="940" t="s">
        <v>1960</v>
      </c>
      <c r="B859" s="804" t="s">
        <v>1834</v>
      </c>
      <c r="C859" s="799"/>
      <c r="D859" s="800"/>
      <c r="E859" s="988"/>
      <c r="F859" s="800"/>
      <c r="G859" s="800"/>
      <c r="H859" s="800"/>
      <c r="I859" s="802"/>
      <c r="J859" s="802"/>
      <c r="K859" s="802"/>
      <c r="L859" s="992"/>
      <c r="M859" s="802"/>
      <c r="N859" s="802"/>
      <c r="O859" s="802"/>
      <c r="P859" s="802"/>
      <c r="Q859" s="741"/>
      <c r="R859" s="949"/>
      <c r="S859" s="992"/>
      <c r="T859" s="802"/>
      <c r="U859" s="802"/>
      <c r="V859" s="802"/>
      <c r="W859" s="802"/>
      <c r="X859" s="802"/>
      <c r="Y859" s="802"/>
      <c r="Z859" s="992"/>
      <c r="AA859" s="802"/>
      <c r="AB859" s="802"/>
      <c r="AC859" s="802"/>
      <c r="AD859" s="802"/>
      <c r="AE859" s="826"/>
      <c r="AF859" s="802"/>
      <c r="AG859" s="992"/>
      <c r="AH859" s="786"/>
      <c r="AI859" s="576">
        <f t="shared" si="56"/>
        <v>0</v>
      </c>
      <c r="AJ859" s="811"/>
      <c r="AK859" s="578"/>
      <c r="AM859" s="578"/>
    </row>
    <row r="860" spans="1:39" s="560" customFormat="1" ht="13.8">
      <c r="A860" s="940" t="s">
        <v>1961</v>
      </c>
      <c r="B860" s="804" t="s">
        <v>1835</v>
      </c>
      <c r="C860" s="799" t="s">
        <v>39</v>
      </c>
      <c r="D860" s="800"/>
      <c r="E860" s="988"/>
      <c r="F860" s="800"/>
      <c r="G860" s="800"/>
      <c r="H860" s="800"/>
      <c r="I860" s="802"/>
      <c r="J860" s="802"/>
      <c r="K860" s="802"/>
      <c r="L860" s="992"/>
      <c r="M860" s="802"/>
      <c r="N860" s="802"/>
      <c r="O860" s="802"/>
      <c r="P860" s="802"/>
      <c r="Q860" s="741"/>
      <c r="R860" s="949"/>
      <c r="S860" s="992"/>
      <c r="T860" s="802"/>
      <c r="U860" s="802"/>
      <c r="V860" s="802"/>
      <c r="W860" s="802"/>
      <c r="X860" s="802"/>
      <c r="Y860" s="802"/>
      <c r="Z860" s="992"/>
      <c r="AA860" s="802"/>
      <c r="AB860" s="802"/>
      <c r="AC860" s="802"/>
      <c r="AD860" s="802"/>
      <c r="AE860" s="826"/>
      <c r="AF860" s="802"/>
      <c r="AG860" s="992"/>
      <c r="AH860" s="786"/>
      <c r="AI860" s="576">
        <f t="shared" si="56"/>
        <v>0</v>
      </c>
      <c r="AJ860" s="811"/>
      <c r="AK860" s="578"/>
      <c r="AM860" s="578"/>
    </row>
    <row r="861" spans="1:39" s="560" customFormat="1" ht="13.8">
      <c r="A861" s="940" t="s">
        <v>1962</v>
      </c>
      <c r="B861" s="804" t="s">
        <v>1876</v>
      </c>
      <c r="C861" s="799"/>
      <c r="D861" s="800"/>
      <c r="E861" s="988"/>
      <c r="F861" s="800"/>
      <c r="G861" s="800"/>
      <c r="H861" s="800"/>
      <c r="I861" s="802"/>
      <c r="J861" s="802"/>
      <c r="K861" s="802"/>
      <c r="L861" s="992"/>
      <c r="M861" s="802"/>
      <c r="N861" s="802"/>
      <c r="O861" s="802"/>
      <c r="P861" s="802"/>
      <c r="Q861" s="741"/>
      <c r="R861" s="786"/>
      <c r="S861" s="992"/>
      <c r="T861" s="802"/>
      <c r="U861" s="802"/>
      <c r="V861" s="802"/>
      <c r="W861" s="802"/>
      <c r="X861" s="802"/>
      <c r="Y861" s="802"/>
      <c r="Z861" s="992"/>
      <c r="AA861" s="802"/>
      <c r="AB861" s="802"/>
      <c r="AC861" s="802"/>
      <c r="AD861" s="802"/>
      <c r="AE861" s="826"/>
      <c r="AF861" s="802"/>
      <c r="AG861" s="992"/>
      <c r="AH861" s="786"/>
      <c r="AI861" s="576">
        <f t="shared" si="56"/>
        <v>0</v>
      </c>
      <c r="AJ861" s="811"/>
      <c r="AK861" s="578"/>
      <c r="AM861" s="578"/>
    </row>
    <row r="862" spans="1:39" s="560" customFormat="1" ht="13.8">
      <c r="A862" s="940" t="s">
        <v>1963</v>
      </c>
      <c r="B862" s="804" t="s">
        <v>1877</v>
      </c>
      <c r="C862" s="799"/>
      <c r="D862" s="800"/>
      <c r="E862" s="988"/>
      <c r="F862" s="800"/>
      <c r="G862" s="800"/>
      <c r="H862" s="800"/>
      <c r="I862" s="949"/>
      <c r="J862" s="949"/>
      <c r="K862" s="802"/>
      <c r="L862" s="992"/>
      <c r="M862" s="802"/>
      <c r="N862" s="802"/>
      <c r="O862" s="802"/>
      <c r="P862" s="802"/>
      <c r="Q862" s="741"/>
      <c r="R862" s="786"/>
      <c r="S862" s="992"/>
      <c r="T862" s="802"/>
      <c r="U862" s="802"/>
      <c r="V862" s="802"/>
      <c r="W862" s="802"/>
      <c r="X862" s="802"/>
      <c r="Y862" s="802"/>
      <c r="Z862" s="992"/>
      <c r="AA862" s="802"/>
      <c r="AB862" s="802"/>
      <c r="AC862" s="802"/>
      <c r="AD862" s="802"/>
      <c r="AE862" s="826"/>
      <c r="AF862" s="802"/>
      <c r="AG862" s="992"/>
      <c r="AH862" s="786"/>
      <c r="AI862" s="576">
        <f t="shared" si="56"/>
        <v>0</v>
      </c>
      <c r="AJ862" s="811"/>
      <c r="AK862" s="578"/>
      <c r="AM862" s="578"/>
    </row>
    <row r="863" spans="1:39" s="560" customFormat="1" ht="13.8">
      <c r="A863" s="940" t="s">
        <v>1964</v>
      </c>
      <c r="B863" s="967" t="s">
        <v>1878</v>
      </c>
      <c r="C863" s="799" t="s">
        <v>39</v>
      </c>
      <c r="D863" s="800"/>
      <c r="E863" s="988"/>
      <c r="F863" s="800"/>
      <c r="G863" s="800"/>
      <c r="H863" s="581"/>
      <c r="I863" s="741"/>
      <c r="J863" s="826">
        <f>11.53*0.25*0.6*2+6.94*0.25*0.6*2+6.94*0.12*0.6+1.585*0.12*0.6</f>
        <v>6.1547999999999989</v>
      </c>
      <c r="K863" s="802"/>
      <c r="L863" s="992"/>
      <c r="M863" s="802"/>
      <c r="N863" s="802"/>
      <c r="O863" s="802"/>
      <c r="P863" s="802"/>
      <c r="Q863" s="741"/>
      <c r="R863" s="786"/>
      <c r="S863" s="992"/>
      <c r="T863" s="802"/>
      <c r="U863" s="802"/>
      <c r="V863" s="802"/>
      <c r="W863" s="802"/>
      <c r="X863" s="802"/>
      <c r="Y863" s="802"/>
      <c r="Z863" s="992"/>
      <c r="AA863" s="802"/>
      <c r="AB863" s="802"/>
      <c r="AC863" s="802"/>
      <c r="AD863" s="802"/>
      <c r="AE863" s="826"/>
      <c r="AF863" s="802"/>
      <c r="AG863" s="992"/>
      <c r="AH863" s="786"/>
      <c r="AI863" s="576">
        <f t="shared" si="56"/>
        <v>6.1547999999999989</v>
      </c>
      <c r="AJ863" s="811"/>
      <c r="AK863" s="578"/>
      <c r="AM863" s="578"/>
    </row>
    <row r="864" spans="1:39" s="560" customFormat="1" ht="13.8">
      <c r="A864" s="940" t="s">
        <v>1965</v>
      </c>
      <c r="B864" s="967" t="s">
        <v>1879</v>
      </c>
      <c r="C864" s="799" t="s">
        <v>36</v>
      </c>
      <c r="D864" s="800"/>
      <c r="E864" s="988"/>
      <c r="F864" s="800"/>
      <c r="G864" s="800"/>
      <c r="H864" s="741"/>
      <c r="I864" s="932">
        <f>89.5*0.6</f>
        <v>53.699999999999996</v>
      </c>
      <c r="J864" s="802"/>
      <c r="K864" s="802"/>
      <c r="L864" s="992"/>
      <c r="M864" s="802"/>
      <c r="N864" s="802"/>
      <c r="O864" s="802"/>
      <c r="P864" s="802"/>
      <c r="Q864" s="741"/>
      <c r="R864" s="786"/>
      <c r="S864" s="992"/>
      <c r="T864" s="802"/>
      <c r="U864" s="802"/>
      <c r="V864" s="802"/>
      <c r="W864" s="802"/>
      <c r="X864" s="802"/>
      <c r="Y864" s="802"/>
      <c r="Z864" s="992"/>
      <c r="AA864" s="802"/>
      <c r="AB864" s="802"/>
      <c r="AC864" s="802"/>
      <c r="AD864" s="802"/>
      <c r="AE864" s="826"/>
      <c r="AF864" s="802"/>
      <c r="AG864" s="992"/>
      <c r="AH864" s="786"/>
      <c r="AI864" s="576">
        <f t="shared" si="56"/>
        <v>53.699999999999996</v>
      </c>
      <c r="AJ864" s="811"/>
      <c r="AK864" s="578"/>
      <c r="AM864" s="578"/>
    </row>
    <row r="865" spans="1:39" s="560" customFormat="1" ht="13.8">
      <c r="A865" s="940" t="s">
        <v>1966</v>
      </c>
      <c r="B865" s="967" t="s">
        <v>1880</v>
      </c>
      <c r="C865" s="799" t="s">
        <v>1823</v>
      </c>
      <c r="D865" s="800"/>
      <c r="E865" s="988"/>
      <c r="F865" s="800"/>
      <c r="G865" s="932">
        <v>88.95</v>
      </c>
      <c r="H865" s="800"/>
      <c r="I865" s="802"/>
      <c r="J865" s="802"/>
      <c r="K865" s="802"/>
      <c r="L865" s="992"/>
      <c r="M865" s="802"/>
      <c r="N865" s="802"/>
      <c r="O865" s="802"/>
      <c r="P865" s="802"/>
      <c r="Q865" s="741"/>
      <c r="R865" s="786"/>
      <c r="S865" s="992"/>
      <c r="T865" s="802"/>
      <c r="U865" s="802"/>
      <c r="V865" s="802"/>
      <c r="W865" s="802"/>
      <c r="X865" s="802"/>
      <c r="Y865" s="802"/>
      <c r="Z865" s="992"/>
      <c r="AA865" s="802"/>
      <c r="AB865" s="802"/>
      <c r="AC865" s="802"/>
      <c r="AD865" s="802"/>
      <c r="AE865" s="826"/>
      <c r="AF865" s="802"/>
      <c r="AG865" s="992"/>
      <c r="AH865" s="786"/>
      <c r="AI865" s="576">
        <f t="shared" si="56"/>
        <v>88.95</v>
      </c>
      <c r="AJ865" s="811"/>
      <c r="AK865" s="578"/>
      <c r="AM865" s="578"/>
    </row>
    <row r="866" spans="1:39" s="560" customFormat="1" ht="13.8">
      <c r="A866" s="940" t="s">
        <v>1967</v>
      </c>
      <c r="B866" s="804" t="s">
        <v>1881</v>
      </c>
      <c r="C866" s="799"/>
      <c r="D866" s="800"/>
      <c r="E866" s="988"/>
      <c r="F866" s="800"/>
      <c r="G866" s="800"/>
      <c r="H866" s="800"/>
      <c r="I866" s="802"/>
      <c r="J866" s="802"/>
      <c r="K866" s="802"/>
      <c r="L866" s="992"/>
      <c r="M866" s="802"/>
      <c r="N866" s="802"/>
      <c r="O866" s="802"/>
      <c r="P866" s="802"/>
      <c r="Q866" s="741"/>
      <c r="R866" s="786"/>
      <c r="S866" s="992"/>
      <c r="T866" s="802"/>
      <c r="U866" s="802"/>
      <c r="V866" s="802"/>
      <c r="W866" s="802"/>
      <c r="X866" s="802"/>
      <c r="Y866" s="802"/>
      <c r="Z866" s="992"/>
      <c r="AA866" s="802"/>
      <c r="AB866" s="802"/>
      <c r="AC866" s="802"/>
      <c r="AD866" s="802"/>
      <c r="AE866" s="826"/>
      <c r="AF866" s="802"/>
      <c r="AG866" s="992"/>
      <c r="AH866" s="786"/>
      <c r="AI866" s="576">
        <f t="shared" si="56"/>
        <v>0</v>
      </c>
      <c r="AJ866" s="811"/>
      <c r="AK866" s="578"/>
      <c r="AM866" s="578"/>
    </row>
    <row r="867" spans="1:39" s="560" customFormat="1" ht="13.8">
      <c r="A867" s="940" t="s">
        <v>1968</v>
      </c>
      <c r="B867" s="967" t="s">
        <v>1882</v>
      </c>
      <c r="C867" s="799" t="s">
        <v>39</v>
      </c>
      <c r="D867" s="800"/>
      <c r="E867" s="988"/>
      <c r="F867" s="800"/>
      <c r="G867" s="800"/>
      <c r="H867" s="800"/>
      <c r="I867" s="802"/>
      <c r="J867" s="949"/>
      <c r="K867" s="826">
        <f>11.53*0.25*0.5*2+6.94*0.25*0.5*2+6.94*0.12*0.5+1.585*0.12*0.5</f>
        <v>5.1290000000000004</v>
      </c>
      <c r="L867" s="992"/>
      <c r="M867" s="802"/>
      <c r="N867" s="802"/>
      <c r="O867" s="802"/>
      <c r="P867" s="802"/>
      <c r="Q867" s="741"/>
      <c r="R867" s="786"/>
      <c r="S867" s="992"/>
      <c r="T867" s="802"/>
      <c r="U867" s="802"/>
      <c r="V867" s="802"/>
      <c r="W867" s="802"/>
      <c r="X867" s="802"/>
      <c r="Y867" s="802"/>
      <c r="Z867" s="992"/>
      <c r="AA867" s="802"/>
      <c r="AB867" s="802"/>
      <c r="AC867" s="802"/>
      <c r="AD867" s="802"/>
      <c r="AE867" s="826"/>
      <c r="AF867" s="802"/>
      <c r="AG867" s="992"/>
      <c r="AH867" s="786"/>
      <c r="AI867" s="576">
        <f t="shared" si="56"/>
        <v>5.1290000000000004</v>
      </c>
      <c r="AJ867" s="811"/>
      <c r="AK867" s="578"/>
      <c r="AM867" s="578"/>
    </row>
    <row r="868" spans="1:39" s="560" customFormat="1" ht="13.8">
      <c r="A868" s="940" t="s">
        <v>1969</v>
      </c>
      <c r="B868" s="967" t="s">
        <v>1883</v>
      </c>
      <c r="C868" s="799" t="s">
        <v>36</v>
      </c>
      <c r="D868" s="800"/>
      <c r="E868" s="988"/>
      <c r="F868" s="800"/>
      <c r="G868" s="800"/>
      <c r="H868" s="800"/>
      <c r="J868" s="826">
        <f>89.5*0.5</f>
        <v>44.75</v>
      </c>
      <c r="K868" s="802"/>
      <c r="L868" s="992"/>
      <c r="M868" s="802"/>
      <c r="N868" s="802"/>
      <c r="O868" s="802"/>
      <c r="P868" s="802"/>
      <c r="Q868" s="741"/>
      <c r="R868" s="786"/>
      <c r="S868" s="992"/>
      <c r="T868" s="802"/>
      <c r="U868" s="802"/>
      <c r="V868" s="802"/>
      <c r="W868" s="802"/>
      <c r="X868" s="802"/>
      <c r="Y868" s="802"/>
      <c r="Z868" s="992"/>
      <c r="AA868" s="802"/>
      <c r="AB868" s="802"/>
      <c r="AC868" s="802"/>
      <c r="AD868" s="802"/>
      <c r="AE868" s="826"/>
      <c r="AF868" s="802"/>
      <c r="AG868" s="992"/>
      <c r="AH868" s="786"/>
      <c r="AI868" s="576">
        <f t="shared" si="56"/>
        <v>44.75</v>
      </c>
      <c r="AJ868" s="811"/>
      <c r="AK868" s="578"/>
      <c r="AM868" s="578"/>
    </row>
    <row r="869" spans="1:39" s="560" customFormat="1" ht="13.8">
      <c r="A869" s="940" t="s">
        <v>1970</v>
      </c>
      <c r="B869" s="967" t="s">
        <v>1884</v>
      </c>
      <c r="C869" s="799" t="s">
        <v>1823</v>
      </c>
      <c r="D869" s="800"/>
      <c r="E869" s="988"/>
      <c r="F869" s="800"/>
      <c r="G869" s="932">
        <v>88.95</v>
      </c>
      <c r="H869" s="800"/>
      <c r="I869" s="802"/>
      <c r="J869" s="802"/>
      <c r="K869" s="802"/>
      <c r="L869" s="992"/>
      <c r="M869" s="802"/>
      <c r="N869" s="802"/>
      <c r="O869" s="802"/>
      <c r="P869" s="802"/>
      <c r="Q869" s="741"/>
      <c r="R869" s="786"/>
      <c r="S869" s="992"/>
      <c r="T869" s="802"/>
      <c r="U869" s="802"/>
      <c r="V869" s="802"/>
      <c r="W869" s="802"/>
      <c r="X869" s="802"/>
      <c r="Y869" s="802"/>
      <c r="Z869" s="992"/>
      <c r="AA869" s="802"/>
      <c r="AB869" s="802"/>
      <c r="AC869" s="802"/>
      <c r="AD869" s="802"/>
      <c r="AE869" s="826"/>
      <c r="AF869" s="802"/>
      <c r="AG869" s="992"/>
      <c r="AH869" s="786"/>
      <c r="AI869" s="576">
        <f t="shared" si="56"/>
        <v>88.95</v>
      </c>
      <c r="AJ869" s="811"/>
      <c r="AK869" s="578"/>
      <c r="AM869" s="578"/>
    </row>
    <row r="870" spans="1:39" s="560" customFormat="1" ht="13.8">
      <c r="A870" s="939" t="s">
        <v>1971</v>
      </c>
      <c r="B870" s="610" t="s">
        <v>1197</v>
      </c>
      <c r="C870" s="799"/>
      <c r="D870" s="800"/>
      <c r="E870" s="988"/>
      <c r="F870" s="800"/>
      <c r="G870" s="800"/>
      <c r="H870" s="800"/>
      <c r="I870" s="802"/>
      <c r="J870" s="802"/>
      <c r="K870" s="802"/>
      <c r="L870" s="992"/>
      <c r="M870" s="802"/>
      <c r="N870" s="802"/>
      <c r="O870" s="802"/>
      <c r="P870" s="802"/>
      <c r="Q870" s="741"/>
      <c r="S870" s="992"/>
      <c r="T870" s="802"/>
      <c r="U870" s="802"/>
      <c r="V870" s="802"/>
      <c r="W870" s="802"/>
      <c r="X870" s="802"/>
      <c r="Y870" s="802"/>
      <c r="Z870" s="992"/>
      <c r="AA870" s="802"/>
      <c r="AB870" s="802"/>
      <c r="AC870" s="802"/>
      <c r="AD870" s="802"/>
      <c r="AE870" s="826"/>
      <c r="AF870" s="802"/>
      <c r="AG870" s="992"/>
      <c r="AH870" s="786"/>
      <c r="AI870" s="576">
        <f t="shared" si="56"/>
        <v>0</v>
      </c>
      <c r="AJ870" s="811"/>
      <c r="AK870" s="578"/>
      <c r="AM870" s="578"/>
    </row>
    <row r="871" spans="1:39" s="560" customFormat="1" ht="13.8">
      <c r="A871" s="940" t="s">
        <v>1972</v>
      </c>
      <c r="B871" s="804" t="s">
        <v>1834</v>
      </c>
      <c r="C871" s="799"/>
      <c r="D871" s="800"/>
      <c r="E871" s="988"/>
      <c r="F871" s="800"/>
      <c r="G871" s="800"/>
      <c r="H871" s="800"/>
      <c r="I871" s="802"/>
      <c r="J871" s="802"/>
      <c r="K871" s="802"/>
      <c r="L871" s="992"/>
      <c r="M871" s="802"/>
      <c r="N871" s="802"/>
      <c r="O871" s="802"/>
      <c r="P871" s="802"/>
      <c r="Q871" s="741"/>
      <c r="R871" s="949"/>
      <c r="S871" s="992"/>
      <c r="T871" s="802"/>
      <c r="U871" s="802"/>
      <c r="V871" s="802"/>
      <c r="W871" s="802"/>
      <c r="X871" s="802"/>
      <c r="Y871" s="802"/>
      <c r="Z871" s="992"/>
      <c r="AA871" s="802"/>
      <c r="AB871" s="802"/>
      <c r="AC871" s="802"/>
      <c r="AD871" s="802"/>
      <c r="AE871" s="826"/>
      <c r="AF871" s="802"/>
      <c r="AG871" s="992"/>
      <c r="AH871" s="786"/>
      <c r="AI871" s="576">
        <f t="shared" si="56"/>
        <v>0</v>
      </c>
      <c r="AJ871" s="811"/>
      <c r="AK871" s="578"/>
      <c r="AM871" s="578"/>
    </row>
    <row r="872" spans="1:39" s="560" customFormat="1" ht="13.8">
      <c r="A872" s="940" t="s">
        <v>1973</v>
      </c>
      <c r="B872" s="804" t="s">
        <v>1835</v>
      </c>
      <c r="C872" s="799" t="s">
        <v>39</v>
      </c>
      <c r="D872" s="826">
        <f>9.2*0.5*1.4</f>
        <v>6.4399999999999995</v>
      </c>
      <c r="E872" s="988"/>
      <c r="F872" s="800"/>
      <c r="G872" s="800"/>
      <c r="H872" s="800"/>
      <c r="I872" s="826">
        <f>0.25*1.4*15.57</f>
        <v>5.4494999999999996</v>
      </c>
      <c r="J872" s="802"/>
      <c r="K872" s="802"/>
      <c r="L872" s="992"/>
      <c r="M872" s="802"/>
      <c r="N872" s="802"/>
      <c r="O872" s="802"/>
      <c r="P872" s="802"/>
      <c r="Q872" s="741"/>
      <c r="R872" s="826">
        <f>0.25*1.4*15.57</f>
        <v>5.4494999999999996</v>
      </c>
      <c r="S872" s="992"/>
      <c r="T872" s="826">
        <f>0.25*1.4*15.57</f>
        <v>5.4494999999999996</v>
      </c>
      <c r="U872" s="826">
        <f>0.2*1.4*15.57</f>
        <v>4.3595999999999995</v>
      </c>
      <c r="V872" s="826">
        <f>0.15*1.4*15.57</f>
        <v>3.2696999999999998</v>
      </c>
      <c r="W872" s="826">
        <f>7.51*1.4*1.2+4.38*0.6*0.6</f>
        <v>14.1936</v>
      </c>
      <c r="X872" s="826">
        <f>7.51*1.4*0.4</f>
        <v>4.2055999999999996</v>
      </c>
      <c r="Y872" s="826">
        <f>7.51*1.4*0.4</f>
        <v>4.2055999999999996</v>
      </c>
      <c r="Z872" s="992"/>
      <c r="AA872" s="826">
        <f>7.51*1.4*0.7</f>
        <v>7.359799999999999</v>
      </c>
      <c r="AB872" s="826">
        <f>3.13*2*0.6</f>
        <v>3.7559999999999998</v>
      </c>
      <c r="AC872" s="802"/>
      <c r="AD872" s="802"/>
      <c r="AE872" s="826"/>
      <c r="AF872" s="802"/>
      <c r="AG872" s="992"/>
      <c r="AH872" s="786"/>
      <c r="AI872" s="576">
        <f t="shared" si="56"/>
        <v>64.13839999999999</v>
      </c>
      <c r="AJ872" s="811"/>
      <c r="AK872" s="578"/>
      <c r="AM872" s="578"/>
    </row>
    <row r="873" spans="1:39" s="1000" customFormat="1">
      <c r="A873" s="999"/>
      <c r="B873" s="1003"/>
      <c r="C873" s="1004"/>
      <c r="L873" s="1001"/>
      <c r="M873" s="1001"/>
      <c r="N873" s="1001"/>
      <c r="O873" s="1001"/>
      <c r="P873" s="1001"/>
      <c r="Q873" s="1001"/>
      <c r="R873" s="1001"/>
      <c r="S873" s="1001"/>
      <c r="T873" s="1001"/>
      <c r="U873" s="1001"/>
      <c r="V873" s="1001"/>
      <c r="W873" s="1001"/>
      <c r="X873" s="1001"/>
      <c r="Y873" s="1001"/>
      <c r="Z873" s="1001"/>
      <c r="AA873" s="1001"/>
      <c r="AB873" s="1001"/>
      <c r="AC873" s="1001"/>
      <c r="AD873" s="1001"/>
      <c r="AE873" s="1002"/>
      <c r="AF873" s="1001"/>
      <c r="AG873" s="1001"/>
      <c r="AH873" s="1001"/>
    </row>
  </sheetData>
  <mergeCells count="8">
    <mergeCell ref="A687:AH687"/>
    <mergeCell ref="D831:AP831"/>
    <mergeCell ref="A1:K1"/>
    <mergeCell ref="A2:K2"/>
    <mergeCell ref="B4:K4"/>
    <mergeCell ref="B5:K5"/>
    <mergeCell ref="A9:A10"/>
    <mergeCell ref="B9:B10"/>
  </mergeCells>
  <pageMargins left="0.7" right="0.7" top="0.75" bottom="0.75" header="0.3" footer="0.3"/>
  <pageSetup scale="24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N160"/>
  <sheetViews>
    <sheetView workbookViewId="0">
      <selection sqref="A1:K1"/>
    </sheetView>
  </sheetViews>
  <sheetFormatPr baseColWidth="10" defaultColWidth="11.44140625" defaultRowHeight="13.2"/>
  <cols>
    <col min="1" max="1" width="12.5546875" style="618" customWidth="1"/>
    <col min="2" max="2" width="74.6640625" style="616" customWidth="1"/>
    <col min="3" max="3" width="7" style="559" customWidth="1"/>
    <col min="4" max="4" width="7" style="787" customWidth="1"/>
    <col min="5" max="5" width="9.109375" style="557" customWidth="1"/>
    <col min="6" max="10" width="7" style="557" customWidth="1"/>
    <col min="11" max="11" width="9.5546875" style="787" customWidth="1"/>
    <col min="12" max="14" width="7" style="558" customWidth="1"/>
    <col min="15" max="15" width="7" style="808" customWidth="1"/>
    <col min="16" max="16" width="7" style="558" customWidth="1"/>
    <col min="17" max="17" width="7" style="557" customWidth="1"/>
    <col min="18" max="18" width="7" style="787" customWidth="1"/>
    <col min="19" max="22" width="7" style="558" customWidth="1"/>
    <col min="23" max="23" width="10.88671875" style="557" customWidth="1"/>
    <col min="24" max="24" width="9.44140625" style="558" customWidth="1"/>
    <col min="25" max="25" width="7" style="787" customWidth="1"/>
    <col min="26" max="26" width="10.44140625" style="557" customWidth="1"/>
    <col min="27" max="27" width="8.6640625" style="557" customWidth="1"/>
    <col min="28" max="28" width="7" style="557" customWidth="1"/>
    <col min="29" max="29" width="9.44140625" style="557" customWidth="1"/>
    <col min="30" max="30" width="7" style="787" customWidth="1"/>
    <col min="31" max="31" width="9.88671875" style="557" customWidth="1"/>
    <col min="32" max="32" width="7" style="787" customWidth="1"/>
    <col min="33" max="33" width="9.109375" style="1120" customWidth="1"/>
    <col min="34" max="34" width="9.109375" style="558" hidden="1" customWidth="1"/>
    <col min="35" max="37" width="9.109375" style="557" customWidth="1"/>
    <col min="38" max="38" width="11.44140625" style="557"/>
    <col min="39" max="39" width="14.44140625" style="557" customWidth="1"/>
    <col min="40" max="257" width="11.44140625" style="557"/>
    <col min="258" max="258" width="6.44140625" style="557" customWidth="1"/>
    <col min="259" max="259" width="47.88671875" style="557" customWidth="1"/>
    <col min="260" max="261" width="5" style="557" customWidth="1"/>
    <col min="262" max="262" width="5.33203125" style="557" customWidth="1"/>
    <col min="263" max="263" width="4.88671875" style="557" customWidth="1"/>
    <col min="264" max="265" width="4.109375" style="557" customWidth="1"/>
    <col min="266" max="266" width="3.5546875" style="557" customWidth="1"/>
    <col min="267" max="267" width="5" style="557" customWidth="1"/>
    <col min="268" max="268" width="4" style="557" customWidth="1"/>
    <col min="269" max="270" width="4.5546875" style="557" customWidth="1"/>
    <col min="271" max="271" width="4.109375" style="557" customWidth="1"/>
    <col min="272" max="272" width="4" style="557" customWidth="1"/>
    <col min="273" max="273" width="3.88671875" style="557" customWidth="1"/>
    <col min="274" max="275" width="4.6640625" style="557" customWidth="1"/>
    <col min="276" max="276" width="4" style="557" customWidth="1"/>
    <col min="277" max="277" width="4.33203125" style="557" customWidth="1"/>
    <col min="278" max="278" width="4.109375" style="557" customWidth="1"/>
    <col min="279" max="279" width="3.88671875" style="557" customWidth="1"/>
    <col min="280" max="280" width="4.109375" style="557" customWidth="1"/>
    <col min="281" max="281" width="5.5546875" style="557" customWidth="1"/>
    <col min="282" max="282" width="3.5546875" style="557" customWidth="1"/>
    <col min="283" max="283" width="4" style="557" customWidth="1"/>
    <col min="284" max="284" width="4.5546875" style="557" customWidth="1"/>
    <col min="285" max="285" width="4.44140625" style="557" customWidth="1"/>
    <col min="286" max="287" width="4.33203125" style="557" customWidth="1"/>
    <col min="288" max="289" width="4.88671875" style="557" customWidth="1"/>
    <col min="290" max="290" width="4" style="557" customWidth="1"/>
    <col min="291" max="291" width="4.6640625" style="557" customWidth="1"/>
    <col min="292" max="292" width="6" style="557" customWidth="1"/>
    <col min="293" max="293" width="8.88671875" style="557" customWidth="1"/>
    <col min="294" max="513" width="11.44140625" style="557"/>
    <col min="514" max="514" width="6.44140625" style="557" customWidth="1"/>
    <col min="515" max="515" width="47.88671875" style="557" customWidth="1"/>
    <col min="516" max="517" width="5" style="557" customWidth="1"/>
    <col min="518" max="518" width="5.33203125" style="557" customWidth="1"/>
    <col min="519" max="519" width="4.88671875" style="557" customWidth="1"/>
    <col min="520" max="521" width="4.109375" style="557" customWidth="1"/>
    <col min="522" max="522" width="3.5546875" style="557" customWidth="1"/>
    <col min="523" max="523" width="5" style="557" customWidth="1"/>
    <col min="524" max="524" width="4" style="557" customWidth="1"/>
    <col min="525" max="526" width="4.5546875" style="557" customWidth="1"/>
    <col min="527" max="527" width="4.109375" style="557" customWidth="1"/>
    <col min="528" max="528" width="4" style="557" customWidth="1"/>
    <col min="529" max="529" width="3.88671875" style="557" customWidth="1"/>
    <col min="530" max="531" width="4.6640625" style="557" customWidth="1"/>
    <col min="532" max="532" width="4" style="557" customWidth="1"/>
    <col min="533" max="533" width="4.33203125" style="557" customWidth="1"/>
    <col min="534" max="534" width="4.109375" style="557" customWidth="1"/>
    <col min="535" max="535" width="3.88671875" style="557" customWidth="1"/>
    <col min="536" max="536" width="4.109375" style="557" customWidth="1"/>
    <col min="537" max="537" width="5.5546875" style="557" customWidth="1"/>
    <col min="538" max="538" width="3.5546875" style="557" customWidth="1"/>
    <col min="539" max="539" width="4" style="557" customWidth="1"/>
    <col min="540" max="540" width="4.5546875" style="557" customWidth="1"/>
    <col min="541" max="541" width="4.44140625" style="557" customWidth="1"/>
    <col min="542" max="543" width="4.33203125" style="557" customWidth="1"/>
    <col min="544" max="545" width="4.88671875" style="557" customWidth="1"/>
    <col min="546" max="546" width="4" style="557" customWidth="1"/>
    <col min="547" max="547" width="4.6640625" style="557" customWidth="1"/>
    <col min="548" max="548" width="6" style="557" customWidth="1"/>
    <col min="549" max="549" width="8.88671875" style="557" customWidth="1"/>
    <col min="550" max="769" width="11.44140625" style="557"/>
    <col min="770" max="770" width="6.44140625" style="557" customWidth="1"/>
    <col min="771" max="771" width="47.88671875" style="557" customWidth="1"/>
    <col min="772" max="773" width="5" style="557" customWidth="1"/>
    <col min="774" max="774" width="5.33203125" style="557" customWidth="1"/>
    <col min="775" max="775" width="4.88671875" style="557" customWidth="1"/>
    <col min="776" max="777" width="4.109375" style="557" customWidth="1"/>
    <col min="778" max="778" width="3.5546875" style="557" customWidth="1"/>
    <col min="779" max="779" width="5" style="557" customWidth="1"/>
    <col min="780" max="780" width="4" style="557" customWidth="1"/>
    <col min="781" max="782" width="4.5546875" style="557" customWidth="1"/>
    <col min="783" max="783" width="4.109375" style="557" customWidth="1"/>
    <col min="784" max="784" width="4" style="557" customWidth="1"/>
    <col min="785" max="785" width="3.88671875" style="557" customWidth="1"/>
    <col min="786" max="787" width="4.6640625" style="557" customWidth="1"/>
    <col min="788" max="788" width="4" style="557" customWidth="1"/>
    <col min="789" max="789" width="4.33203125" style="557" customWidth="1"/>
    <col min="790" max="790" width="4.109375" style="557" customWidth="1"/>
    <col min="791" max="791" width="3.88671875" style="557" customWidth="1"/>
    <col min="792" max="792" width="4.109375" style="557" customWidth="1"/>
    <col min="793" max="793" width="5.5546875" style="557" customWidth="1"/>
    <col min="794" max="794" width="3.5546875" style="557" customWidth="1"/>
    <col min="795" max="795" width="4" style="557" customWidth="1"/>
    <col min="796" max="796" width="4.5546875" style="557" customWidth="1"/>
    <col min="797" max="797" width="4.44140625" style="557" customWidth="1"/>
    <col min="798" max="799" width="4.33203125" style="557" customWidth="1"/>
    <col min="800" max="801" width="4.88671875" style="557" customWidth="1"/>
    <col min="802" max="802" width="4" style="557" customWidth="1"/>
    <col min="803" max="803" width="4.6640625" style="557" customWidth="1"/>
    <col min="804" max="804" width="6" style="557" customWidth="1"/>
    <col min="805" max="805" width="8.88671875" style="557" customWidth="1"/>
    <col min="806" max="1025" width="11.44140625" style="557"/>
    <col min="1026" max="1026" width="6.44140625" style="557" customWidth="1"/>
    <col min="1027" max="1027" width="47.88671875" style="557" customWidth="1"/>
    <col min="1028" max="1029" width="5" style="557" customWidth="1"/>
    <col min="1030" max="1030" width="5.33203125" style="557" customWidth="1"/>
    <col min="1031" max="1031" width="4.88671875" style="557" customWidth="1"/>
    <col min="1032" max="1033" width="4.109375" style="557" customWidth="1"/>
    <col min="1034" max="1034" width="3.5546875" style="557" customWidth="1"/>
    <col min="1035" max="1035" width="5" style="557" customWidth="1"/>
    <col min="1036" max="1036" width="4" style="557" customWidth="1"/>
    <col min="1037" max="1038" width="4.5546875" style="557" customWidth="1"/>
    <col min="1039" max="1039" width="4.109375" style="557" customWidth="1"/>
    <col min="1040" max="1040" width="4" style="557" customWidth="1"/>
    <col min="1041" max="1041" width="3.88671875" style="557" customWidth="1"/>
    <col min="1042" max="1043" width="4.6640625" style="557" customWidth="1"/>
    <col min="1044" max="1044" width="4" style="557" customWidth="1"/>
    <col min="1045" max="1045" width="4.33203125" style="557" customWidth="1"/>
    <col min="1046" max="1046" width="4.109375" style="557" customWidth="1"/>
    <col min="1047" max="1047" width="3.88671875" style="557" customWidth="1"/>
    <col min="1048" max="1048" width="4.109375" style="557" customWidth="1"/>
    <col min="1049" max="1049" width="5.5546875" style="557" customWidth="1"/>
    <col min="1050" max="1050" width="3.5546875" style="557" customWidth="1"/>
    <col min="1051" max="1051" width="4" style="557" customWidth="1"/>
    <col min="1052" max="1052" width="4.5546875" style="557" customWidth="1"/>
    <col min="1053" max="1053" width="4.44140625" style="557" customWidth="1"/>
    <col min="1054" max="1055" width="4.33203125" style="557" customWidth="1"/>
    <col min="1056" max="1057" width="4.88671875" style="557" customWidth="1"/>
    <col min="1058" max="1058" width="4" style="557" customWidth="1"/>
    <col min="1059" max="1059" width="4.6640625" style="557" customWidth="1"/>
    <col min="1060" max="1060" width="6" style="557" customWidth="1"/>
    <col min="1061" max="1061" width="8.88671875" style="557" customWidth="1"/>
    <col min="1062" max="1281" width="11.44140625" style="557"/>
    <col min="1282" max="1282" width="6.44140625" style="557" customWidth="1"/>
    <col min="1283" max="1283" width="47.88671875" style="557" customWidth="1"/>
    <col min="1284" max="1285" width="5" style="557" customWidth="1"/>
    <col min="1286" max="1286" width="5.33203125" style="557" customWidth="1"/>
    <col min="1287" max="1287" width="4.88671875" style="557" customWidth="1"/>
    <col min="1288" max="1289" width="4.109375" style="557" customWidth="1"/>
    <col min="1290" max="1290" width="3.5546875" style="557" customWidth="1"/>
    <col min="1291" max="1291" width="5" style="557" customWidth="1"/>
    <col min="1292" max="1292" width="4" style="557" customWidth="1"/>
    <col min="1293" max="1294" width="4.5546875" style="557" customWidth="1"/>
    <col min="1295" max="1295" width="4.109375" style="557" customWidth="1"/>
    <col min="1296" max="1296" width="4" style="557" customWidth="1"/>
    <col min="1297" max="1297" width="3.88671875" style="557" customWidth="1"/>
    <col min="1298" max="1299" width="4.6640625" style="557" customWidth="1"/>
    <col min="1300" max="1300" width="4" style="557" customWidth="1"/>
    <col min="1301" max="1301" width="4.33203125" style="557" customWidth="1"/>
    <col min="1302" max="1302" width="4.109375" style="557" customWidth="1"/>
    <col min="1303" max="1303" width="3.88671875" style="557" customWidth="1"/>
    <col min="1304" max="1304" width="4.109375" style="557" customWidth="1"/>
    <col min="1305" max="1305" width="5.5546875" style="557" customWidth="1"/>
    <col min="1306" max="1306" width="3.5546875" style="557" customWidth="1"/>
    <col min="1307" max="1307" width="4" style="557" customWidth="1"/>
    <col min="1308" max="1308" width="4.5546875" style="557" customWidth="1"/>
    <col min="1309" max="1309" width="4.44140625" style="557" customWidth="1"/>
    <col min="1310" max="1311" width="4.33203125" style="557" customWidth="1"/>
    <col min="1312" max="1313" width="4.88671875" style="557" customWidth="1"/>
    <col min="1314" max="1314" width="4" style="557" customWidth="1"/>
    <col min="1315" max="1315" width="4.6640625" style="557" customWidth="1"/>
    <col min="1316" max="1316" width="6" style="557" customWidth="1"/>
    <col min="1317" max="1317" width="8.88671875" style="557" customWidth="1"/>
    <col min="1318" max="1537" width="11.44140625" style="557"/>
    <col min="1538" max="1538" width="6.44140625" style="557" customWidth="1"/>
    <col min="1539" max="1539" width="47.88671875" style="557" customWidth="1"/>
    <col min="1540" max="1541" width="5" style="557" customWidth="1"/>
    <col min="1542" max="1542" width="5.33203125" style="557" customWidth="1"/>
    <col min="1543" max="1543" width="4.88671875" style="557" customWidth="1"/>
    <col min="1544" max="1545" width="4.109375" style="557" customWidth="1"/>
    <col min="1546" max="1546" width="3.5546875" style="557" customWidth="1"/>
    <col min="1547" max="1547" width="5" style="557" customWidth="1"/>
    <col min="1548" max="1548" width="4" style="557" customWidth="1"/>
    <col min="1549" max="1550" width="4.5546875" style="557" customWidth="1"/>
    <col min="1551" max="1551" width="4.109375" style="557" customWidth="1"/>
    <col min="1552" max="1552" width="4" style="557" customWidth="1"/>
    <col min="1553" max="1553" width="3.88671875" style="557" customWidth="1"/>
    <col min="1554" max="1555" width="4.6640625" style="557" customWidth="1"/>
    <col min="1556" max="1556" width="4" style="557" customWidth="1"/>
    <col min="1557" max="1557" width="4.33203125" style="557" customWidth="1"/>
    <col min="1558" max="1558" width="4.109375" style="557" customWidth="1"/>
    <col min="1559" max="1559" width="3.88671875" style="557" customWidth="1"/>
    <col min="1560" max="1560" width="4.109375" style="557" customWidth="1"/>
    <col min="1561" max="1561" width="5.5546875" style="557" customWidth="1"/>
    <col min="1562" max="1562" width="3.5546875" style="557" customWidth="1"/>
    <col min="1563" max="1563" width="4" style="557" customWidth="1"/>
    <col min="1564" max="1564" width="4.5546875" style="557" customWidth="1"/>
    <col min="1565" max="1565" width="4.44140625" style="557" customWidth="1"/>
    <col min="1566" max="1567" width="4.33203125" style="557" customWidth="1"/>
    <col min="1568" max="1569" width="4.88671875" style="557" customWidth="1"/>
    <col min="1570" max="1570" width="4" style="557" customWidth="1"/>
    <col min="1571" max="1571" width="4.6640625" style="557" customWidth="1"/>
    <col min="1572" max="1572" width="6" style="557" customWidth="1"/>
    <col min="1573" max="1573" width="8.88671875" style="557" customWidth="1"/>
    <col min="1574" max="1793" width="11.44140625" style="557"/>
    <col min="1794" max="1794" width="6.44140625" style="557" customWidth="1"/>
    <col min="1795" max="1795" width="47.88671875" style="557" customWidth="1"/>
    <col min="1796" max="1797" width="5" style="557" customWidth="1"/>
    <col min="1798" max="1798" width="5.33203125" style="557" customWidth="1"/>
    <col min="1799" max="1799" width="4.88671875" style="557" customWidth="1"/>
    <col min="1800" max="1801" width="4.109375" style="557" customWidth="1"/>
    <col min="1802" max="1802" width="3.5546875" style="557" customWidth="1"/>
    <col min="1803" max="1803" width="5" style="557" customWidth="1"/>
    <col min="1804" max="1804" width="4" style="557" customWidth="1"/>
    <col min="1805" max="1806" width="4.5546875" style="557" customWidth="1"/>
    <col min="1807" max="1807" width="4.109375" style="557" customWidth="1"/>
    <col min="1808" max="1808" width="4" style="557" customWidth="1"/>
    <col min="1809" max="1809" width="3.88671875" style="557" customWidth="1"/>
    <col min="1810" max="1811" width="4.6640625" style="557" customWidth="1"/>
    <col min="1812" max="1812" width="4" style="557" customWidth="1"/>
    <col min="1813" max="1813" width="4.33203125" style="557" customWidth="1"/>
    <col min="1814" max="1814" width="4.109375" style="557" customWidth="1"/>
    <col min="1815" max="1815" width="3.88671875" style="557" customWidth="1"/>
    <col min="1816" max="1816" width="4.109375" style="557" customWidth="1"/>
    <col min="1817" max="1817" width="5.5546875" style="557" customWidth="1"/>
    <col min="1818" max="1818" width="3.5546875" style="557" customWidth="1"/>
    <col min="1819" max="1819" width="4" style="557" customWidth="1"/>
    <col min="1820" max="1820" width="4.5546875" style="557" customWidth="1"/>
    <col min="1821" max="1821" width="4.44140625" style="557" customWidth="1"/>
    <col min="1822" max="1823" width="4.33203125" style="557" customWidth="1"/>
    <col min="1824" max="1825" width="4.88671875" style="557" customWidth="1"/>
    <col min="1826" max="1826" width="4" style="557" customWidth="1"/>
    <col min="1827" max="1827" width="4.6640625" style="557" customWidth="1"/>
    <col min="1828" max="1828" width="6" style="557" customWidth="1"/>
    <col min="1829" max="1829" width="8.88671875" style="557" customWidth="1"/>
    <col min="1830" max="2049" width="11.44140625" style="557"/>
    <col min="2050" max="2050" width="6.44140625" style="557" customWidth="1"/>
    <col min="2051" max="2051" width="47.88671875" style="557" customWidth="1"/>
    <col min="2052" max="2053" width="5" style="557" customWidth="1"/>
    <col min="2054" max="2054" width="5.33203125" style="557" customWidth="1"/>
    <col min="2055" max="2055" width="4.88671875" style="557" customWidth="1"/>
    <col min="2056" max="2057" width="4.109375" style="557" customWidth="1"/>
    <col min="2058" max="2058" width="3.5546875" style="557" customWidth="1"/>
    <col min="2059" max="2059" width="5" style="557" customWidth="1"/>
    <col min="2060" max="2060" width="4" style="557" customWidth="1"/>
    <col min="2061" max="2062" width="4.5546875" style="557" customWidth="1"/>
    <col min="2063" max="2063" width="4.109375" style="557" customWidth="1"/>
    <col min="2064" max="2064" width="4" style="557" customWidth="1"/>
    <col min="2065" max="2065" width="3.88671875" style="557" customWidth="1"/>
    <col min="2066" max="2067" width="4.6640625" style="557" customWidth="1"/>
    <col min="2068" max="2068" width="4" style="557" customWidth="1"/>
    <col min="2069" max="2069" width="4.33203125" style="557" customWidth="1"/>
    <col min="2070" max="2070" width="4.109375" style="557" customWidth="1"/>
    <col min="2071" max="2071" width="3.88671875" style="557" customWidth="1"/>
    <col min="2072" max="2072" width="4.109375" style="557" customWidth="1"/>
    <col min="2073" max="2073" width="5.5546875" style="557" customWidth="1"/>
    <col min="2074" max="2074" width="3.5546875" style="557" customWidth="1"/>
    <col min="2075" max="2075" width="4" style="557" customWidth="1"/>
    <col min="2076" max="2076" width="4.5546875" style="557" customWidth="1"/>
    <col min="2077" max="2077" width="4.44140625" style="557" customWidth="1"/>
    <col min="2078" max="2079" width="4.33203125" style="557" customWidth="1"/>
    <col min="2080" max="2081" width="4.88671875" style="557" customWidth="1"/>
    <col min="2082" max="2082" width="4" style="557" customWidth="1"/>
    <col min="2083" max="2083" width="4.6640625" style="557" customWidth="1"/>
    <col min="2084" max="2084" width="6" style="557" customWidth="1"/>
    <col min="2085" max="2085" width="8.88671875" style="557" customWidth="1"/>
    <col min="2086" max="2305" width="11.44140625" style="557"/>
    <col min="2306" max="2306" width="6.44140625" style="557" customWidth="1"/>
    <col min="2307" max="2307" width="47.88671875" style="557" customWidth="1"/>
    <col min="2308" max="2309" width="5" style="557" customWidth="1"/>
    <col min="2310" max="2310" width="5.33203125" style="557" customWidth="1"/>
    <col min="2311" max="2311" width="4.88671875" style="557" customWidth="1"/>
    <col min="2312" max="2313" width="4.109375" style="557" customWidth="1"/>
    <col min="2314" max="2314" width="3.5546875" style="557" customWidth="1"/>
    <col min="2315" max="2315" width="5" style="557" customWidth="1"/>
    <col min="2316" max="2316" width="4" style="557" customWidth="1"/>
    <col min="2317" max="2318" width="4.5546875" style="557" customWidth="1"/>
    <col min="2319" max="2319" width="4.109375" style="557" customWidth="1"/>
    <col min="2320" max="2320" width="4" style="557" customWidth="1"/>
    <col min="2321" max="2321" width="3.88671875" style="557" customWidth="1"/>
    <col min="2322" max="2323" width="4.6640625" style="557" customWidth="1"/>
    <col min="2324" max="2324" width="4" style="557" customWidth="1"/>
    <col min="2325" max="2325" width="4.33203125" style="557" customWidth="1"/>
    <col min="2326" max="2326" width="4.109375" style="557" customWidth="1"/>
    <col min="2327" max="2327" width="3.88671875" style="557" customWidth="1"/>
    <col min="2328" max="2328" width="4.109375" style="557" customWidth="1"/>
    <col min="2329" max="2329" width="5.5546875" style="557" customWidth="1"/>
    <col min="2330" max="2330" width="3.5546875" style="557" customWidth="1"/>
    <col min="2331" max="2331" width="4" style="557" customWidth="1"/>
    <col min="2332" max="2332" width="4.5546875" style="557" customWidth="1"/>
    <col min="2333" max="2333" width="4.44140625" style="557" customWidth="1"/>
    <col min="2334" max="2335" width="4.33203125" style="557" customWidth="1"/>
    <col min="2336" max="2337" width="4.88671875" style="557" customWidth="1"/>
    <col min="2338" max="2338" width="4" style="557" customWidth="1"/>
    <col min="2339" max="2339" width="4.6640625" style="557" customWidth="1"/>
    <col min="2340" max="2340" width="6" style="557" customWidth="1"/>
    <col min="2341" max="2341" width="8.88671875" style="557" customWidth="1"/>
    <col min="2342" max="2561" width="11.44140625" style="557"/>
    <col min="2562" max="2562" width="6.44140625" style="557" customWidth="1"/>
    <col min="2563" max="2563" width="47.88671875" style="557" customWidth="1"/>
    <col min="2564" max="2565" width="5" style="557" customWidth="1"/>
    <col min="2566" max="2566" width="5.33203125" style="557" customWidth="1"/>
    <col min="2567" max="2567" width="4.88671875" style="557" customWidth="1"/>
    <col min="2568" max="2569" width="4.109375" style="557" customWidth="1"/>
    <col min="2570" max="2570" width="3.5546875" style="557" customWidth="1"/>
    <col min="2571" max="2571" width="5" style="557" customWidth="1"/>
    <col min="2572" max="2572" width="4" style="557" customWidth="1"/>
    <col min="2573" max="2574" width="4.5546875" style="557" customWidth="1"/>
    <col min="2575" max="2575" width="4.109375" style="557" customWidth="1"/>
    <col min="2576" max="2576" width="4" style="557" customWidth="1"/>
    <col min="2577" max="2577" width="3.88671875" style="557" customWidth="1"/>
    <col min="2578" max="2579" width="4.6640625" style="557" customWidth="1"/>
    <col min="2580" max="2580" width="4" style="557" customWidth="1"/>
    <col min="2581" max="2581" width="4.33203125" style="557" customWidth="1"/>
    <col min="2582" max="2582" width="4.109375" style="557" customWidth="1"/>
    <col min="2583" max="2583" width="3.88671875" style="557" customWidth="1"/>
    <col min="2584" max="2584" width="4.109375" style="557" customWidth="1"/>
    <col min="2585" max="2585" width="5.5546875" style="557" customWidth="1"/>
    <col min="2586" max="2586" width="3.5546875" style="557" customWidth="1"/>
    <col min="2587" max="2587" width="4" style="557" customWidth="1"/>
    <col min="2588" max="2588" width="4.5546875" style="557" customWidth="1"/>
    <col min="2589" max="2589" width="4.44140625" style="557" customWidth="1"/>
    <col min="2590" max="2591" width="4.33203125" style="557" customWidth="1"/>
    <col min="2592" max="2593" width="4.88671875" style="557" customWidth="1"/>
    <col min="2594" max="2594" width="4" style="557" customWidth="1"/>
    <col min="2595" max="2595" width="4.6640625" style="557" customWidth="1"/>
    <col min="2596" max="2596" width="6" style="557" customWidth="1"/>
    <col min="2597" max="2597" width="8.88671875" style="557" customWidth="1"/>
    <col min="2598" max="2817" width="11.44140625" style="557"/>
    <col min="2818" max="2818" width="6.44140625" style="557" customWidth="1"/>
    <col min="2819" max="2819" width="47.88671875" style="557" customWidth="1"/>
    <col min="2820" max="2821" width="5" style="557" customWidth="1"/>
    <col min="2822" max="2822" width="5.33203125" style="557" customWidth="1"/>
    <col min="2823" max="2823" width="4.88671875" style="557" customWidth="1"/>
    <col min="2824" max="2825" width="4.109375" style="557" customWidth="1"/>
    <col min="2826" max="2826" width="3.5546875" style="557" customWidth="1"/>
    <col min="2827" max="2827" width="5" style="557" customWidth="1"/>
    <col min="2828" max="2828" width="4" style="557" customWidth="1"/>
    <col min="2829" max="2830" width="4.5546875" style="557" customWidth="1"/>
    <col min="2831" max="2831" width="4.109375" style="557" customWidth="1"/>
    <col min="2832" max="2832" width="4" style="557" customWidth="1"/>
    <col min="2833" max="2833" width="3.88671875" style="557" customWidth="1"/>
    <col min="2834" max="2835" width="4.6640625" style="557" customWidth="1"/>
    <col min="2836" max="2836" width="4" style="557" customWidth="1"/>
    <col min="2837" max="2837" width="4.33203125" style="557" customWidth="1"/>
    <col min="2838" max="2838" width="4.109375" style="557" customWidth="1"/>
    <col min="2839" max="2839" width="3.88671875" style="557" customWidth="1"/>
    <col min="2840" max="2840" width="4.109375" style="557" customWidth="1"/>
    <col min="2841" max="2841" width="5.5546875" style="557" customWidth="1"/>
    <col min="2842" max="2842" width="3.5546875" style="557" customWidth="1"/>
    <col min="2843" max="2843" width="4" style="557" customWidth="1"/>
    <col min="2844" max="2844" width="4.5546875" style="557" customWidth="1"/>
    <col min="2845" max="2845" width="4.44140625" style="557" customWidth="1"/>
    <col min="2846" max="2847" width="4.33203125" style="557" customWidth="1"/>
    <col min="2848" max="2849" width="4.88671875" style="557" customWidth="1"/>
    <col min="2850" max="2850" width="4" style="557" customWidth="1"/>
    <col min="2851" max="2851" width="4.6640625" style="557" customWidth="1"/>
    <col min="2852" max="2852" width="6" style="557" customWidth="1"/>
    <col min="2853" max="2853" width="8.88671875" style="557" customWidth="1"/>
    <col min="2854" max="3073" width="11.44140625" style="557"/>
    <col min="3074" max="3074" width="6.44140625" style="557" customWidth="1"/>
    <col min="3075" max="3075" width="47.88671875" style="557" customWidth="1"/>
    <col min="3076" max="3077" width="5" style="557" customWidth="1"/>
    <col min="3078" max="3078" width="5.33203125" style="557" customWidth="1"/>
    <col min="3079" max="3079" width="4.88671875" style="557" customWidth="1"/>
    <col min="3080" max="3081" width="4.109375" style="557" customWidth="1"/>
    <col min="3082" max="3082" width="3.5546875" style="557" customWidth="1"/>
    <col min="3083" max="3083" width="5" style="557" customWidth="1"/>
    <col min="3084" max="3084" width="4" style="557" customWidth="1"/>
    <col min="3085" max="3086" width="4.5546875" style="557" customWidth="1"/>
    <col min="3087" max="3087" width="4.109375" style="557" customWidth="1"/>
    <col min="3088" max="3088" width="4" style="557" customWidth="1"/>
    <col min="3089" max="3089" width="3.88671875" style="557" customWidth="1"/>
    <col min="3090" max="3091" width="4.6640625" style="557" customWidth="1"/>
    <col min="3092" max="3092" width="4" style="557" customWidth="1"/>
    <col min="3093" max="3093" width="4.33203125" style="557" customWidth="1"/>
    <col min="3094" max="3094" width="4.109375" style="557" customWidth="1"/>
    <col min="3095" max="3095" width="3.88671875" style="557" customWidth="1"/>
    <col min="3096" max="3096" width="4.109375" style="557" customWidth="1"/>
    <col min="3097" max="3097" width="5.5546875" style="557" customWidth="1"/>
    <col min="3098" max="3098" width="3.5546875" style="557" customWidth="1"/>
    <col min="3099" max="3099" width="4" style="557" customWidth="1"/>
    <col min="3100" max="3100" width="4.5546875" style="557" customWidth="1"/>
    <col min="3101" max="3101" width="4.44140625" style="557" customWidth="1"/>
    <col min="3102" max="3103" width="4.33203125" style="557" customWidth="1"/>
    <col min="3104" max="3105" width="4.88671875" style="557" customWidth="1"/>
    <col min="3106" max="3106" width="4" style="557" customWidth="1"/>
    <col min="3107" max="3107" width="4.6640625" style="557" customWidth="1"/>
    <col min="3108" max="3108" width="6" style="557" customWidth="1"/>
    <col min="3109" max="3109" width="8.88671875" style="557" customWidth="1"/>
    <col min="3110" max="3329" width="11.44140625" style="557"/>
    <col min="3330" max="3330" width="6.44140625" style="557" customWidth="1"/>
    <col min="3331" max="3331" width="47.88671875" style="557" customWidth="1"/>
    <col min="3332" max="3333" width="5" style="557" customWidth="1"/>
    <col min="3334" max="3334" width="5.33203125" style="557" customWidth="1"/>
    <col min="3335" max="3335" width="4.88671875" style="557" customWidth="1"/>
    <col min="3336" max="3337" width="4.109375" style="557" customWidth="1"/>
    <col min="3338" max="3338" width="3.5546875" style="557" customWidth="1"/>
    <col min="3339" max="3339" width="5" style="557" customWidth="1"/>
    <col min="3340" max="3340" width="4" style="557" customWidth="1"/>
    <col min="3341" max="3342" width="4.5546875" style="557" customWidth="1"/>
    <col min="3343" max="3343" width="4.109375" style="557" customWidth="1"/>
    <col min="3344" max="3344" width="4" style="557" customWidth="1"/>
    <col min="3345" max="3345" width="3.88671875" style="557" customWidth="1"/>
    <col min="3346" max="3347" width="4.6640625" style="557" customWidth="1"/>
    <col min="3348" max="3348" width="4" style="557" customWidth="1"/>
    <col min="3349" max="3349" width="4.33203125" style="557" customWidth="1"/>
    <col min="3350" max="3350" width="4.109375" style="557" customWidth="1"/>
    <col min="3351" max="3351" width="3.88671875" style="557" customWidth="1"/>
    <col min="3352" max="3352" width="4.109375" style="557" customWidth="1"/>
    <col min="3353" max="3353" width="5.5546875" style="557" customWidth="1"/>
    <col min="3354" max="3354" width="3.5546875" style="557" customWidth="1"/>
    <col min="3355" max="3355" width="4" style="557" customWidth="1"/>
    <col min="3356" max="3356" width="4.5546875" style="557" customWidth="1"/>
    <col min="3357" max="3357" width="4.44140625" style="557" customWidth="1"/>
    <col min="3358" max="3359" width="4.33203125" style="557" customWidth="1"/>
    <col min="3360" max="3361" width="4.88671875" style="557" customWidth="1"/>
    <col min="3362" max="3362" width="4" style="557" customWidth="1"/>
    <col min="3363" max="3363" width="4.6640625" style="557" customWidth="1"/>
    <col min="3364" max="3364" width="6" style="557" customWidth="1"/>
    <col min="3365" max="3365" width="8.88671875" style="557" customWidth="1"/>
    <col min="3366" max="3585" width="11.44140625" style="557"/>
    <col min="3586" max="3586" width="6.44140625" style="557" customWidth="1"/>
    <col min="3587" max="3587" width="47.88671875" style="557" customWidth="1"/>
    <col min="3588" max="3589" width="5" style="557" customWidth="1"/>
    <col min="3590" max="3590" width="5.33203125" style="557" customWidth="1"/>
    <col min="3591" max="3591" width="4.88671875" style="557" customWidth="1"/>
    <col min="3592" max="3593" width="4.109375" style="557" customWidth="1"/>
    <col min="3594" max="3594" width="3.5546875" style="557" customWidth="1"/>
    <col min="3595" max="3595" width="5" style="557" customWidth="1"/>
    <col min="3596" max="3596" width="4" style="557" customWidth="1"/>
    <col min="3597" max="3598" width="4.5546875" style="557" customWidth="1"/>
    <col min="3599" max="3599" width="4.109375" style="557" customWidth="1"/>
    <col min="3600" max="3600" width="4" style="557" customWidth="1"/>
    <col min="3601" max="3601" width="3.88671875" style="557" customWidth="1"/>
    <col min="3602" max="3603" width="4.6640625" style="557" customWidth="1"/>
    <col min="3604" max="3604" width="4" style="557" customWidth="1"/>
    <col min="3605" max="3605" width="4.33203125" style="557" customWidth="1"/>
    <col min="3606" max="3606" width="4.109375" style="557" customWidth="1"/>
    <col min="3607" max="3607" width="3.88671875" style="557" customWidth="1"/>
    <col min="3608" max="3608" width="4.109375" style="557" customWidth="1"/>
    <col min="3609" max="3609" width="5.5546875" style="557" customWidth="1"/>
    <col min="3610" max="3610" width="3.5546875" style="557" customWidth="1"/>
    <col min="3611" max="3611" width="4" style="557" customWidth="1"/>
    <col min="3612" max="3612" width="4.5546875" style="557" customWidth="1"/>
    <col min="3613" max="3613" width="4.44140625" style="557" customWidth="1"/>
    <col min="3614" max="3615" width="4.33203125" style="557" customWidth="1"/>
    <col min="3616" max="3617" width="4.88671875" style="557" customWidth="1"/>
    <col min="3618" max="3618" width="4" style="557" customWidth="1"/>
    <col min="3619" max="3619" width="4.6640625" style="557" customWidth="1"/>
    <col min="3620" max="3620" width="6" style="557" customWidth="1"/>
    <col min="3621" max="3621" width="8.88671875" style="557" customWidth="1"/>
    <col min="3622" max="3841" width="11.44140625" style="557"/>
    <col min="3842" max="3842" width="6.44140625" style="557" customWidth="1"/>
    <col min="3843" max="3843" width="47.88671875" style="557" customWidth="1"/>
    <col min="3844" max="3845" width="5" style="557" customWidth="1"/>
    <col min="3846" max="3846" width="5.33203125" style="557" customWidth="1"/>
    <col min="3847" max="3847" width="4.88671875" style="557" customWidth="1"/>
    <col min="3848" max="3849" width="4.109375" style="557" customWidth="1"/>
    <col min="3850" max="3850" width="3.5546875" style="557" customWidth="1"/>
    <col min="3851" max="3851" width="5" style="557" customWidth="1"/>
    <col min="3852" max="3852" width="4" style="557" customWidth="1"/>
    <col min="3853" max="3854" width="4.5546875" style="557" customWidth="1"/>
    <col min="3855" max="3855" width="4.109375" style="557" customWidth="1"/>
    <col min="3856" max="3856" width="4" style="557" customWidth="1"/>
    <col min="3857" max="3857" width="3.88671875" style="557" customWidth="1"/>
    <col min="3858" max="3859" width="4.6640625" style="557" customWidth="1"/>
    <col min="3860" max="3860" width="4" style="557" customWidth="1"/>
    <col min="3861" max="3861" width="4.33203125" style="557" customWidth="1"/>
    <col min="3862" max="3862" width="4.109375" style="557" customWidth="1"/>
    <col min="3863" max="3863" width="3.88671875" style="557" customWidth="1"/>
    <col min="3864" max="3864" width="4.109375" style="557" customWidth="1"/>
    <col min="3865" max="3865" width="5.5546875" style="557" customWidth="1"/>
    <col min="3866" max="3866" width="3.5546875" style="557" customWidth="1"/>
    <col min="3867" max="3867" width="4" style="557" customWidth="1"/>
    <col min="3868" max="3868" width="4.5546875" style="557" customWidth="1"/>
    <col min="3869" max="3869" width="4.44140625" style="557" customWidth="1"/>
    <col min="3870" max="3871" width="4.33203125" style="557" customWidth="1"/>
    <col min="3872" max="3873" width="4.88671875" style="557" customWidth="1"/>
    <col min="3874" max="3874" width="4" style="557" customWidth="1"/>
    <col min="3875" max="3875" width="4.6640625" style="557" customWidth="1"/>
    <col min="3876" max="3876" width="6" style="557" customWidth="1"/>
    <col min="3877" max="3877" width="8.88671875" style="557" customWidth="1"/>
    <col min="3878" max="4097" width="11.44140625" style="557"/>
    <col min="4098" max="4098" width="6.44140625" style="557" customWidth="1"/>
    <col min="4099" max="4099" width="47.88671875" style="557" customWidth="1"/>
    <col min="4100" max="4101" width="5" style="557" customWidth="1"/>
    <col min="4102" max="4102" width="5.33203125" style="557" customWidth="1"/>
    <col min="4103" max="4103" width="4.88671875" style="557" customWidth="1"/>
    <col min="4104" max="4105" width="4.109375" style="557" customWidth="1"/>
    <col min="4106" max="4106" width="3.5546875" style="557" customWidth="1"/>
    <col min="4107" max="4107" width="5" style="557" customWidth="1"/>
    <col min="4108" max="4108" width="4" style="557" customWidth="1"/>
    <col min="4109" max="4110" width="4.5546875" style="557" customWidth="1"/>
    <col min="4111" max="4111" width="4.109375" style="557" customWidth="1"/>
    <col min="4112" max="4112" width="4" style="557" customWidth="1"/>
    <col min="4113" max="4113" width="3.88671875" style="557" customWidth="1"/>
    <col min="4114" max="4115" width="4.6640625" style="557" customWidth="1"/>
    <col min="4116" max="4116" width="4" style="557" customWidth="1"/>
    <col min="4117" max="4117" width="4.33203125" style="557" customWidth="1"/>
    <col min="4118" max="4118" width="4.109375" style="557" customWidth="1"/>
    <col min="4119" max="4119" width="3.88671875" style="557" customWidth="1"/>
    <col min="4120" max="4120" width="4.109375" style="557" customWidth="1"/>
    <col min="4121" max="4121" width="5.5546875" style="557" customWidth="1"/>
    <col min="4122" max="4122" width="3.5546875" style="557" customWidth="1"/>
    <col min="4123" max="4123" width="4" style="557" customWidth="1"/>
    <col min="4124" max="4124" width="4.5546875" style="557" customWidth="1"/>
    <col min="4125" max="4125" width="4.44140625" style="557" customWidth="1"/>
    <col min="4126" max="4127" width="4.33203125" style="557" customWidth="1"/>
    <col min="4128" max="4129" width="4.88671875" style="557" customWidth="1"/>
    <col min="4130" max="4130" width="4" style="557" customWidth="1"/>
    <col min="4131" max="4131" width="4.6640625" style="557" customWidth="1"/>
    <col min="4132" max="4132" width="6" style="557" customWidth="1"/>
    <col min="4133" max="4133" width="8.88671875" style="557" customWidth="1"/>
    <col min="4134" max="4353" width="11.44140625" style="557"/>
    <col min="4354" max="4354" width="6.44140625" style="557" customWidth="1"/>
    <col min="4355" max="4355" width="47.88671875" style="557" customWidth="1"/>
    <col min="4356" max="4357" width="5" style="557" customWidth="1"/>
    <col min="4358" max="4358" width="5.33203125" style="557" customWidth="1"/>
    <col min="4359" max="4359" width="4.88671875" style="557" customWidth="1"/>
    <col min="4360" max="4361" width="4.109375" style="557" customWidth="1"/>
    <col min="4362" max="4362" width="3.5546875" style="557" customWidth="1"/>
    <col min="4363" max="4363" width="5" style="557" customWidth="1"/>
    <col min="4364" max="4364" width="4" style="557" customWidth="1"/>
    <col min="4365" max="4366" width="4.5546875" style="557" customWidth="1"/>
    <col min="4367" max="4367" width="4.109375" style="557" customWidth="1"/>
    <col min="4368" max="4368" width="4" style="557" customWidth="1"/>
    <col min="4369" max="4369" width="3.88671875" style="557" customWidth="1"/>
    <col min="4370" max="4371" width="4.6640625" style="557" customWidth="1"/>
    <col min="4372" max="4372" width="4" style="557" customWidth="1"/>
    <col min="4373" max="4373" width="4.33203125" style="557" customWidth="1"/>
    <col min="4374" max="4374" width="4.109375" style="557" customWidth="1"/>
    <col min="4375" max="4375" width="3.88671875" style="557" customWidth="1"/>
    <col min="4376" max="4376" width="4.109375" style="557" customWidth="1"/>
    <col min="4377" max="4377" width="5.5546875" style="557" customWidth="1"/>
    <col min="4378" max="4378" width="3.5546875" style="557" customWidth="1"/>
    <col min="4379" max="4379" width="4" style="557" customWidth="1"/>
    <col min="4380" max="4380" width="4.5546875" style="557" customWidth="1"/>
    <col min="4381" max="4381" width="4.44140625" style="557" customWidth="1"/>
    <col min="4382" max="4383" width="4.33203125" style="557" customWidth="1"/>
    <col min="4384" max="4385" width="4.88671875" style="557" customWidth="1"/>
    <col min="4386" max="4386" width="4" style="557" customWidth="1"/>
    <col min="4387" max="4387" width="4.6640625" style="557" customWidth="1"/>
    <col min="4388" max="4388" width="6" style="557" customWidth="1"/>
    <col min="4389" max="4389" width="8.88671875" style="557" customWidth="1"/>
    <col min="4390" max="4609" width="11.44140625" style="557"/>
    <col min="4610" max="4610" width="6.44140625" style="557" customWidth="1"/>
    <col min="4611" max="4611" width="47.88671875" style="557" customWidth="1"/>
    <col min="4612" max="4613" width="5" style="557" customWidth="1"/>
    <col min="4614" max="4614" width="5.33203125" style="557" customWidth="1"/>
    <col min="4615" max="4615" width="4.88671875" style="557" customWidth="1"/>
    <col min="4616" max="4617" width="4.109375" style="557" customWidth="1"/>
    <col min="4618" max="4618" width="3.5546875" style="557" customWidth="1"/>
    <col min="4619" max="4619" width="5" style="557" customWidth="1"/>
    <col min="4620" max="4620" width="4" style="557" customWidth="1"/>
    <col min="4621" max="4622" width="4.5546875" style="557" customWidth="1"/>
    <col min="4623" max="4623" width="4.109375" style="557" customWidth="1"/>
    <col min="4624" max="4624" width="4" style="557" customWidth="1"/>
    <col min="4625" max="4625" width="3.88671875" style="557" customWidth="1"/>
    <col min="4626" max="4627" width="4.6640625" style="557" customWidth="1"/>
    <col min="4628" max="4628" width="4" style="557" customWidth="1"/>
    <col min="4629" max="4629" width="4.33203125" style="557" customWidth="1"/>
    <col min="4630" max="4630" width="4.109375" style="557" customWidth="1"/>
    <col min="4631" max="4631" width="3.88671875" style="557" customWidth="1"/>
    <col min="4632" max="4632" width="4.109375" style="557" customWidth="1"/>
    <col min="4633" max="4633" width="5.5546875" style="557" customWidth="1"/>
    <col min="4634" max="4634" width="3.5546875" style="557" customWidth="1"/>
    <col min="4635" max="4635" width="4" style="557" customWidth="1"/>
    <col min="4636" max="4636" width="4.5546875" style="557" customWidth="1"/>
    <col min="4637" max="4637" width="4.44140625" style="557" customWidth="1"/>
    <col min="4638" max="4639" width="4.33203125" style="557" customWidth="1"/>
    <col min="4640" max="4641" width="4.88671875" style="557" customWidth="1"/>
    <col min="4642" max="4642" width="4" style="557" customWidth="1"/>
    <col min="4643" max="4643" width="4.6640625" style="557" customWidth="1"/>
    <col min="4644" max="4644" width="6" style="557" customWidth="1"/>
    <col min="4645" max="4645" width="8.88671875" style="557" customWidth="1"/>
    <col min="4646" max="4865" width="11.44140625" style="557"/>
    <col min="4866" max="4866" width="6.44140625" style="557" customWidth="1"/>
    <col min="4867" max="4867" width="47.88671875" style="557" customWidth="1"/>
    <col min="4868" max="4869" width="5" style="557" customWidth="1"/>
    <col min="4870" max="4870" width="5.33203125" style="557" customWidth="1"/>
    <col min="4871" max="4871" width="4.88671875" style="557" customWidth="1"/>
    <col min="4872" max="4873" width="4.109375" style="557" customWidth="1"/>
    <col min="4874" max="4874" width="3.5546875" style="557" customWidth="1"/>
    <col min="4875" max="4875" width="5" style="557" customWidth="1"/>
    <col min="4876" max="4876" width="4" style="557" customWidth="1"/>
    <col min="4877" max="4878" width="4.5546875" style="557" customWidth="1"/>
    <col min="4879" max="4879" width="4.109375" style="557" customWidth="1"/>
    <col min="4880" max="4880" width="4" style="557" customWidth="1"/>
    <col min="4881" max="4881" width="3.88671875" style="557" customWidth="1"/>
    <col min="4882" max="4883" width="4.6640625" style="557" customWidth="1"/>
    <col min="4884" max="4884" width="4" style="557" customWidth="1"/>
    <col min="4885" max="4885" width="4.33203125" style="557" customWidth="1"/>
    <col min="4886" max="4886" width="4.109375" style="557" customWidth="1"/>
    <col min="4887" max="4887" width="3.88671875" style="557" customWidth="1"/>
    <col min="4888" max="4888" width="4.109375" style="557" customWidth="1"/>
    <col min="4889" max="4889" width="5.5546875" style="557" customWidth="1"/>
    <col min="4890" max="4890" width="3.5546875" style="557" customWidth="1"/>
    <col min="4891" max="4891" width="4" style="557" customWidth="1"/>
    <col min="4892" max="4892" width="4.5546875" style="557" customWidth="1"/>
    <col min="4893" max="4893" width="4.44140625" style="557" customWidth="1"/>
    <col min="4894" max="4895" width="4.33203125" style="557" customWidth="1"/>
    <col min="4896" max="4897" width="4.88671875" style="557" customWidth="1"/>
    <col min="4898" max="4898" width="4" style="557" customWidth="1"/>
    <col min="4899" max="4899" width="4.6640625" style="557" customWidth="1"/>
    <col min="4900" max="4900" width="6" style="557" customWidth="1"/>
    <col min="4901" max="4901" width="8.88671875" style="557" customWidth="1"/>
    <col min="4902" max="5121" width="11.44140625" style="557"/>
    <col min="5122" max="5122" width="6.44140625" style="557" customWidth="1"/>
    <col min="5123" max="5123" width="47.88671875" style="557" customWidth="1"/>
    <col min="5124" max="5125" width="5" style="557" customWidth="1"/>
    <col min="5126" max="5126" width="5.33203125" style="557" customWidth="1"/>
    <col min="5127" max="5127" width="4.88671875" style="557" customWidth="1"/>
    <col min="5128" max="5129" width="4.109375" style="557" customWidth="1"/>
    <col min="5130" max="5130" width="3.5546875" style="557" customWidth="1"/>
    <col min="5131" max="5131" width="5" style="557" customWidth="1"/>
    <col min="5132" max="5132" width="4" style="557" customWidth="1"/>
    <col min="5133" max="5134" width="4.5546875" style="557" customWidth="1"/>
    <col min="5135" max="5135" width="4.109375" style="557" customWidth="1"/>
    <col min="5136" max="5136" width="4" style="557" customWidth="1"/>
    <col min="5137" max="5137" width="3.88671875" style="557" customWidth="1"/>
    <col min="5138" max="5139" width="4.6640625" style="557" customWidth="1"/>
    <col min="5140" max="5140" width="4" style="557" customWidth="1"/>
    <col min="5141" max="5141" width="4.33203125" style="557" customWidth="1"/>
    <col min="5142" max="5142" width="4.109375" style="557" customWidth="1"/>
    <col min="5143" max="5143" width="3.88671875" style="557" customWidth="1"/>
    <col min="5144" max="5144" width="4.109375" style="557" customWidth="1"/>
    <col min="5145" max="5145" width="5.5546875" style="557" customWidth="1"/>
    <col min="5146" max="5146" width="3.5546875" style="557" customWidth="1"/>
    <col min="5147" max="5147" width="4" style="557" customWidth="1"/>
    <col min="5148" max="5148" width="4.5546875" style="557" customWidth="1"/>
    <col min="5149" max="5149" width="4.44140625" style="557" customWidth="1"/>
    <col min="5150" max="5151" width="4.33203125" style="557" customWidth="1"/>
    <col min="5152" max="5153" width="4.88671875" style="557" customWidth="1"/>
    <col min="5154" max="5154" width="4" style="557" customWidth="1"/>
    <col min="5155" max="5155" width="4.6640625" style="557" customWidth="1"/>
    <col min="5156" max="5156" width="6" style="557" customWidth="1"/>
    <col min="5157" max="5157" width="8.88671875" style="557" customWidth="1"/>
    <col min="5158" max="5377" width="11.44140625" style="557"/>
    <col min="5378" max="5378" width="6.44140625" style="557" customWidth="1"/>
    <col min="5379" max="5379" width="47.88671875" style="557" customWidth="1"/>
    <col min="5380" max="5381" width="5" style="557" customWidth="1"/>
    <col min="5382" max="5382" width="5.33203125" style="557" customWidth="1"/>
    <col min="5383" max="5383" width="4.88671875" style="557" customWidth="1"/>
    <col min="5384" max="5385" width="4.109375" style="557" customWidth="1"/>
    <col min="5386" max="5386" width="3.5546875" style="557" customWidth="1"/>
    <col min="5387" max="5387" width="5" style="557" customWidth="1"/>
    <col min="5388" max="5388" width="4" style="557" customWidth="1"/>
    <col min="5389" max="5390" width="4.5546875" style="557" customWidth="1"/>
    <col min="5391" max="5391" width="4.109375" style="557" customWidth="1"/>
    <col min="5392" max="5392" width="4" style="557" customWidth="1"/>
    <col min="5393" max="5393" width="3.88671875" style="557" customWidth="1"/>
    <col min="5394" max="5395" width="4.6640625" style="557" customWidth="1"/>
    <col min="5396" max="5396" width="4" style="557" customWidth="1"/>
    <col min="5397" max="5397" width="4.33203125" style="557" customWidth="1"/>
    <col min="5398" max="5398" width="4.109375" style="557" customWidth="1"/>
    <col min="5399" max="5399" width="3.88671875" style="557" customWidth="1"/>
    <col min="5400" max="5400" width="4.109375" style="557" customWidth="1"/>
    <col min="5401" max="5401" width="5.5546875" style="557" customWidth="1"/>
    <col min="5402" max="5402" width="3.5546875" style="557" customWidth="1"/>
    <col min="5403" max="5403" width="4" style="557" customWidth="1"/>
    <col min="5404" max="5404" width="4.5546875" style="557" customWidth="1"/>
    <col min="5405" max="5405" width="4.44140625" style="557" customWidth="1"/>
    <col min="5406" max="5407" width="4.33203125" style="557" customWidth="1"/>
    <col min="5408" max="5409" width="4.88671875" style="557" customWidth="1"/>
    <col min="5410" max="5410" width="4" style="557" customWidth="1"/>
    <col min="5411" max="5411" width="4.6640625" style="557" customWidth="1"/>
    <col min="5412" max="5412" width="6" style="557" customWidth="1"/>
    <col min="5413" max="5413" width="8.88671875" style="557" customWidth="1"/>
    <col min="5414" max="5633" width="11.44140625" style="557"/>
    <col min="5634" max="5634" width="6.44140625" style="557" customWidth="1"/>
    <col min="5635" max="5635" width="47.88671875" style="557" customWidth="1"/>
    <col min="5636" max="5637" width="5" style="557" customWidth="1"/>
    <col min="5638" max="5638" width="5.33203125" style="557" customWidth="1"/>
    <col min="5639" max="5639" width="4.88671875" style="557" customWidth="1"/>
    <col min="5640" max="5641" width="4.109375" style="557" customWidth="1"/>
    <col min="5642" max="5642" width="3.5546875" style="557" customWidth="1"/>
    <col min="5643" max="5643" width="5" style="557" customWidth="1"/>
    <col min="5644" max="5644" width="4" style="557" customWidth="1"/>
    <col min="5645" max="5646" width="4.5546875" style="557" customWidth="1"/>
    <col min="5647" max="5647" width="4.109375" style="557" customWidth="1"/>
    <col min="5648" max="5648" width="4" style="557" customWidth="1"/>
    <col min="5649" max="5649" width="3.88671875" style="557" customWidth="1"/>
    <col min="5650" max="5651" width="4.6640625" style="557" customWidth="1"/>
    <col min="5652" max="5652" width="4" style="557" customWidth="1"/>
    <col min="5653" max="5653" width="4.33203125" style="557" customWidth="1"/>
    <col min="5654" max="5654" width="4.109375" style="557" customWidth="1"/>
    <col min="5655" max="5655" width="3.88671875" style="557" customWidth="1"/>
    <col min="5656" max="5656" width="4.109375" style="557" customWidth="1"/>
    <col min="5657" max="5657" width="5.5546875" style="557" customWidth="1"/>
    <col min="5658" max="5658" width="3.5546875" style="557" customWidth="1"/>
    <col min="5659" max="5659" width="4" style="557" customWidth="1"/>
    <col min="5660" max="5660" width="4.5546875" style="557" customWidth="1"/>
    <col min="5661" max="5661" width="4.44140625" style="557" customWidth="1"/>
    <col min="5662" max="5663" width="4.33203125" style="557" customWidth="1"/>
    <col min="5664" max="5665" width="4.88671875" style="557" customWidth="1"/>
    <col min="5666" max="5666" width="4" style="557" customWidth="1"/>
    <col min="5667" max="5667" width="4.6640625" style="557" customWidth="1"/>
    <col min="5668" max="5668" width="6" style="557" customWidth="1"/>
    <col min="5669" max="5669" width="8.88671875" style="557" customWidth="1"/>
    <col min="5670" max="5889" width="11.44140625" style="557"/>
    <col min="5890" max="5890" width="6.44140625" style="557" customWidth="1"/>
    <col min="5891" max="5891" width="47.88671875" style="557" customWidth="1"/>
    <col min="5892" max="5893" width="5" style="557" customWidth="1"/>
    <col min="5894" max="5894" width="5.33203125" style="557" customWidth="1"/>
    <col min="5895" max="5895" width="4.88671875" style="557" customWidth="1"/>
    <col min="5896" max="5897" width="4.109375" style="557" customWidth="1"/>
    <col min="5898" max="5898" width="3.5546875" style="557" customWidth="1"/>
    <col min="5899" max="5899" width="5" style="557" customWidth="1"/>
    <col min="5900" max="5900" width="4" style="557" customWidth="1"/>
    <col min="5901" max="5902" width="4.5546875" style="557" customWidth="1"/>
    <col min="5903" max="5903" width="4.109375" style="557" customWidth="1"/>
    <col min="5904" max="5904" width="4" style="557" customWidth="1"/>
    <col min="5905" max="5905" width="3.88671875" style="557" customWidth="1"/>
    <col min="5906" max="5907" width="4.6640625" style="557" customWidth="1"/>
    <col min="5908" max="5908" width="4" style="557" customWidth="1"/>
    <col min="5909" max="5909" width="4.33203125" style="557" customWidth="1"/>
    <col min="5910" max="5910" width="4.109375" style="557" customWidth="1"/>
    <col min="5911" max="5911" width="3.88671875" style="557" customWidth="1"/>
    <col min="5912" max="5912" width="4.109375" style="557" customWidth="1"/>
    <col min="5913" max="5913" width="5.5546875" style="557" customWidth="1"/>
    <col min="5914" max="5914" width="3.5546875" style="557" customWidth="1"/>
    <col min="5915" max="5915" width="4" style="557" customWidth="1"/>
    <col min="5916" max="5916" width="4.5546875" style="557" customWidth="1"/>
    <col min="5917" max="5917" width="4.44140625" style="557" customWidth="1"/>
    <col min="5918" max="5919" width="4.33203125" style="557" customWidth="1"/>
    <col min="5920" max="5921" width="4.88671875" style="557" customWidth="1"/>
    <col min="5922" max="5922" width="4" style="557" customWidth="1"/>
    <col min="5923" max="5923" width="4.6640625" style="557" customWidth="1"/>
    <col min="5924" max="5924" width="6" style="557" customWidth="1"/>
    <col min="5925" max="5925" width="8.88671875" style="557" customWidth="1"/>
    <col min="5926" max="6145" width="11.44140625" style="557"/>
    <col min="6146" max="6146" width="6.44140625" style="557" customWidth="1"/>
    <col min="6147" max="6147" width="47.88671875" style="557" customWidth="1"/>
    <col min="6148" max="6149" width="5" style="557" customWidth="1"/>
    <col min="6150" max="6150" width="5.33203125" style="557" customWidth="1"/>
    <col min="6151" max="6151" width="4.88671875" style="557" customWidth="1"/>
    <col min="6152" max="6153" width="4.109375" style="557" customWidth="1"/>
    <col min="6154" max="6154" width="3.5546875" style="557" customWidth="1"/>
    <col min="6155" max="6155" width="5" style="557" customWidth="1"/>
    <col min="6156" max="6156" width="4" style="557" customWidth="1"/>
    <col min="6157" max="6158" width="4.5546875" style="557" customWidth="1"/>
    <col min="6159" max="6159" width="4.109375" style="557" customWidth="1"/>
    <col min="6160" max="6160" width="4" style="557" customWidth="1"/>
    <col min="6161" max="6161" width="3.88671875" style="557" customWidth="1"/>
    <col min="6162" max="6163" width="4.6640625" style="557" customWidth="1"/>
    <col min="6164" max="6164" width="4" style="557" customWidth="1"/>
    <col min="6165" max="6165" width="4.33203125" style="557" customWidth="1"/>
    <col min="6166" max="6166" width="4.109375" style="557" customWidth="1"/>
    <col min="6167" max="6167" width="3.88671875" style="557" customWidth="1"/>
    <col min="6168" max="6168" width="4.109375" style="557" customWidth="1"/>
    <col min="6169" max="6169" width="5.5546875" style="557" customWidth="1"/>
    <col min="6170" max="6170" width="3.5546875" style="557" customWidth="1"/>
    <col min="6171" max="6171" width="4" style="557" customWidth="1"/>
    <col min="6172" max="6172" width="4.5546875" style="557" customWidth="1"/>
    <col min="6173" max="6173" width="4.44140625" style="557" customWidth="1"/>
    <col min="6174" max="6175" width="4.33203125" style="557" customWidth="1"/>
    <col min="6176" max="6177" width="4.88671875" style="557" customWidth="1"/>
    <col min="6178" max="6178" width="4" style="557" customWidth="1"/>
    <col min="6179" max="6179" width="4.6640625" style="557" customWidth="1"/>
    <col min="6180" max="6180" width="6" style="557" customWidth="1"/>
    <col min="6181" max="6181" width="8.88671875" style="557" customWidth="1"/>
    <col min="6182" max="6401" width="11.44140625" style="557"/>
    <col min="6402" max="6402" width="6.44140625" style="557" customWidth="1"/>
    <col min="6403" max="6403" width="47.88671875" style="557" customWidth="1"/>
    <col min="6404" max="6405" width="5" style="557" customWidth="1"/>
    <col min="6406" max="6406" width="5.33203125" style="557" customWidth="1"/>
    <col min="6407" max="6407" width="4.88671875" style="557" customWidth="1"/>
    <col min="6408" max="6409" width="4.109375" style="557" customWidth="1"/>
    <col min="6410" max="6410" width="3.5546875" style="557" customWidth="1"/>
    <col min="6411" max="6411" width="5" style="557" customWidth="1"/>
    <col min="6412" max="6412" width="4" style="557" customWidth="1"/>
    <col min="6413" max="6414" width="4.5546875" style="557" customWidth="1"/>
    <col min="6415" max="6415" width="4.109375" style="557" customWidth="1"/>
    <col min="6416" max="6416" width="4" style="557" customWidth="1"/>
    <col min="6417" max="6417" width="3.88671875" style="557" customWidth="1"/>
    <col min="6418" max="6419" width="4.6640625" style="557" customWidth="1"/>
    <col min="6420" max="6420" width="4" style="557" customWidth="1"/>
    <col min="6421" max="6421" width="4.33203125" style="557" customWidth="1"/>
    <col min="6422" max="6422" width="4.109375" style="557" customWidth="1"/>
    <col min="6423" max="6423" width="3.88671875" style="557" customWidth="1"/>
    <col min="6424" max="6424" width="4.109375" style="557" customWidth="1"/>
    <col min="6425" max="6425" width="5.5546875" style="557" customWidth="1"/>
    <col min="6426" max="6426" width="3.5546875" style="557" customWidth="1"/>
    <col min="6427" max="6427" width="4" style="557" customWidth="1"/>
    <col min="6428" max="6428" width="4.5546875" style="557" customWidth="1"/>
    <col min="6429" max="6429" width="4.44140625" style="557" customWidth="1"/>
    <col min="6430" max="6431" width="4.33203125" style="557" customWidth="1"/>
    <col min="6432" max="6433" width="4.88671875" style="557" customWidth="1"/>
    <col min="6434" max="6434" width="4" style="557" customWidth="1"/>
    <col min="6435" max="6435" width="4.6640625" style="557" customWidth="1"/>
    <col min="6436" max="6436" width="6" style="557" customWidth="1"/>
    <col min="6437" max="6437" width="8.88671875" style="557" customWidth="1"/>
    <col min="6438" max="6657" width="11.44140625" style="557"/>
    <col min="6658" max="6658" width="6.44140625" style="557" customWidth="1"/>
    <col min="6659" max="6659" width="47.88671875" style="557" customWidth="1"/>
    <col min="6660" max="6661" width="5" style="557" customWidth="1"/>
    <col min="6662" max="6662" width="5.33203125" style="557" customWidth="1"/>
    <col min="6663" max="6663" width="4.88671875" style="557" customWidth="1"/>
    <col min="6664" max="6665" width="4.109375" style="557" customWidth="1"/>
    <col min="6666" max="6666" width="3.5546875" style="557" customWidth="1"/>
    <col min="6667" max="6667" width="5" style="557" customWidth="1"/>
    <col min="6668" max="6668" width="4" style="557" customWidth="1"/>
    <col min="6669" max="6670" width="4.5546875" style="557" customWidth="1"/>
    <col min="6671" max="6671" width="4.109375" style="557" customWidth="1"/>
    <col min="6672" max="6672" width="4" style="557" customWidth="1"/>
    <col min="6673" max="6673" width="3.88671875" style="557" customWidth="1"/>
    <col min="6674" max="6675" width="4.6640625" style="557" customWidth="1"/>
    <col min="6676" max="6676" width="4" style="557" customWidth="1"/>
    <col min="6677" max="6677" width="4.33203125" style="557" customWidth="1"/>
    <col min="6678" max="6678" width="4.109375" style="557" customWidth="1"/>
    <col min="6679" max="6679" width="3.88671875" style="557" customWidth="1"/>
    <col min="6680" max="6680" width="4.109375" style="557" customWidth="1"/>
    <col min="6681" max="6681" width="5.5546875" style="557" customWidth="1"/>
    <col min="6682" max="6682" width="3.5546875" style="557" customWidth="1"/>
    <col min="6683" max="6683" width="4" style="557" customWidth="1"/>
    <col min="6684" max="6684" width="4.5546875" style="557" customWidth="1"/>
    <col min="6685" max="6685" width="4.44140625" style="557" customWidth="1"/>
    <col min="6686" max="6687" width="4.33203125" style="557" customWidth="1"/>
    <col min="6688" max="6689" width="4.88671875" style="557" customWidth="1"/>
    <col min="6690" max="6690" width="4" style="557" customWidth="1"/>
    <col min="6691" max="6691" width="4.6640625" style="557" customWidth="1"/>
    <col min="6692" max="6692" width="6" style="557" customWidth="1"/>
    <col min="6693" max="6693" width="8.88671875" style="557" customWidth="1"/>
    <col min="6694" max="6913" width="11.44140625" style="557"/>
    <col min="6914" max="6914" width="6.44140625" style="557" customWidth="1"/>
    <col min="6915" max="6915" width="47.88671875" style="557" customWidth="1"/>
    <col min="6916" max="6917" width="5" style="557" customWidth="1"/>
    <col min="6918" max="6918" width="5.33203125" style="557" customWidth="1"/>
    <col min="6919" max="6919" width="4.88671875" style="557" customWidth="1"/>
    <col min="6920" max="6921" width="4.109375" style="557" customWidth="1"/>
    <col min="6922" max="6922" width="3.5546875" style="557" customWidth="1"/>
    <col min="6923" max="6923" width="5" style="557" customWidth="1"/>
    <col min="6924" max="6924" width="4" style="557" customWidth="1"/>
    <col min="6925" max="6926" width="4.5546875" style="557" customWidth="1"/>
    <col min="6927" max="6927" width="4.109375" style="557" customWidth="1"/>
    <col min="6928" max="6928" width="4" style="557" customWidth="1"/>
    <col min="6929" max="6929" width="3.88671875" style="557" customWidth="1"/>
    <col min="6930" max="6931" width="4.6640625" style="557" customWidth="1"/>
    <col min="6932" max="6932" width="4" style="557" customWidth="1"/>
    <col min="6933" max="6933" width="4.33203125" style="557" customWidth="1"/>
    <col min="6934" max="6934" width="4.109375" style="557" customWidth="1"/>
    <col min="6935" max="6935" width="3.88671875" style="557" customWidth="1"/>
    <col min="6936" max="6936" width="4.109375" style="557" customWidth="1"/>
    <col min="6937" max="6937" width="5.5546875" style="557" customWidth="1"/>
    <col min="6938" max="6938" width="3.5546875" style="557" customWidth="1"/>
    <col min="6939" max="6939" width="4" style="557" customWidth="1"/>
    <col min="6940" max="6940" width="4.5546875" style="557" customWidth="1"/>
    <col min="6941" max="6941" width="4.44140625" style="557" customWidth="1"/>
    <col min="6942" max="6943" width="4.33203125" style="557" customWidth="1"/>
    <col min="6944" max="6945" width="4.88671875" style="557" customWidth="1"/>
    <col min="6946" max="6946" width="4" style="557" customWidth="1"/>
    <col min="6947" max="6947" width="4.6640625" style="557" customWidth="1"/>
    <col min="6948" max="6948" width="6" style="557" customWidth="1"/>
    <col min="6949" max="6949" width="8.88671875" style="557" customWidth="1"/>
    <col min="6950" max="7169" width="11.44140625" style="557"/>
    <col min="7170" max="7170" width="6.44140625" style="557" customWidth="1"/>
    <col min="7171" max="7171" width="47.88671875" style="557" customWidth="1"/>
    <col min="7172" max="7173" width="5" style="557" customWidth="1"/>
    <col min="7174" max="7174" width="5.33203125" style="557" customWidth="1"/>
    <col min="7175" max="7175" width="4.88671875" style="557" customWidth="1"/>
    <col min="7176" max="7177" width="4.109375" style="557" customWidth="1"/>
    <col min="7178" max="7178" width="3.5546875" style="557" customWidth="1"/>
    <col min="7179" max="7179" width="5" style="557" customWidth="1"/>
    <col min="7180" max="7180" width="4" style="557" customWidth="1"/>
    <col min="7181" max="7182" width="4.5546875" style="557" customWidth="1"/>
    <col min="7183" max="7183" width="4.109375" style="557" customWidth="1"/>
    <col min="7184" max="7184" width="4" style="557" customWidth="1"/>
    <col min="7185" max="7185" width="3.88671875" style="557" customWidth="1"/>
    <col min="7186" max="7187" width="4.6640625" style="557" customWidth="1"/>
    <col min="7188" max="7188" width="4" style="557" customWidth="1"/>
    <col min="7189" max="7189" width="4.33203125" style="557" customWidth="1"/>
    <col min="7190" max="7190" width="4.109375" style="557" customWidth="1"/>
    <col min="7191" max="7191" width="3.88671875" style="557" customWidth="1"/>
    <col min="7192" max="7192" width="4.109375" style="557" customWidth="1"/>
    <col min="7193" max="7193" width="5.5546875" style="557" customWidth="1"/>
    <col min="7194" max="7194" width="3.5546875" style="557" customWidth="1"/>
    <col min="7195" max="7195" width="4" style="557" customWidth="1"/>
    <col min="7196" max="7196" width="4.5546875" style="557" customWidth="1"/>
    <col min="7197" max="7197" width="4.44140625" style="557" customWidth="1"/>
    <col min="7198" max="7199" width="4.33203125" style="557" customWidth="1"/>
    <col min="7200" max="7201" width="4.88671875" style="557" customWidth="1"/>
    <col min="7202" max="7202" width="4" style="557" customWidth="1"/>
    <col min="7203" max="7203" width="4.6640625" style="557" customWidth="1"/>
    <col min="7204" max="7204" width="6" style="557" customWidth="1"/>
    <col min="7205" max="7205" width="8.88671875" style="557" customWidth="1"/>
    <col min="7206" max="7425" width="11.44140625" style="557"/>
    <col min="7426" max="7426" width="6.44140625" style="557" customWidth="1"/>
    <col min="7427" max="7427" width="47.88671875" style="557" customWidth="1"/>
    <col min="7428" max="7429" width="5" style="557" customWidth="1"/>
    <col min="7430" max="7430" width="5.33203125" style="557" customWidth="1"/>
    <col min="7431" max="7431" width="4.88671875" style="557" customWidth="1"/>
    <col min="7432" max="7433" width="4.109375" style="557" customWidth="1"/>
    <col min="7434" max="7434" width="3.5546875" style="557" customWidth="1"/>
    <col min="7435" max="7435" width="5" style="557" customWidth="1"/>
    <col min="7436" max="7436" width="4" style="557" customWidth="1"/>
    <col min="7437" max="7438" width="4.5546875" style="557" customWidth="1"/>
    <col min="7439" max="7439" width="4.109375" style="557" customWidth="1"/>
    <col min="7440" max="7440" width="4" style="557" customWidth="1"/>
    <col min="7441" max="7441" width="3.88671875" style="557" customWidth="1"/>
    <col min="7442" max="7443" width="4.6640625" style="557" customWidth="1"/>
    <col min="7444" max="7444" width="4" style="557" customWidth="1"/>
    <col min="7445" max="7445" width="4.33203125" style="557" customWidth="1"/>
    <col min="7446" max="7446" width="4.109375" style="557" customWidth="1"/>
    <col min="7447" max="7447" width="3.88671875" style="557" customWidth="1"/>
    <col min="7448" max="7448" width="4.109375" style="557" customWidth="1"/>
    <col min="7449" max="7449" width="5.5546875" style="557" customWidth="1"/>
    <col min="7450" max="7450" width="3.5546875" style="557" customWidth="1"/>
    <col min="7451" max="7451" width="4" style="557" customWidth="1"/>
    <col min="7452" max="7452" width="4.5546875" style="557" customWidth="1"/>
    <col min="7453" max="7453" width="4.44140625" style="557" customWidth="1"/>
    <col min="7454" max="7455" width="4.33203125" style="557" customWidth="1"/>
    <col min="7456" max="7457" width="4.88671875" style="557" customWidth="1"/>
    <col min="7458" max="7458" width="4" style="557" customWidth="1"/>
    <col min="7459" max="7459" width="4.6640625" style="557" customWidth="1"/>
    <col min="7460" max="7460" width="6" style="557" customWidth="1"/>
    <col min="7461" max="7461" width="8.88671875" style="557" customWidth="1"/>
    <col min="7462" max="7681" width="11.44140625" style="557"/>
    <col min="7682" max="7682" width="6.44140625" style="557" customWidth="1"/>
    <col min="7683" max="7683" width="47.88671875" style="557" customWidth="1"/>
    <col min="7684" max="7685" width="5" style="557" customWidth="1"/>
    <col min="7686" max="7686" width="5.33203125" style="557" customWidth="1"/>
    <col min="7687" max="7687" width="4.88671875" style="557" customWidth="1"/>
    <col min="7688" max="7689" width="4.109375" style="557" customWidth="1"/>
    <col min="7690" max="7690" width="3.5546875" style="557" customWidth="1"/>
    <col min="7691" max="7691" width="5" style="557" customWidth="1"/>
    <col min="7692" max="7692" width="4" style="557" customWidth="1"/>
    <col min="7693" max="7694" width="4.5546875" style="557" customWidth="1"/>
    <col min="7695" max="7695" width="4.109375" style="557" customWidth="1"/>
    <col min="7696" max="7696" width="4" style="557" customWidth="1"/>
    <col min="7697" max="7697" width="3.88671875" style="557" customWidth="1"/>
    <col min="7698" max="7699" width="4.6640625" style="557" customWidth="1"/>
    <col min="7700" max="7700" width="4" style="557" customWidth="1"/>
    <col min="7701" max="7701" width="4.33203125" style="557" customWidth="1"/>
    <col min="7702" max="7702" width="4.109375" style="557" customWidth="1"/>
    <col min="7703" max="7703" width="3.88671875" style="557" customWidth="1"/>
    <col min="7704" max="7704" width="4.109375" style="557" customWidth="1"/>
    <col min="7705" max="7705" width="5.5546875" style="557" customWidth="1"/>
    <col min="7706" max="7706" width="3.5546875" style="557" customWidth="1"/>
    <col min="7707" max="7707" width="4" style="557" customWidth="1"/>
    <col min="7708" max="7708" width="4.5546875" style="557" customWidth="1"/>
    <col min="7709" max="7709" width="4.44140625" style="557" customWidth="1"/>
    <col min="7710" max="7711" width="4.33203125" style="557" customWidth="1"/>
    <col min="7712" max="7713" width="4.88671875" style="557" customWidth="1"/>
    <col min="7714" max="7714" width="4" style="557" customWidth="1"/>
    <col min="7715" max="7715" width="4.6640625" style="557" customWidth="1"/>
    <col min="7716" max="7716" width="6" style="557" customWidth="1"/>
    <col min="7717" max="7717" width="8.88671875" style="557" customWidth="1"/>
    <col min="7718" max="7937" width="11.44140625" style="557"/>
    <col min="7938" max="7938" width="6.44140625" style="557" customWidth="1"/>
    <col min="7939" max="7939" width="47.88671875" style="557" customWidth="1"/>
    <col min="7940" max="7941" width="5" style="557" customWidth="1"/>
    <col min="7942" max="7942" width="5.33203125" style="557" customWidth="1"/>
    <col min="7943" max="7943" width="4.88671875" style="557" customWidth="1"/>
    <col min="7944" max="7945" width="4.109375" style="557" customWidth="1"/>
    <col min="7946" max="7946" width="3.5546875" style="557" customWidth="1"/>
    <col min="7947" max="7947" width="5" style="557" customWidth="1"/>
    <col min="7948" max="7948" width="4" style="557" customWidth="1"/>
    <col min="7949" max="7950" width="4.5546875" style="557" customWidth="1"/>
    <col min="7951" max="7951" width="4.109375" style="557" customWidth="1"/>
    <col min="7952" max="7952" width="4" style="557" customWidth="1"/>
    <col min="7953" max="7953" width="3.88671875" style="557" customWidth="1"/>
    <col min="7954" max="7955" width="4.6640625" style="557" customWidth="1"/>
    <col min="7956" max="7956" width="4" style="557" customWidth="1"/>
    <col min="7957" max="7957" width="4.33203125" style="557" customWidth="1"/>
    <col min="7958" max="7958" width="4.109375" style="557" customWidth="1"/>
    <col min="7959" max="7959" width="3.88671875" style="557" customWidth="1"/>
    <col min="7960" max="7960" width="4.109375" style="557" customWidth="1"/>
    <col min="7961" max="7961" width="5.5546875" style="557" customWidth="1"/>
    <col min="7962" max="7962" width="3.5546875" style="557" customWidth="1"/>
    <col min="7963" max="7963" width="4" style="557" customWidth="1"/>
    <col min="7964" max="7964" width="4.5546875" style="557" customWidth="1"/>
    <col min="7965" max="7965" width="4.44140625" style="557" customWidth="1"/>
    <col min="7966" max="7967" width="4.33203125" style="557" customWidth="1"/>
    <col min="7968" max="7969" width="4.88671875" style="557" customWidth="1"/>
    <col min="7970" max="7970" width="4" style="557" customWidth="1"/>
    <col min="7971" max="7971" width="4.6640625" style="557" customWidth="1"/>
    <col min="7972" max="7972" width="6" style="557" customWidth="1"/>
    <col min="7973" max="7973" width="8.88671875" style="557" customWidth="1"/>
    <col min="7974" max="8193" width="11.44140625" style="557"/>
    <col min="8194" max="8194" width="6.44140625" style="557" customWidth="1"/>
    <col min="8195" max="8195" width="47.88671875" style="557" customWidth="1"/>
    <col min="8196" max="8197" width="5" style="557" customWidth="1"/>
    <col min="8198" max="8198" width="5.33203125" style="557" customWidth="1"/>
    <col min="8199" max="8199" width="4.88671875" style="557" customWidth="1"/>
    <col min="8200" max="8201" width="4.109375" style="557" customWidth="1"/>
    <col min="8202" max="8202" width="3.5546875" style="557" customWidth="1"/>
    <col min="8203" max="8203" width="5" style="557" customWidth="1"/>
    <col min="8204" max="8204" width="4" style="557" customWidth="1"/>
    <col min="8205" max="8206" width="4.5546875" style="557" customWidth="1"/>
    <col min="8207" max="8207" width="4.109375" style="557" customWidth="1"/>
    <col min="8208" max="8208" width="4" style="557" customWidth="1"/>
    <col min="8209" max="8209" width="3.88671875" style="557" customWidth="1"/>
    <col min="8210" max="8211" width="4.6640625" style="557" customWidth="1"/>
    <col min="8212" max="8212" width="4" style="557" customWidth="1"/>
    <col min="8213" max="8213" width="4.33203125" style="557" customWidth="1"/>
    <col min="8214" max="8214" width="4.109375" style="557" customWidth="1"/>
    <col min="8215" max="8215" width="3.88671875" style="557" customWidth="1"/>
    <col min="8216" max="8216" width="4.109375" style="557" customWidth="1"/>
    <col min="8217" max="8217" width="5.5546875" style="557" customWidth="1"/>
    <col min="8218" max="8218" width="3.5546875" style="557" customWidth="1"/>
    <col min="8219" max="8219" width="4" style="557" customWidth="1"/>
    <col min="8220" max="8220" width="4.5546875" style="557" customWidth="1"/>
    <col min="8221" max="8221" width="4.44140625" style="557" customWidth="1"/>
    <col min="8222" max="8223" width="4.33203125" style="557" customWidth="1"/>
    <col min="8224" max="8225" width="4.88671875" style="557" customWidth="1"/>
    <col min="8226" max="8226" width="4" style="557" customWidth="1"/>
    <col min="8227" max="8227" width="4.6640625" style="557" customWidth="1"/>
    <col min="8228" max="8228" width="6" style="557" customWidth="1"/>
    <col min="8229" max="8229" width="8.88671875" style="557" customWidth="1"/>
    <col min="8230" max="8449" width="11.44140625" style="557"/>
    <col min="8450" max="8450" width="6.44140625" style="557" customWidth="1"/>
    <col min="8451" max="8451" width="47.88671875" style="557" customWidth="1"/>
    <col min="8452" max="8453" width="5" style="557" customWidth="1"/>
    <col min="8454" max="8454" width="5.33203125" style="557" customWidth="1"/>
    <col min="8455" max="8455" width="4.88671875" style="557" customWidth="1"/>
    <col min="8456" max="8457" width="4.109375" style="557" customWidth="1"/>
    <col min="8458" max="8458" width="3.5546875" style="557" customWidth="1"/>
    <col min="8459" max="8459" width="5" style="557" customWidth="1"/>
    <col min="8460" max="8460" width="4" style="557" customWidth="1"/>
    <col min="8461" max="8462" width="4.5546875" style="557" customWidth="1"/>
    <col min="8463" max="8463" width="4.109375" style="557" customWidth="1"/>
    <col min="8464" max="8464" width="4" style="557" customWidth="1"/>
    <col min="8465" max="8465" width="3.88671875" style="557" customWidth="1"/>
    <col min="8466" max="8467" width="4.6640625" style="557" customWidth="1"/>
    <col min="8468" max="8468" width="4" style="557" customWidth="1"/>
    <col min="8469" max="8469" width="4.33203125" style="557" customWidth="1"/>
    <col min="8470" max="8470" width="4.109375" style="557" customWidth="1"/>
    <col min="8471" max="8471" width="3.88671875" style="557" customWidth="1"/>
    <col min="8472" max="8472" width="4.109375" style="557" customWidth="1"/>
    <col min="8473" max="8473" width="5.5546875" style="557" customWidth="1"/>
    <col min="8474" max="8474" width="3.5546875" style="557" customWidth="1"/>
    <col min="8475" max="8475" width="4" style="557" customWidth="1"/>
    <col min="8476" max="8476" width="4.5546875" style="557" customWidth="1"/>
    <col min="8477" max="8477" width="4.44140625" style="557" customWidth="1"/>
    <col min="8478" max="8479" width="4.33203125" style="557" customWidth="1"/>
    <col min="8480" max="8481" width="4.88671875" style="557" customWidth="1"/>
    <col min="8482" max="8482" width="4" style="557" customWidth="1"/>
    <col min="8483" max="8483" width="4.6640625" style="557" customWidth="1"/>
    <col min="8484" max="8484" width="6" style="557" customWidth="1"/>
    <col min="8485" max="8485" width="8.88671875" style="557" customWidth="1"/>
    <col min="8486" max="8705" width="11.44140625" style="557"/>
    <col min="8706" max="8706" width="6.44140625" style="557" customWidth="1"/>
    <col min="8707" max="8707" width="47.88671875" style="557" customWidth="1"/>
    <col min="8708" max="8709" width="5" style="557" customWidth="1"/>
    <col min="8710" max="8710" width="5.33203125" style="557" customWidth="1"/>
    <col min="8711" max="8711" width="4.88671875" style="557" customWidth="1"/>
    <col min="8712" max="8713" width="4.109375" style="557" customWidth="1"/>
    <col min="8714" max="8714" width="3.5546875" style="557" customWidth="1"/>
    <col min="8715" max="8715" width="5" style="557" customWidth="1"/>
    <col min="8716" max="8716" width="4" style="557" customWidth="1"/>
    <col min="8717" max="8718" width="4.5546875" style="557" customWidth="1"/>
    <col min="8719" max="8719" width="4.109375" style="557" customWidth="1"/>
    <col min="8720" max="8720" width="4" style="557" customWidth="1"/>
    <col min="8721" max="8721" width="3.88671875" style="557" customWidth="1"/>
    <col min="8722" max="8723" width="4.6640625" style="557" customWidth="1"/>
    <col min="8724" max="8724" width="4" style="557" customWidth="1"/>
    <col min="8725" max="8725" width="4.33203125" style="557" customWidth="1"/>
    <col min="8726" max="8726" width="4.109375" style="557" customWidth="1"/>
    <col min="8727" max="8727" width="3.88671875" style="557" customWidth="1"/>
    <col min="8728" max="8728" width="4.109375" style="557" customWidth="1"/>
    <col min="8729" max="8729" width="5.5546875" style="557" customWidth="1"/>
    <col min="8730" max="8730" width="3.5546875" style="557" customWidth="1"/>
    <col min="8731" max="8731" width="4" style="557" customWidth="1"/>
    <col min="8732" max="8732" width="4.5546875" style="557" customWidth="1"/>
    <col min="8733" max="8733" width="4.44140625" style="557" customWidth="1"/>
    <col min="8734" max="8735" width="4.33203125" style="557" customWidth="1"/>
    <col min="8736" max="8737" width="4.88671875" style="557" customWidth="1"/>
    <col min="8738" max="8738" width="4" style="557" customWidth="1"/>
    <col min="8739" max="8739" width="4.6640625" style="557" customWidth="1"/>
    <col min="8740" max="8740" width="6" style="557" customWidth="1"/>
    <col min="8741" max="8741" width="8.88671875" style="557" customWidth="1"/>
    <col min="8742" max="8961" width="11.44140625" style="557"/>
    <col min="8962" max="8962" width="6.44140625" style="557" customWidth="1"/>
    <col min="8963" max="8963" width="47.88671875" style="557" customWidth="1"/>
    <col min="8964" max="8965" width="5" style="557" customWidth="1"/>
    <col min="8966" max="8966" width="5.33203125" style="557" customWidth="1"/>
    <col min="8967" max="8967" width="4.88671875" style="557" customWidth="1"/>
    <col min="8968" max="8969" width="4.109375" style="557" customWidth="1"/>
    <col min="8970" max="8970" width="3.5546875" style="557" customWidth="1"/>
    <col min="8971" max="8971" width="5" style="557" customWidth="1"/>
    <col min="8972" max="8972" width="4" style="557" customWidth="1"/>
    <col min="8973" max="8974" width="4.5546875" style="557" customWidth="1"/>
    <col min="8975" max="8975" width="4.109375" style="557" customWidth="1"/>
    <col min="8976" max="8976" width="4" style="557" customWidth="1"/>
    <col min="8977" max="8977" width="3.88671875" style="557" customWidth="1"/>
    <col min="8978" max="8979" width="4.6640625" style="557" customWidth="1"/>
    <col min="8980" max="8980" width="4" style="557" customWidth="1"/>
    <col min="8981" max="8981" width="4.33203125" style="557" customWidth="1"/>
    <col min="8982" max="8982" width="4.109375" style="557" customWidth="1"/>
    <col min="8983" max="8983" width="3.88671875" style="557" customWidth="1"/>
    <col min="8984" max="8984" width="4.109375" style="557" customWidth="1"/>
    <col min="8985" max="8985" width="5.5546875" style="557" customWidth="1"/>
    <col min="8986" max="8986" width="3.5546875" style="557" customWidth="1"/>
    <col min="8987" max="8987" width="4" style="557" customWidth="1"/>
    <col min="8988" max="8988" width="4.5546875" style="557" customWidth="1"/>
    <col min="8989" max="8989" width="4.44140625" style="557" customWidth="1"/>
    <col min="8990" max="8991" width="4.33203125" style="557" customWidth="1"/>
    <col min="8992" max="8993" width="4.88671875" style="557" customWidth="1"/>
    <col min="8994" max="8994" width="4" style="557" customWidth="1"/>
    <col min="8995" max="8995" width="4.6640625" style="557" customWidth="1"/>
    <col min="8996" max="8996" width="6" style="557" customWidth="1"/>
    <col min="8997" max="8997" width="8.88671875" style="557" customWidth="1"/>
    <col min="8998" max="9217" width="11.44140625" style="557"/>
    <col min="9218" max="9218" width="6.44140625" style="557" customWidth="1"/>
    <col min="9219" max="9219" width="47.88671875" style="557" customWidth="1"/>
    <col min="9220" max="9221" width="5" style="557" customWidth="1"/>
    <col min="9222" max="9222" width="5.33203125" style="557" customWidth="1"/>
    <col min="9223" max="9223" width="4.88671875" style="557" customWidth="1"/>
    <col min="9224" max="9225" width="4.109375" style="557" customWidth="1"/>
    <col min="9226" max="9226" width="3.5546875" style="557" customWidth="1"/>
    <col min="9227" max="9227" width="5" style="557" customWidth="1"/>
    <col min="9228" max="9228" width="4" style="557" customWidth="1"/>
    <col min="9229" max="9230" width="4.5546875" style="557" customWidth="1"/>
    <col min="9231" max="9231" width="4.109375" style="557" customWidth="1"/>
    <col min="9232" max="9232" width="4" style="557" customWidth="1"/>
    <col min="9233" max="9233" width="3.88671875" style="557" customWidth="1"/>
    <col min="9234" max="9235" width="4.6640625" style="557" customWidth="1"/>
    <col min="9236" max="9236" width="4" style="557" customWidth="1"/>
    <col min="9237" max="9237" width="4.33203125" style="557" customWidth="1"/>
    <col min="9238" max="9238" width="4.109375" style="557" customWidth="1"/>
    <col min="9239" max="9239" width="3.88671875" style="557" customWidth="1"/>
    <col min="9240" max="9240" width="4.109375" style="557" customWidth="1"/>
    <col min="9241" max="9241" width="5.5546875" style="557" customWidth="1"/>
    <col min="9242" max="9242" width="3.5546875" style="557" customWidth="1"/>
    <col min="9243" max="9243" width="4" style="557" customWidth="1"/>
    <col min="9244" max="9244" width="4.5546875" style="557" customWidth="1"/>
    <col min="9245" max="9245" width="4.44140625" style="557" customWidth="1"/>
    <col min="9246" max="9247" width="4.33203125" style="557" customWidth="1"/>
    <col min="9248" max="9249" width="4.88671875" style="557" customWidth="1"/>
    <col min="9250" max="9250" width="4" style="557" customWidth="1"/>
    <col min="9251" max="9251" width="4.6640625" style="557" customWidth="1"/>
    <col min="9252" max="9252" width="6" style="557" customWidth="1"/>
    <col min="9253" max="9253" width="8.88671875" style="557" customWidth="1"/>
    <col min="9254" max="9473" width="11.44140625" style="557"/>
    <col min="9474" max="9474" width="6.44140625" style="557" customWidth="1"/>
    <col min="9475" max="9475" width="47.88671875" style="557" customWidth="1"/>
    <col min="9476" max="9477" width="5" style="557" customWidth="1"/>
    <col min="9478" max="9478" width="5.33203125" style="557" customWidth="1"/>
    <col min="9479" max="9479" width="4.88671875" style="557" customWidth="1"/>
    <col min="9480" max="9481" width="4.109375" style="557" customWidth="1"/>
    <col min="9482" max="9482" width="3.5546875" style="557" customWidth="1"/>
    <col min="9483" max="9483" width="5" style="557" customWidth="1"/>
    <col min="9484" max="9484" width="4" style="557" customWidth="1"/>
    <col min="9485" max="9486" width="4.5546875" style="557" customWidth="1"/>
    <col min="9487" max="9487" width="4.109375" style="557" customWidth="1"/>
    <col min="9488" max="9488" width="4" style="557" customWidth="1"/>
    <col min="9489" max="9489" width="3.88671875" style="557" customWidth="1"/>
    <col min="9490" max="9491" width="4.6640625" style="557" customWidth="1"/>
    <col min="9492" max="9492" width="4" style="557" customWidth="1"/>
    <col min="9493" max="9493" width="4.33203125" style="557" customWidth="1"/>
    <col min="9494" max="9494" width="4.109375" style="557" customWidth="1"/>
    <col min="9495" max="9495" width="3.88671875" style="557" customWidth="1"/>
    <col min="9496" max="9496" width="4.109375" style="557" customWidth="1"/>
    <col min="9497" max="9497" width="5.5546875" style="557" customWidth="1"/>
    <col min="9498" max="9498" width="3.5546875" style="557" customWidth="1"/>
    <col min="9499" max="9499" width="4" style="557" customWidth="1"/>
    <col min="9500" max="9500" width="4.5546875" style="557" customWidth="1"/>
    <col min="9501" max="9501" width="4.44140625" style="557" customWidth="1"/>
    <col min="9502" max="9503" width="4.33203125" style="557" customWidth="1"/>
    <col min="9504" max="9505" width="4.88671875" style="557" customWidth="1"/>
    <col min="9506" max="9506" width="4" style="557" customWidth="1"/>
    <col min="9507" max="9507" width="4.6640625" style="557" customWidth="1"/>
    <col min="9508" max="9508" width="6" style="557" customWidth="1"/>
    <col min="9509" max="9509" width="8.88671875" style="557" customWidth="1"/>
    <col min="9510" max="9729" width="11.44140625" style="557"/>
    <col min="9730" max="9730" width="6.44140625" style="557" customWidth="1"/>
    <col min="9731" max="9731" width="47.88671875" style="557" customWidth="1"/>
    <col min="9732" max="9733" width="5" style="557" customWidth="1"/>
    <col min="9734" max="9734" width="5.33203125" style="557" customWidth="1"/>
    <col min="9735" max="9735" width="4.88671875" style="557" customWidth="1"/>
    <col min="9736" max="9737" width="4.109375" style="557" customWidth="1"/>
    <col min="9738" max="9738" width="3.5546875" style="557" customWidth="1"/>
    <col min="9739" max="9739" width="5" style="557" customWidth="1"/>
    <col min="9740" max="9740" width="4" style="557" customWidth="1"/>
    <col min="9741" max="9742" width="4.5546875" style="557" customWidth="1"/>
    <col min="9743" max="9743" width="4.109375" style="557" customWidth="1"/>
    <col min="9744" max="9744" width="4" style="557" customWidth="1"/>
    <col min="9745" max="9745" width="3.88671875" style="557" customWidth="1"/>
    <col min="9746" max="9747" width="4.6640625" style="557" customWidth="1"/>
    <col min="9748" max="9748" width="4" style="557" customWidth="1"/>
    <col min="9749" max="9749" width="4.33203125" style="557" customWidth="1"/>
    <col min="9750" max="9750" width="4.109375" style="557" customWidth="1"/>
    <col min="9751" max="9751" width="3.88671875" style="557" customWidth="1"/>
    <col min="9752" max="9752" width="4.109375" style="557" customWidth="1"/>
    <col min="9753" max="9753" width="5.5546875" style="557" customWidth="1"/>
    <col min="9754" max="9754" width="3.5546875" style="557" customWidth="1"/>
    <col min="9755" max="9755" width="4" style="557" customWidth="1"/>
    <col min="9756" max="9756" width="4.5546875" style="557" customWidth="1"/>
    <col min="9757" max="9757" width="4.44140625" style="557" customWidth="1"/>
    <col min="9758" max="9759" width="4.33203125" style="557" customWidth="1"/>
    <col min="9760" max="9761" width="4.88671875" style="557" customWidth="1"/>
    <col min="9762" max="9762" width="4" style="557" customWidth="1"/>
    <col min="9763" max="9763" width="4.6640625" style="557" customWidth="1"/>
    <col min="9764" max="9764" width="6" style="557" customWidth="1"/>
    <col min="9765" max="9765" width="8.88671875" style="557" customWidth="1"/>
    <col min="9766" max="9985" width="11.44140625" style="557"/>
    <col min="9986" max="9986" width="6.44140625" style="557" customWidth="1"/>
    <col min="9987" max="9987" width="47.88671875" style="557" customWidth="1"/>
    <col min="9988" max="9989" width="5" style="557" customWidth="1"/>
    <col min="9990" max="9990" width="5.33203125" style="557" customWidth="1"/>
    <col min="9991" max="9991" width="4.88671875" style="557" customWidth="1"/>
    <col min="9992" max="9993" width="4.109375" style="557" customWidth="1"/>
    <col min="9994" max="9994" width="3.5546875" style="557" customWidth="1"/>
    <col min="9995" max="9995" width="5" style="557" customWidth="1"/>
    <col min="9996" max="9996" width="4" style="557" customWidth="1"/>
    <col min="9997" max="9998" width="4.5546875" style="557" customWidth="1"/>
    <col min="9999" max="9999" width="4.109375" style="557" customWidth="1"/>
    <col min="10000" max="10000" width="4" style="557" customWidth="1"/>
    <col min="10001" max="10001" width="3.88671875" style="557" customWidth="1"/>
    <col min="10002" max="10003" width="4.6640625" style="557" customWidth="1"/>
    <col min="10004" max="10004" width="4" style="557" customWidth="1"/>
    <col min="10005" max="10005" width="4.33203125" style="557" customWidth="1"/>
    <col min="10006" max="10006" width="4.109375" style="557" customWidth="1"/>
    <col min="10007" max="10007" width="3.88671875" style="557" customWidth="1"/>
    <col min="10008" max="10008" width="4.109375" style="557" customWidth="1"/>
    <col min="10009" max="10009" width="5.5546875" style="557" customWidth="1"/>
    <col min="10010" max="10010" width="3.5546875" style="557" customWidth="1"/>
    <col min="10011" max="10011" width="4" style="557" customWidth="1"/>
    <col min="10012" max="10012" width="4.5546875" style="557" customWidth="1"/>
    <col min="10013" max="10013" width="4.44140625" style="557" customWidth="1"/>
    <col min="10014" max="10015" width="4.33203125" style="557" customWidth="1"/>
    <col min="10016" max="10017" width="4.88671875" style="557" customWidth="1"/>
    <col min="10018" max="10018" width="4" style="557" customWidth="1"/>
    <col min="10019" max="10019" width="4.6640625" style="557" customWidth="1"/>
    <col min="10020" max="10020" width="6" style="557" customWidth="1"/>
    <col min="10021" max="10021" width="8.88671875" style="557" customWidth="1"/>
    <col min="10022" max="10241" width="11.44140625" style="557"/>
    <col min="10242" max="10242" width="6.44140625" style="557" customWidth="1"/>
    <col min="10243" max="10243" width="47.88671875" style="557" customWidth="1"/>
    <col min="10244" max="10245" width="5" style="557" customWidth="1"/>
    <col min="10246" max="10246" width="5.33203125" style="557" customWidth="1"/>
    <col min="10247" max="10247" width="4.88671875" style="557" customWidth="1"/>
    <col min="10248" max="10249" width="4.109375" style="557" customWidth="1"/>
    <col min="10250" max="10250" width="3.5546875" style="557" customWidth="1"/>
    <col min="10251" max="10251" width="5" style="557" customWidth="1"/>
    <col min="10252" max="10252" width="4" style="557" customWidth="1"/>
    <col min="10253" max="10254" width="4.5546875" style="557" customWidth="1"/>
    <col min="10255" max="10255" width="4.109375" style="557" customWidth="1"/>
    <col min="10256" max="10256" width="4" style="557" customWidth="1"/>
    <col min="10257" max="10257" width="3.88671875" style="557" customWidth="1"/>
    <col min="10258" max="10259" width="4.6640625" style="557" customWidth="1"/>
    <col min="10260" max="10260" width="4" style="557" customWidth="1"/>
    <col min="10261" max="10261" width="4.33203125" style="557" customWidth="1"/>
    <col min="10262" max="10262" width="4.109375" style="557" customWidth="1"/>
    <col min="10263" max="10263" width="3.88671875" style="557" customWidth="1"/>
    <col min="10264" max="10264" width="4.109375" style="557" customWidth="1"/>
    <col min="10265" max="10265" width="5.5546875" style="557" customWidth="1"/>
    <col min="10266" max="10266" width="3.5546875" style="557" customWidth="1"/>
    <col min="10267" max="10267" width="4" style="557" customWidth="1"/>
    <col min="10268" max="10268" width="4.5546875" style="557" customWidth="1"/>
    <col min="10269" max="10269" width="4.44140625" style="557" customWidth="1"/>
    <col min="10270" max="10271" width="4.33203125" style="557" customWidth="1"/>
    <col min="10272" max="10273" width="4.88671875" style="557" customWidth="1"/>
    <col min="10274" max="10274" width="4" style="557" customWidth="1"/>
    <col min="10275" max="10275" width="4.6640625" style="557" customWidth="1"/>
    <col min="10276" max="10276" width="6" style="557" customWidth="1"/>
    <col min="10277" max="10277" width="8.88671875" style="557" customWidth="1"/>
    <col min="10278" max="10497" width="11.44140625" style="557"/>
    <col min="10498" max="10498" width="6.44140625" style="557" customWidth="1"/>
    <col min="10499" max="10499" width="47.88671875" style="557" customWidth="1"/>
    <col min="10500" max="10501" width="5" style="557" customWidth="1"/>
    <col min="10502" max="10502" width="5.33203125" style="557" customWidth="1"/>
    <col min="10503" max="10503" width="4.88671875" style="557" customWidth="1"/>
    <col min="10504" max="10505" width="4.109375" style="557" customWidth="1"/>
    <col min="10506" max="10506" width="3.5546875" style="557" customWidth="1"/>
    <col min="10507" max="10507" width="5" style="557" customWidth="1"/>
    <col min="10508" max="10508" width="4" style="557" customWidth="1"/>
    <col min="10509" max="10510" width="4.5546875" style="557" customWidth="1"/>
    <col min="10511" max="10511" width="4.109375" style="557" customWidth="1"/>
    <col min="10512" max="10512" width="4" style="557" customWidth="1"/>
    <col min="10513" max="10513" width="3.88671875" style="557" customWidth="1"/>
    <col min="10514" max="10515" width="4.6640625" style="557" customWidth="1"/>
    <col min="10516" max="10516" width="4" style="557" customWidth="1"/>
    <col min="10517" max="10517" width="4.33203125" style="557" customWidth="1"/>
    <col min="10518" max="10518" width="4.109375" style="557" customWidth="1"/>
    <col min="10519" max="10519" width="3.88671875" style="557" customWidth="1"/>
    <col min="10520" max="10520" width="4.109375" style="557" customWidth="1"/>
    <col min="10521" max="10521" width="5.5546875" style="557" customWidth="1"/>
    <col min="10522" max="10522" width="3.5546875" style="557" customWidth="1"/>
    <col min="10523" max="10523" width="4" style="557" customWidth="1"/>
    <col min="10524" max="10524" width="4.5546875" style="557" customWidth="1"/>
    <col min="10525" max="10525" width="4.44140625" style="557" customWidth="1"/>
    <col min="10526" max="10527" width="4.33203125" style="557" customWidth="1"/>
    <col min="10528" max="10529" width="4.88671875" style="557" customWidth="1"/>
    <col min="10530" max="10530" width="4" style="557" customWidth="1"/>
    <col min="10531" max="10531" width="4.6640625" style="557" customWidth="1"/>
    <col min="10532" max="10532" width="6" style="557" customWidth="1"/>
    <col min="10533" max="10533" width="8.88671875" style="557" customWidth="1"/>
    <col min="10534" max="10753" width="11.44140625" style="557"/>
    <col min="10754" max="10754" width="6.44140625" style="557" customWidth="1"/>
    <col min="10755" max="10755" width="47.88671875" style="557" customWidth="1"/>
    <col min="10756" max="10757" width="5" style="557" customWidth="1"/>
    <col min="10758" max="10758" width="5.33203125" style="557" customWidth="1"/>
    <col min="10759" max="10759" width="4.88671875" style="557" customWidth="1"/>
    <col min="10760" max="10761" width="4.109375" style="557" customWidth="1"/>
    <col min="10762" max="10762" width="3.5546875" style="557" customWidth="1"/>
    <col min="10763" max="10763" width="5" style="557" customWidth="1"/>
    <col min="10764" max="10764" width="4" style="557" customWidth="1"/>
    <col min="10765" max="10766" width="4.5546875" style="557" customWidth="1"/>
    <col min="10767" max="10767" width="4.109375" style="557" customWidth="1"/>
    <col min="10768" max="10768" width="4" style="557" customWidth="1"/>
    <col min="10769" max="10769" width="3.88671875" style="557" customWidth="1"/>
    <col min="10770" max="10771" width="4.6640625" style="557" customWidth="1"/>
    <col min="10772" max="10772" width="4" style="557" customWidth="1"/>
    <col min="10773" max="10773" width="4.33203125" style="557" customWidth="1"/>
    <col min="10774" max="10774" width="4.109375" style="557" customWidth="1"/>
    <col min="10775" max="10775" width="3.88671875" style="557" customWidth="1"/>
    <col min="10776" max="10776" width="4.109375" style="557" customWidth="1"/>
    <col min="10777" max="10777" width="5.5546875" style="557" customWidth="1"/>
    <col min="10778" max="10778" width="3.5546875" style="557" customWidth="1"/>
    <col min="10779" max="10779" width="4" style="557" customWidth="1"/>
    <col min="10780" max="10780" width="4.5546875" style="557" customWidth="1"/>
    <col min="10781" max="10781" width="4.44140625" style="557" customWidth="1"/>
    <col min="10782" max="10783" width="4.33203125" style="557" customWidth="1"/>
    <col min="10784" max="10785" width="4.88671875" style="557" customWidth="1"/>
    <col min="10786" max="10786" width="4" style="557" customWidth="1"/>
    <col min="10787" max="10787" width="4.6640625" style="557" customWidth="1"/>
    <col min="10788" max="10788" width="6" style="557" customWidth="1"/>
    <col min="10789" max="10789" width="8.88671875" style="557" customWidth="1"/>
    <col min="10790" max="11009" width="11.44140625" style="557"/>
    <col min="11010" max="11010" width="6.44140625" style="557" customWidth="1"/>
    <col min="11011" max="11011" width="47.88671875" style="557" customWidth="1"/>
    <col min="11012" max="11013" width="5" style="557" customWidth="1"/>
    <col min="11014" max="11014" width="5.33203125" style="557" customWidth="1"/>
    <col min="11015" max="11015" width="4.88671875" style="557" customWidth="1"/>
    <col min="11016" max="11017" width="4.109375" style="557" customWidth="1"/>
    <col min="11018" max="11018" width="3.5546875" style="557" customWidth="1"/>
    <col min="11019" max="11019" width="5" style="557" customWidth="1"/>
    <col min="11020" max="11020" width="4" style="557" customWidth="1"/>
    <col min="11021" max="11022" width="4.5546875" style="557" customWidth="1"/>
    <col min="11023" max="11023" width="4.109375" style="557" customWidth="1"/>
    <col min="11024" max="11024" width="4" style="557" customWidth="1"/>
    <col min="11025" max="11025" width="3.88671875" style="557" customWidth="1"/>
    <col min="11026" max="11027" width="4.6640625" style="557" customWidth="1"/>
    <col min="11028" max="11028" width="4" style="557" customWidth="1"/>
    <col min="11029" max="11029" width="4.33203125" style="557" customWidth="1"/>
    <col min="11030" max="11030" width="4.109375" style="557" customWidth="1"/>
    <col min="11031" max="11031" width="3.88671875" style="557" customWidth="1"/>
    <col min="11032" max="11032" width="4.109375" style="557" customWidth="1"/>
    <col min="11033" max="11033" width="5.5546875" style="557" customWidth="1"/>
    <col min="11034" max="11034" width="3.5546875" style="557" customWidth="1"/>
    <col min="11035" max="11035" width="4" style="557" customWidth="1"/>
    <col min="11036" max="11036" width="4.5546875" style="557" customWidth="1"/>
    <col min="11037" max="11037" width="4.44140625" style="557" customWidth="1"/>
    <col min="11038" max="11039" width="4.33203125" style="557" customWidth="1"/>
    <col min="11040" max="11041" width="4.88671875" style="557" customWidth="1"/>
    <col min="11042" max="11042" width="4" style="557" customWidth="1"/>
    <col min="11043" max="11043" width="4.6640625" style="557" customWidth="1"/>
    <col min="11044" max="11044" width="6" style="557" customWidth="1"/>
    <col min="11045" max="11045" width="8.88671875" style="557" customWidth="1"/>
    <col min="11046" max="11265" width="11.44140625" style="557"/>
    <col min="11266" max="11266" width="6.44140625" style="557" customWidth="1"/>
    <col min="11267" max="11267" width="47.88671875" style="557" customWidth="1"/>
    <col min="11268" max="11269" width="5" style="557" customWidth="1"/>
    <col min="11270" max="11270" width="5.33203125" style="557" customWidth="1"/>
    <col min="11271" max="11271" width="4.88671875" style="557" customWidth="1"/>
    <col min="11272" max="11273" width="4.109375" style="557" customWidth="1"/>
    <col min="11274" max="11274" width="3.5546875" style="557" customWidth="1"/>
    <col min="11275" max="11275" width="5" style="557" customWidth="1"/>
    <col min="11276" max="11276" width="4" style="557" customWidth="1"/>
    <col min="11277" max="11278" width="4.5546875" style="557" customWidth="1"/>
    <col min="11279" max="11279" width="4.109375" style="557" customWidth="1"/>
    <col min="11280" max="11280" width="4" style="557" customWidth="1"/>
    <col min="11281" max="11281" width="3.88671875" style="557" customWidth="1"/>
    <col min="11282" max="11283" width="4.6640625" style="557" customWidth="1"/>
    <col min="11284" max="11284" width="4" style="557" customWidth="1"/>
    <col min="11285" max="11285" width="4.33203125" style="557" customWidth="1"/>
    <col min="11286" max="11286" width="4.109375" style="557" customWidth="1"/>
    <col min="11287" max="11287" width="3.88671875" style="557" customWidth="1"/>
    <col min="11288" max="11288" width="4.109375" style="557" customWidth="1"/>
    <col min="11289" max="11289" width="5.5546875" style="557" customWidth="1"/>
    <col min="11290" max="11290" width="3.5546875" style="557" customWidth="1"/>
    <col min="11291" max="11291" width="4" style="557" customWidth="1"/>
    <col min="11292" max="11292" width="4.5546875" style="557" customWidth="1"/>
    <col min="11293" max="11293" width="4.44140625" style="557" customWidth="1"/>
    <col min="11294" max="11295" width="4.33203125" style="557" customWidth="1"/>
    <col min="11296" max="11297" width="4.88671875" style="557" customWidth="1"/>
    <col min="11298" max="11298" width="4" style="557" customWidth="1"/>
    <col min="11299" max="11299" width="4.6640625" style="557" customWidth="1"/>
    <col min="11300" max="11300" width="6" style="557" customWidth="1"/>
    <col min="11301" max="11301" width="8.88671875" style="557" customWidth="1"/>
    <col min="11302" max="11521" width="11.44140625" style="557"/>
    <col min="11522" max="11522" width="6.44140625" style="557" customWidth="1"/>
    <col min="11523" max="11523" width="47.88671875" style="557" customWidth="1"/>
    <col min="11524" max="11525" width="5" style="557" customWidth="1"/>
    <col min="11526" max="11526" width="5.33203125" style="557" customWidth="1"/>
    <col min="11527" max="11527" width="4.88671875" style="557" customWidth="1"/>
    <col min="11528" max="11529" width="4.109375" style="557" customWidth="1"/>
    <col min="11530" max="11530" width="3.5546875" style="557" customWidth="1"/>
    <col min="11531" max="11531" width="5" style="557" customWidth="1"/>
    <col min="11532" max="11532" width="4" style="557" customWidth="1"/>
    <col min="11533" max="11534" width="4.5546875" style="557" customWidth="1"/>
    <col min="11535" max="11535" width="4.109375" style="557" customWidth="1"/>
    <col min="11536" max="11536" width="4" style="557" customWidth="1"/>
    <col min="11537" max="11537" width="3.88671875" style="557" customWidth="1"/>
    <col min="11538" max="11539" width="4.6640625" style="557" customWidth="1"/>
    <col min="11540" max="11540" width="4" style="557" customWidth="1"/>
    <col min="11541" max="11541" width="4.33203125" style="557" customWidth="1"/>
    <col min="11542" max="11542" width="4.109375" style="557" customWidth="1"/>
    <col min="11543" max="11543" width="3.88671875" style="557" customWidth="1"/>
    <col min="11544" max="11544" width="4.109375" style="557" customWidth="1"/>
    <col min="11545" max="11545" width="5.5546875" style="557" customWidth="1"/>
    <col min="11546" max="11546" width="3.5546875" style="557" customWidth="1"/>
    <col min="11547" max="11547" width="4" style="557" customWidth="1"/>
    <col min="11548" max="11548" width="4.5546875" style="557" customWidth="1"/>
    <col min="11549" max="11549" width="4.44140625" style="557" customWidth="1"/>
    <col min="11550" max="11551" width="4.33203125" style="557" customWidth="1"/>
    <col min="11552" max="11553" width="4.88671875" style="557" customWidth="1"/>
    <col min="11554" max="11554" width="4" style="557" customWidth="1"/>
    <col min="11555" max="11555" width="4.6640625" style="557" customWidth="1"/>
    <col min="11556" max="11556" width="6" style="557" customWidth="1"/>
    <col min="11557" max="11557" width="8.88671875" style="557" customWidth="1"/>
    <col min="11558" max="11777" width="11.44140625" style="557"/>
    <col min="11778" max="11778" width="6.44140625" style="557" customWidth="1"/>
    <col min="11779" max="11779" width="47.88671875" style="557" customWidth="1"/>
    <col min="11780" max="11781" width="5" style="557" customWidth="1"/>
    <col min="11782" max="11782" width="5.33203125" style="557" customWidth="1"/>
    <col min="11783" max="11783" width="4.88671875" style="557" customWidth="1"/>
    <col min="11784" max="11785" width="4.109375" style="557" customWidth="1"/>
    <col min="11786" max="11786" width="3.5546875" style="557" customWidth="1"/>
    <col min="11787" max="11787" width="5" style="557" customWidth="1"/>
    <col min="11788" max="11788" width="4" style="557" customWidth="1"/>
    <col min="11789" max="11790" width="4.5546875" style="557" customWidth="1"/>
    <col min="11791" max="11791" width="4.109375" style="557" customWidth="1"/>
    <col min="11792" max="11792" width="4" style="557" customWidth="1"/>
    <col min="11793" max="11793" width="3.88671875" style="557" customWidth="1"/>
    <col min="11794" max="11795" width="4.6640625" style="557" customWidth="1"/>
    <col min="11796" max="11796" width="4" style="557" customWidth="1"/>
    <col min="11797" max="11797" width="4.33203125" style="557" customWidth="1"/>
    <col min="11798" max="11798" width="4.109375" style="557" customWidth="1"/>
    <col min="11799" max="11799" width="3.88671875" style="557" customWidth="1"/>
    <col min="11800" max="11800" width="4.109375" style="557" customWidth="1"/>
    <col min="11801" max="11801" width="5.5546875" style="557" customWidth="1"/>
    <col min="11802" max="11802" width="3.5546875" style="557" customWidth="1"/>
    <col min="11803" max="11803" width="4" style="557" customWidth="1"/>
    <col min="11804" max="11804" width="4.5546875" style="557" customWidth="1"/>
    <col min="11805" max="11805" width="4.44140625" style="557" customWidth="1"/>
    <col min="11806" max="11807" width="4.33203125" style="557" customWidth="1"/>
    <col min="11808" max="11809" width="4.88671875" style="557" customWidth="1"/>
    <col min="11810" max="11810" width="4" style="557" customWidth="1"/>
    <col min="11811" max="11811" width="4.6640625" style="557" customWidth="1"/>
    <col min="11812" max="11812" width="6" style="557" customWidth="1"/>
    <col min="11813" max="11813" width="8.88671875" style="557" customWidth="1"/>
    <col min="11814" max="12033" width="11.44140625" style="557"/>
    <col min="12034" max="12034" width="6.44140625" style="557" customWidth="1"/>
    <col min="12035" max="12035" width="47.88671875" style="557" customWidth="1"/>
    <col min="12036" max="12037" width="5" style="557" customWidth="1"/>
    <col min="12038" max="12038" width="5.33203125" style="557" customWidth="1"/>
    <col min="12039" max="12039" width="4.88671875" style="557" customWidth="1"/>
    <col min="12040" max="12041" width="4.109375" style="557" customWidth="1"/>
    <col min="12042" max="12042" width="3.5546875" style="557" customWidth="1"/>
    <col min="12043" max="12043" width="5" style="557" customWidth="1"/>
    <col min="12044" max="12044" width="4" style="557" customWidth="1"/>
    <col min="12045" max="12046" width="4.5546875" style="557" customWidth="1"/>
    <col min="12047" max="12047" width="4.109375" style="557" customWidth="1"/>
    <col min="12048" max="12048" width="4" style="557" customWidth="1"/>
    <col min="12049" max="12049" width="3.88671875" style="557" customWidth="1"/>
    <col min="12050" max="12051" width="4.6640625" style="557" customWidth="1"/>
    <col min="12052" max="12052" width="4" style="557" customWidth="1"/>
    <col min="12053" max="12053" width="4.33203125" style="557" customWidth="1"/>
    <col min="12054" max="12054" width="4.109375" style="557" customWidth="1"/>
    <col min="12055" max="12055" width="3.88671875" style="557" customWidth="1"/>
    <col min="12056" max="12056" width="4.109375" style="557" customWidth="1"/>
    <col min="12057" max="12057" width="5.5546875" style="557" customWidth="1"/>
    <col min="12058" max="12058" width="3.5546875" style="557" customWidth="1"/>
    <col min="12059" max="12059" width="4" style="557" customWidth="1"/>
    <col min="12060" max="12060" width="4.5546875" style="557" customWidth="1"/>
    <col min="12061" max="12061" width="4.44140625" style="557" customWidth="1"/>
    <col min="12062" max="12063" width="4.33203125" style="557" customWidth="1"/>
    <col min="12064" max="12065" width="4.88671875" style="557" customWidth="1"/>
    <col min="12066" max="12066" width="4" style="557" customWidth="1"/>
    <col min="12067" max="12067" width="4.6640625" style="557" customWidth="1"/>
    <col min="12068" max="12068" width="6" style="557" customWidth="1"/>
    <col min="12069" max="12069" width="8.88671875" style="557" customWidth="1"/>
    <col min="12070" max="12289" width="11.44140625" style="557"/>
    <col min="12290" max="12290" width="6.44140625" style="557" customWidth="1"/>
    <col min="12291" max="12291" width="47.88671875" style="557" customWidth="1"/>
    <col min="12292" max="12293" width="5" style="557" customWidth="1"/>
    <col min="12294" max="12294" width="5.33203125" style="557" customWidth="1"/>
    <col min="12295" max="12295" width="4.88671875" style="557" customWidth="1"/>
    <col min="12296" max="12297" width="4.109375" style="557" customWidth="1"/>
    <col min="12298" max="12298" width="3.5546875" style="557" customWidth="1"/>
    <col min="12299" max="12299" width="5" style="557" customWidth="1"/>
    <col min="12300" max="12300" width="4" style="557" customWidth="1"/>
    <col min="12301" max="12302" width="4.5546875" style="557" customWidth="1"/>
    <col min="12303" max="12303" width="4.109375" style="557" customWidth="1"/>
    <col min="12304" max="12304" width="4" style="557" customWidth="1"/>
    <col min="12305" max="12305" width="3.88671875" style="557" customWidth="1"/>
    <col min="12306" max="12307" width="4.6640625" style="557" customWidth="1"/>
    <col min="12308" max="12308" width="4" style="557" customWidth="1"/>
    <col min="12309" max="12309" width="4.33203125" style="557" customWidth="1"/>
    <col min="12310" max="12310" width="4.109375" style="557" customWidth="1"/>
    <col min="12311" max="12311" width="3.88671875" style="557" customWidth="1"/>
    <col min="12312" max="12312" width="4.109375" style="557" customWidth="1"/>
    <col min="12313" max="12313" width="5.5546875" style="557" customWidth="1"/>
    <col min="12314" max="12314" width="3.5546875" style="557" customWidth="1"/>
    <col min="12315" max="12315" width="4" style="557" customWidth="1"/>
    <col min="12316" max="12316" width="4.5546875" style="557" customWidth="1"/>
    <col min="12317" max="12317" width="4.44140625" style="557" customWidth="1"/>
    <col min="12318" max="12319" width="4.33203125" style="557" customWidth="1"/>
    <col min="12320" max="12321" width="4.88671875" style="557" customWidth="1"/>
    <col min="12322" max="12322" width="4" style="557" customWidth="1"/>
    <col min="12323" max="12323" width="4.6640625" style="557" customWidth="1"/>
    <col min="12324" max="12324" width="6" style="557" customWidth="1"/>
    <col min="12325" max="12325" width="8.88671875" style="557" customWidth="1"/>
    <col min="12326" max="12545" width="11.44140625" style="557"/>
    <col min="12546" max="12546" width="6.44140625" style="557" customWidth="1"/>
    <col min="12547" max="12547" width="47.88671875" style="557" customWidth="1"/>
    <col min="12548" max="12549" width="5" style="557" customWidth="1"/>
    <col min="12550" max="12550" width="5.33203125" style="557" customWidth="1"/>
    <col min="12551" max="12551" width="4.88671875" style="557" customWidth="1"/>
    <col min="12552" max="12553" width="4.109375" style="557" customWidth="1"/>
    <col min="12554" max="12554" width="3.5546875" style="557" customWidth="1"/>
    <col min="12555" max="12555" width="5" style="557" customWidth="1"/>
    <col min="12556" max="12556" width="4" style="557" customWidth="1"/>
    <col min="12557" max="12558" width="4.5546875" style="557" customWidth="1"/>
    <col min="12559" max="12559" width="4.109375" style="557" customWidth="1"/>
    <col min="12560" max="12560" width="4" style="557" customWidth="1"/>
    <col min="12561" max="12561" width="3.88671875" style="557" customWidth="1"/>
    <col min="12562" max="12563" width="4.6640625" style="557" customWidth="1"/>
    <col min="12564" max="12564" width="4" style="557" customWidth="1"/>
    <col min="12565" max="12565" width="4.33203125" style="557" customWidth="1"/>
    <col min="12566" max="12566" width="4.109375" style="557" customWidth="1"/>
    <col min="12567" max="12567" width="3.88671875" style="557" customWidth="1"/>
    <col min="12568" max="12568" width="4.109375" style="557" customWidth="1"/>
    <col min="12569" max="12569" width="5.5546875" style="557" customWidth="1"/>
    <col min="12570" max="12570" width="3.5546875" style="557" customWidth="1"/>
    <col min="12571" max="12571" width="4" style="557" customWidth="1"/>
    <col min="12572" max="12572" width="4.5546875" style="557" customWidth="1"/>
    <col min="12573" max="12573" width="4.44140625" style="557" customWidth="1"/>
    <col min="12574" max="12575" width="4.33203125" style="557" customWidth="1"/>
    <col min="12576" max="12577" width="4.88671875" style="557" customWidth="1"/>
    <col min="12578" max="12578" width="4" style="557" customWidth="1"/>
    <col min="12579" max="12579" width="4.6640625" style="557" customWidth="1"/>
    <col min="12580" max="12580" width="6" style="557" customWidth="1"/>
    <col min="12581" max="12581" width="8.88671875" style="557" customWidth="1"/>
    <col min="12582" max="12801" width="11.44140625" style="557"/>
    <col min="12802" max="12802" width="6.44140625" style="557" customWidth="1"/>
    <col min="12803" max="12803" width="47.88671875" style="557" customWidth="1"/>
    <col min="12804" max="12805" width="5" style="557" customWidth="1"/>
    <col min="12806" max="12806" width="5.33203125" style="557" customWidth="1"/>
    <col min="12807" max="12807" width="4.88671875" style="557" customWidth="1"/>
    <col min="12808" max="12809" width="4.109375" style="557" customWidth="1"/>
    <col min="12810" max="12810" width="3.5546875" style="557" customWidth="1"/>
    <col min="12811" max="12811" width="5" style="557" customWidth="1"/>
    <col min="12812" max="12812" width="4" style="557" customWidth="1"/>
    <col min="12813" max="12814" width="4.5546875" style="557" customWidth="1"/>
    <col min="12815" max="12815" width="4.109375" style="557" customWidth="1"/>
    <col min="12816" max="12816" width="4" style="557" customWidth="1"/>
    <col min="12817" max="12817" width="3.88671875" style="557" customWidth="1"/>
    <col min="12818" max="12819" width="4.6640625" style="557" customWidth="1"/>
    <col min="12820" max="12820" width="4" style="557" customWidth="1"/>
    <col min="12821" max="12821" width="4.33203125" style="557" customWidth="1"/>
    <col min="12822" max="12822" width="4.109375" style="557" customWidth="1"/>
    <col min="12823" max="12823" width="3.88671875" style="557" customWidth="1"/>
    <col min="12824" max="12824" width="4.109375" style="557" customWidth="1"/>
    <col min="12825" max="12825" width="5.5546875" style="557" customWidth="1"/>
    <col min="12826" max="12826" width="3.5546875" style="557" customWidth="1"/>
    <col min="12827" max="12827" width="4" style="557" customWidth="1"/>
    <col min="12828" max="12828" width="4.5546875" style="557" customWidth="1"/>
    <col min="12829" max="12829" width="4.44140625" style="557" customWidth="1"/>
    <col min="12830" max="12831" width="4.33203125" style="557" customWidth="1"/>
    <col min="12832" max="12833" width="4.88671875" style="557" customWidth="1"/>
    <col min="12834" max="12834" width="4" style="557" customWidth="1"/>
    <col min="12835" max="12835" width="4.6640625" style="557" customWidth="1"/>
    <col min="12836" max="12836" width="6" style="557" customWidth="1"/>
    <col min="12837" max="12837" width="8.88671875" style="557" customWidth="1"/>
    <col min="12838" max="13057" width="11.44140625" style="557"/>
    <col min="13058" max="13058" width="6.44140625" style="557" customWidth="1"/>
    <col min="13059" max="13059" width="47.88671875" style="557" customWidth="1"/>
    <col min="13060" max="13061" width="5" style="557" customWidth="1"/>
    <col min="13062" max="13062" width="5.33203125" style="557" customWidth="1"/>
    <col min="13063" max="13063" width="4.88671875" style="557" customWidth="1"/>
    <col min="13064" max="13065" width="4.109375" style="557" customWidth="1"/>
    <col min="13066" max="13066" width="3.5546875" style="557" customWidth="1"/>
    <col min="13067" max="13067" width="5" style="557" customWidth="1"/>
    <col min="13068" max="13068" width="4" style="557" customWidth="1"/>
    <col min="13069" max="13070" width="4.5546875" style="557" customWidth="1"/>
    <col min="13071" max="13071" width="4.109375" style="557" customWidth="1"/>
    <col min="13072" max="13072" width="4" style="557" customWidth="1"/>
    <col min="13073" max="13073" width="3.88671875" style="557" customWidth="1"/>
    <col min="13074" max="13075" width="4.6640625" style="557" customWidth="1"/>
    <col min="13076" max="13076" width="4" style="557" customWidth="1"/>
    <col min="13077" max="13077" width="4.33203125" style="557" customWidth="1"/>
    <col min="13078" max="13078" width="4.109375" style="557" customWidth="1"/>
    <col min="13079" max="13079" width="3.88671875" style="557" customWidth="1"/>
    <col min="13080" max="13080" width="4.109375" style="557" customWidth="1"/>
    <col min="13081" max="13081" width="5.5546875" style="557" customWidth="1"/>
    <col min="13082" max="13082" width="3.5546875" style="557" customWidth="1"/>
    <col min="13083" max="13083" width="4" style="557" customWidth="1"/>
    <col min="13084" max="13084" width="4.5546875" style="557" customWidth="1"/>
    <col min="13085" max="13085" width="4.44140625" style="557" customWidth="1"/>
    <col min="13086" max="13087" width="4.33203125" style="557" customWidth="1"/>
    <col min="13088" max="13089" width="4.88671875" style="557" customWidth="1"/>
    <col min="13090" max="13090" width="4" style="557" customWidth="1"/>
    <col min="13091" max="13091" width="4.6640625" style="557" customWidth="1"/>
    <col min="13092" max="13092" width="6" style="557" customWidth="1"/>
    <col min="13093" max="13093" width="8.88671875" style="557" customWidth="1"/>
    <col min="13094" max="13313" width="11.44140625" style="557"/>
    <col min="13314" max="13314" width="6.44140625" style="557" customWidth="1"/>
    <col min="13315" max="13315" width="47.88671875" style="557" customWidth="1"/>
    <col min="13316" max="13317" width="5" style="557" customWidth="1"/>
    <col min="13318" max="13318" width="5.33203125" style="557" customWidth="1"/>
    <col min="13319" max="13319" width="4.88671875" style="557" customWidth="1"/>
    <col min="13320" max="13321" width="4.109375" style="557" customWidth="1"/>
    <col min="13322" max="13322" width="3.5546875" style="557" customWidth="1"/>
    <col min="13323" max="13323" width="5" style="557" customWidth="1"/>
    <col min="13324" max="13324" width="4" style="557" customWidth="1"/>
    <col min="13325" max="13326" width="4.5546875" style="557" customWidth="1"/>
    <col min="13327" max="13327" width="4.109375" style="557" customWidth="1"/>
    <col min="13328" max="13328" width="4" style="557" customWidth="1"/>
    <col min="13329" max="13329" width="3.88671875" style="557" customWidth="1"/>
    <col min="13330" max="13331" width="4.6640625" style="557" customWidth="1"/>
    <col min="13332" max="13332" width="4" style="557" customWidth="1"/>
    <col min="13333" max="13333" width="4.33203125" style="557" customWidth="1"/>
    <col min="13334" max="13334" width="4.109375" style="557" customWidth="1"/>
    <col min="13335" max="13335" width="3.88671875" style="557" customWidth="1"/>
    <col min="13336" max="13336" width="4.109375" style="557" customWidth="1"/>
    <col min="13337" max="13337" width="5.5546875" style="557" customWidth="1"/>
    <col min="13338" max="13338" width="3.5546875" style="557" customWidth="1"/>
    <col min="13339" max="13339" width="4" style="557" customWidth="1"/>
    <col min="13340" max="13340" width="4.5546875" style="557" customWidth="1"/>
    <col min="13341" max="13341" width="4.44140625" style="557" customWidth="1"/>
    <col min="13342" max="13343" width="4.33203125" style="557" customWidth="1"/>
    <col min="13344" max="13345" width="4.88671875" style="557" customWidth="1"/>
    <col min="13346" max="13346" width="4" style="557" customWidth="1"/>
    <col min="13347" max="13347" width="4.6640625" style="557" customWidth="1"/>
    <col min="13348" max="13348" width="6" style="557" customWidth="1"/>
    <col min="13349" max="13349" width="8.88671875" style="557" customWidth="1"/>
    <col min="13350" max="13569" width="11.44140625" style="557"/>
    <col min="13570" max="13570" width="6.44140625" style="557" customWidth="1"/>
    <col min="13571" max="13571" width="47.88671875" style="557" customWidth="1"/>
    <col min="13572" max="13573" width="5" style="557" customWidth="1"/>
    <col min="13574" max="13574" width="5.33203125" style="557" customWidth="1"/>
    <col min="13575" max="13575" width="4.88671875" style="557" customWidth="1"/>
    <col min="13576" max="13577" width="4.109375" style="557" customWidth="1"/>
    <col min="13578" max="13578" width="3.5546875" style="557" customWidth="1"/>
    <col min="13579" max="13579" width="5" style="557" customWidth="1"/>
    <col min="13580" max="13580" width="4" style="557" customWidth="1"/>
    <col min="13581" max="13582" width="4.5546875" style="557" customWidth="1"/>
    <col min="13583" max="13583" width="4.109375" style="557" customWidth="1"/>
    <col min="13584" max="13584" width="4" style="557" customWidth="1"/>
    <col min="13585" max="13585" width="3.88671875" style="557" customWidth="1"/>
    <col min="13586" max="13587" width="4.6640625" style="557" customWidth="1"/>
    <col min="13588" max="13588" width="4" style="557" customWidth="1"/>
    <col min="13589" max="13589" width="4.33203125" style="557" customWidth="1"/>
    <col min="13590" max="13590" width="4.109375" style="557" customWidth="1"/>
    <col min="13591" max="13591" width="3.88671875" style="557" customWidth="1"/>
    <col min="13592" max="13592" width="4.109375" style="557" customWidth="1"/>
    <col min="13593" max="13593" width="5.5546875" style="557" customWidth="1"/>
    <col min="13594" max="13594" width="3.5546875" style="557" customWidth="1"/>
    <col min="13595" max="13595" width="4" style="557" customWidth="1"/>
    <col min="13596" max="13596" width="4.5546875" style="557" customWidth="1"/>
    <col min="13597" max="13597" width="4.44140625" style="557" customWidth="1"/>
    <col min="13598" max="13599" width="4.33203125" style="557" customWidth="1"/>
    <col min="13600" max="13601" width="4.88671875" style="557" customWidth="1"/>
    <col min="13602" max="13602" width="4" style="557" customWidth="1"/>
    <col min="13603" max="13603" width="4.6640625" style="557" customWidth="1"/>
    <col min="13604" max="13604" width="6" style="557" customWidth="1"/>
    <col min="13605" max="13605" width="8.88671875" style="557" customWidth="1"/>
    <col min="13606" max="13825" width="11.44140625" style="557"/>
    <col min="13826" max="13826" width="6.44140625" style="557" customWidth="1"/>
    <col min="13827" max="13827" width="47.88671875" style="557" customWidth="1"/>
    <col min="13828" max="13829" width="5" style="557" customWidth="1"/>
    <col min="13830" max="13830" width="5.33203125" style="557" customWidth="1"/>
    <col min="13831" max="13831" width="4.88671875" style="557" customWidth="1"/>
    <col min="13832" max="13833" width="4.109375" style="557" customWidth="1"/>
    <col min="13834" max="13834" width="3.5546875" style="557" customWidth="1"/>
    <col min="13835" max="13835" width="5" style="557" customWidth="1"/>
    <col min="13836" max="13836" width="4" style="557" customWidth="1"/>
    <col min="13837" max="13838" width="4.5546875" style="557" customWidth="1"/>
    <col min="13839" max="13839" width="4.109375" style="557" customWidth="1"/>
    <col min="13840" max="13840" width="4" style="557" customWidth="1"/>
    <col min="13841" max="13841" width="3.88671875" style="557" customWidth="1"/>
    <col min="13842" max="13843" width="4.6640625" style="557" customWidth="1"/>
    <col min="13844" max="13844" width="4" style="557" customWidth="1"/>
    <col min="13845" max="13845" width="4.33203125" style="557" customWidth="1"/>
    <col min="13846" max="13846" width="4.109375" style="557" customWidth="1"/>
    <col min="13847" max="13847" width="3.88671875" style="557" customWidth="1"/>
    <col min="13848" max="13848" width="4.109375" style="557" customWidth="1"/>
    <col min="13849" max="13849" width="5.5546875" style="557" customWidth="1"/>
    <col min="13850" max="13850" width="3.5546875" style="557" customWidth="1"/>
    <col min="13851" max="13851" width="4" style="557" customWidth="1"/>
    <col min="13852" max="13852" width="4.5546875" style="557" customWidth="1"/>
    <col min="13853" max="13853" width="4.44140625" style="557" customWidth="1"/>
    <col min="13854" max="13855" width="4.33203125" style="557" customWidth="1"/>
    <col min="13856" max="13857" width="4.88671875" style="557" customWidth="1"/>
    <col min="13858" max="13858" width="4" style="557" customWidth="1"/>
    <col min="13859" max="13859" width="4.6640625" style="557" customWidth="1"/>
    <col min="13860" max="13860" width="6" style="557" customWidth="1"/>
    <col min="13861" max="13861" width="8.88671875" style="557" customWidth="1"/>
    <col min="13862" max="14081" width="11.44140625" style="557"/>
    <col min="14082" max="14082" width="6.44140625" style="557" customWidth="1"/>
    <col min="14083" max="14083" width="47.88671875" style="557" customWidth="1"/>
    <col min="14084" max="14085" width="5" style="557" customWidth="1"/>
    <col min="14086" max="14086" width="5.33203125" style="557" customWidth="1"/>
    <col min="14087" max="14087" width="4.88671875" style="557" customWidth="1"/>
    <col min="14088" max="14089" width="4.109375" style="557" customWidth="1"/>
    <col min="14090" max="14090" width="3.5546875" style="557" customWidth="1"/>
    <col min="14091" max="14091" width="5" style="557" customWidth="1"/>
    <col min="14092" max="14092" width="4" style="557" customWidth="1"/>
    <col min="14093" max="14094" width="4.5546875" style="557" customWidth="1"/>
    <col min="14095" max="14095" width="4.109375" style="557" customWidth="1"/>
    <col min="14096" max="14096" width="4" style="557" customWidth="1"/>
    <col min="14097" max="14097" width="3.88671875" style="557" customWidth="1"/>
    <col min="14098" max="14099" width="4.6640625" style="557" customWidth="1"/>
    <col min="14100" max="14100" width="4" style="557" customWidth="1"/>
    <col min="14101" max="14101" width="4.33203125" style="557" customWidth="1"/>
    <col min="14102" max="14102" width="4.109375" style="557" customWidth="1"/>
    <col min="14103" max="14103" width="3.88671875" style="557" customWidth="1"/>
    <col min="14104" max="14104" width="4.109375" style="557" customWidth="1"/>
    <col min="14105" max="14105" width="5.5546875" style="557" customWidth="1"/>
    <col min="14106" max="14106" width="3.5546875" style="557" customWidth="1"/>
    <col min="14107" max="14107" width="4" style="557" customWidth="1"/>
    <col min="14108" max="14108" width="4.5546875" style="557" customWidth="1"/>
    <col min="14109" max="14109" width="4.44140625" style="557" customWidth="1"/>
    <col min="14110" max="14111" width="4.33203125" style="557" customWidth="1"/>
    <col min="14112" max="14113" width="4.88671875" style="557" customWidth="1"/>
    <col min="14114" max="14114" width="4" style="557" customWidth="1"/>
    <col min="14115" max="14115" width="4.6640625" style="557" customWidth="1"/>
    <col min="14116" max="14116" width="6" style="557" customWidth="1"/>
    <col min="14117" max="14117" width="8.88671875" style="557" customWidth="1"/>
    <col min="14118" max="14337" width="11.44140625" style="557"/>
    <col min="14338" max="14338" width="6.44140625" style="557" customWidth="1"/>
    <col min="14339" max="14339" width="47.88671875" style="557" customWidth="1"/>
    <col min="14340" max="14341" width="5" style="557" customWidth="1"/>
    <col min="14342" max="14342" width="5.33203125" style="557" customWidth="1"/>
    <col min="14343" max="14343" width="4.88671875" style="557" customWidth="1"/>
    <col min="14344" max="14345" width="4.109375" style="557" customWidth="1"/>
    <col min="14346" max="14346" width="3.5546875" style="557" customWidth="1"/>
    <col min="14347" max="14347" width="5" style="557" customWidth="1"/>
    <col min="14348" max="14348" width="4" style="557" customWidth="1"/>
    <col min="14349" max="14350" width="4.5546875" style="557" customWidth="1"/>
    <col min="14351" max="14351" width="4.109375" style="557" customWidth="1"/>
    <col min="14352" max="14352" width="4" style="557" customWidth="1"/>
    <col min="14353" max="14353" width="3.88671875" style="557" customWidth="1"/>
    <col min="14354" max="14355" width="4.6640625" style="557" customWidth="1"/>
    <col min="14356" max="14356" width="4" style="557" customWidth="1"/>
    <col min="14357" max="14357" width="4.33203125" style="557" customWidth="1"/>
    <col min="14358" max="14358" width="4.109375" style="557" customWidth="1"/>
    <col min="14359" max="14359" width="3.88671875" style="557" customWidth="1"/>
    <col min="14360" max="14360" width="4.109375" style="557" customWidth="1"/>
    <col min="14361" max="14361" width="5.5546875" style="557" customWidth="1"/>
    <col min="14362" max="14362" width="3.5546875" style="557" customWidth="1"/>
    <col min="14363" max="14363" width="4" style="557" customWidth="1"/>
    <col min="14364" max="14364" width="4.5546875" style="557" customWidth="1"/>
    <col min="14365" max="14365" width="4.44140625" style="557" customWidth="1"/>
    <col min="14366" max="14367" width="4.33203125" style="557" customWidth="1"/>
    <col min="14368" max="14369" width="4.88671875" style="557" customWidth="1"/>
    <col min="14370" max="14370" width="4" style="557" customWidth="1"/>
    <col min="14371" max="14371" width="4.6640625" style="557" customWidth="1"/>
    <col min="14372" max="14372" width="6" style="557" customWidth="1"/>
    <col min="14373" max="14373" width="8.88671875" style="557" customWidth="1"/>
    <col min="14374" max="14593" width="11.44140625" style="557"/>
    <col min="14594" max="14594" width="6.44140625" style="557" customWidth="1"/>
    <col min="14595" max="14595" width="47.88671875" style="557" customWidth="1"/>
    <col min="14596" max="14597" width="5" style="557" customWidth="1"/>
    <col min="14598" max="14598" width="5.33203125" style="557" customWidth="1"/>
    <col min="14599" max="14599" width="4.88671875" style="557" customWidth="1"/>
    <col min="14600" max="14601" width="4.109375" style="557" customWidth="1"/>
    <col min="14602" max="14602" width="3.5546875" style="557" customWidth="1"/>
    <col min="14603" max="14603" width="5" style="557" customWidth="1"/>
    <col min="14604" max="14604" width="4" style="557" customWidth="1"/>
    <col min="14605" max="14606" width="4.5546875" style="557" customWidth="1"/>
    <col min="14607" max="14607" width="4.109375" style="557" customWidth="1"/>
    <col min="14608" max="14608" width="4" style="557" customWidth="1"/>
    <col min="14609" max="14609" width="3.88671875" style="557" customWidth="1"/>
    <col min="14610" max="14611" width="4.6640625" style="557" customWidth="1"/>
    <col min="14612" max="14612" width="4" style="557" customWidth="1"/>
    <col min="14613" max="14613" width="4.33203125" style="557" customWidth="1"/>
    <col min="14614" max="14614" width="4.109375" style="557" customWidth="1"/>
    <col min="14615" max="14615" width="3.88671875" style="557" customWidth="1"/>
    <col min="14616" max="14616" width="4.109375" style="557" customWidth="1"/>
    <col min="14617" max="14617" width="5.5546875" style="557" customWidth="1"/>
    <col min="14618" max="14618" width="3.5546875" style="557" customWidth="1"/>
    <col min="14619" max="14619" width="4" style="557" customWidth="1"/>
    <col min="14620" max="14620" width="4.5546875" style="557" customWidth="1"/>
    <col min="14621" max="14621" width="4.44140625" style="557" customWidth="1"/>
    <col min="14622" max="14623" width="4.33203125" style="557" customWidth="1"/>
    <col min="14624" max="14625" width="4.88671875" style="557" customWidth="1"/>
    <col min="14626" max="14626" width="4" style="557" customWidth="1"/>
    <col min="14627" max="14627" width="4.6640625" style="557" customWidth="1"/>
    <col min="14628" max="14628" width="6" style="557" customWidth="1"/>
    <col min="14629" max="14629" width="8.88671875" style="557" customWidth="1"/>
    <col min="14630" max="14849" width="11.44140625" style="557"/>
    <col min="14850" max="14850" width="6.44140625" style="557" customWidth="1"/>
    <col min="14851" max="14851" width="47.88671875" style="557" customWidth="1"/>
    <col min="14852" max="14853" width="5" style="557" customWidth="1"/>
    <col min="14854" max="14854" width="5.33203125" style="557" customWidth="1"/>
    <col min="14855" max="14855" width="4.88671875" style="557" customWidth="1"/>
    <col min="14856" max="14857" width="4.109375" style="557" customWidth="1"/>
    <col min="14858" max="14858" width="3.5546875" style="557" customWidth="1"/>
    <col min="14859" max="14859" width="5" style="557" customWidth="1"/>
    <col min="14860" max="14860" width="4" style="557" customWidth="1"/>
    <col min="14861" max="14862" width="4.5546875" style="557" customWidth="1"/>
    <col min="14863" max="14863" width="4.109375" style="557" customWidth="1"/>
    <col min="14864" max="14864" width="4" style="557" customWidth="1"/>
    <col min="14865" max="14865" width="3.88671875" style="557" customWidth="1"/>
    <col min="14866" max="14867" width="4.6640625" style="557" customWidth="1"/>
    <col min="14868" max="14868" width="4" style="557" customWidth="1"/>
    <col min="14869" max="14869" width="4.33203125" style="557" customWidth="1"/>
    <col min="14870" max="14870" width="4.109375" style="557" customWidth="1"/>
    <col min="14871" max="14871" width="3.88671875" style="557" customWidth="1"/>
    <col min="14872" max="14872" width="4.109375" style="557" customWidth="1"/>
    <col min="14873" max="14873" width="5.5546875" style="557" customWidth="1"/>
    <col min="14874" max="14874" width="3.5546875" style="557" customWidth="1"/>
    <col min="14875" max="14875" width="4" style="557" customWidth="1"/>
    <col min="14876" max="14876" width="4.5546875" style="557" customWidth="1"/>
    <col min="14877" max="14877" width="4.44140625" style="557" customWidth="1"/>
    <col min="14878" max="14879" width="4.33203125" style="557" customWidth="1"/>
    <col min="14880" max="14881" width="4.88671875" style="557" customWidth="1"/>
    <col min="14882" max="14882" width="4" style="557" customWidth="1"/>
    <col min="14883" max="14883" width="4.6640625" style="557" customWidth="1"/>
    <col min="14884" max="14884" width="6" style="557" customWidth="1"/>
    <col min="14885" max="14885" width="8.88671875" style="557" customWidth="1"/>
    <col min="14886" max="15105" width="11.44140625" style="557"/>
    <col min="15106" max="15106" width="6.44140625" style="557" customWidth="1"/>
    <col min="15107" max="15107" width="47.88671875" style="557" customWidth="1"/>
    <col min="15108" max="15109" width="5" style="557" customWidth="1"/>
    <col min="15110" max="15110" width="5.33203125" style="557" customWidth="1"/>
    <col min="15111" max="15111" width="4.88671875" style="557" customWidth="1"/>
    <col min="15112" max="15113" width="4.109375" style="557" customWidth="1"/>
    <col min="15114" max="15114" width="3.5546875" style="557" customWidth="1"/>
    <col min="15115" max="15115" width="5" style="557" customWidth="1"/>
    <col min="15116" max="15116" width="4" style="557" customWidth="1"/>
    <col min="15117" max="15118" width="4.5546875" style="557" customWidth="1"/>
    <col min="15119" max="15119" width="4.109375" style="557" customWidth="1"/>
    <col min="15120" max="15120" width="4" style="557" customWidth="1"/>
    <col min="15121" max="15121" width="3.88671875" style="557" customWidth="1"/>
    <col min="15122" max="15123" width="4.6640625" style="557" customWidth="1"/>
    <col min="15124" max="15124" width="4" style="557" customWidth="1"/>
    <col min="15125" max="15125" width="4.33203125" style="557" customWidth="1"/>
    <col min="15126" max="15126" width="4.109375" style="557" customWidth="1"/>
    <col min="15127" max="15127" width="3.88671875" style="557" customWidth="1"/>
    <col min="15128" max="15128" width="4.109375" style="557" customWidth="1"/>
    <col min="15129" max="15129" width="5.5546875" style="557" customWidth="1"/>
    <col min="15130" max="15130" width="3.5546875" style="557" customWidth="1"/>
    <col min="15131" max="15131" width="4" style="557" customWidth="1"/>
    <col min="15132" max="15132" width="4.5546875" style="557" customWidth="1"/>
    <col min="15133" max="15133" width="4.44140625" style="557" customWidth="1"/>
    <col min="15134" max="15135" width="4.33203125" style="557" customWidth="1"/>
    <col min="15136" max="15137" width="4.88671875" style="557" customWidth="1"/>
    <col min="15138" max="15138" width="4" style="557" customWidth="1"/>
    <col min="15139" max="15139" width="4.6640625" style="557" customWidth="1"/>
    <col min="15140" max="15140" width="6" style="557" customWidth="1"/>
    <col min="15141" max="15141" width="8.88671875" style="557" customWidth="1"/>
    <col min="15142" max="15361" width="11.44140625" style="557"/>
    <col min="15362" max="15362" width="6.44140625" style="557" customWidth="1"/>
    <col min="15363" max="15363" width="47.88671875" style="557" customWidth="1"/>
    <col min="15364" max="15365" width="5" style="557" customWidth="1"/>
    <col min="15366" max="15366" width="5.33203125" style="557" customWidth="1"/>
    <col min="15367" max="15367" width="4.88671875" style="557" customWidth="1"/>
    <col min="15368" max="15369" width="4.109375" style="557" customWidth="1"/>
    <col min="15370" max="15370" width="3.5546875" style="557" customWidth="1"/>
    <col min="15371" max="15371" width="5" style="557" customWidth="1"/>
    <col min="15372" max="15372" width="4" style="557" customWidth="1"/>
    <col min="15373" max="15374" width="4.5546875" style="557" customWidth="1"/>
    <col min="15375" max="15375" width="4.109375" style="557" customWidth="1"/>
    <col min="15376" max="15376" width="4" style="557" customWidth="1"/>
    <col min="15377" max="15377" width="3.88671875" style="557" customWidth="1"/>
    <col min="15378" max="15379" width="4.6640625" style="557" customWidth="1"/>
    <col min="15380" max="15380" width="4" style="557" customWidth="1"/>
    <col min="15381" max="15381" width="4.33203125" style="557" customWidth="1"/>
    <col min="15382" max="15382" width="4.109375" style="557" customWidth="1"/>
    <col min="15383" max="15383" width="3.88671875" style="557" customWidth="1"/>
    <col min="15384" max="15384" width="4.109375" style="557" customWidth="1"/>
    <col min="15385" max="15385" width="5.5546875" style="557" customWidth="1"/>
    <col min="15386" max="15386" width="3.5546875" style="557" customWidth="1"/>
    <col min="15387" max="15387" width="4" style="557" customWidth="1"/>
    <col min="15388" max="15388" width="4.5546875" style="557" customWidth="1"/>
    <col min="15389" max="15389" width="4.44140625" style="557" customWidth="1"/>
    <col min="15390" max="15391" width="4.33203125" style="557" customWidth="1"/>
    <col min="15392" max="15393" width="4.88671875" style="557" customWidth="1"/>
    <col min="15394" max="15394" width="4" style="557" customWidth="1"/>
    <col min="15395" max="15395" width="4.6640625" style="557" customWidth="1"/>
    <col min="15396" max="15396" width="6" style="557" customWidth="1"/>
    <col min="15397" max="15397" width="8.88671875" style="557" customWidth="1"/>
    <col min="15398" max="15617" width="11.44140625" style="557"/>
    <col min="15618" max="15618" width="6.44140625" style="557" customWidth="1"/>
    <col min="15619" max="15619" width="47.88671875" style="557" customWidth="1"/>
    <col min="15620" max="15621" width="5" style="557" customWidth="1"/>
    <col min="15622" max="15622" width="5.33203125" style="557" customWidth="1"/>
    <col min="15623" max="15623" width="4.88671875" style="557" customWidth="1"/>
    <col min="15624" max="15625" width="4.109375" style="557" customWidth="1"/>
    <col min="15626" max="15626" width="3.5546875" style="557" customWidth="1"/>
    <col min="15627" max="15627" width="5" style="557" customWidth="1"/>
    <col min="15628" max="15628" width="4" style="557" customWidth="1"/>
    <col min="15629" max="15630" width="4.5546875" style="557" customWidth="1"/>
    <col min="15631" max="15631" width="4.109375" style="557" customWidth="1"/>
    <col min="15632" max="15632" width="4" style="557" customWidth="1"/>
    <col min="15633" max="15633" width="3.88671875" style="557" customWidth="1"/>
    <col min="15634" max="15635" width="4.6640625" style="557" customWidth="1"/>
    <col min="15636" max="15636" width="4" style="557" customWidth="1"/>
    <col min="15637" max="15637" width="4.33203125" style="557" customWidth="1"/>
    <col min="15638" max="15638" width="4.109375" style="557" customWidth="1"/>
    <col min="15639" max="15639" width="3.88671875" style="557" customWidth="1"/>
    <col min="15640" max="15640" width="4.109375" style="557" customWidth="1"/>
    <col min="15641" max="15641" width="5.5546875" style="557" customWidth="1"/>
    <col min="15642" max="15642" width="3.5546875" style="557" customWidth="1"/>
    <col min="15643" max="15643" width="4" style="557" customWidth="1"/>
    <col min="15644" max="15644" width="4.5546875" style="557" customWidth="1"/>
    <col min="15645" max="15645" width="4.44140625" style="557" customWidth="1"/>
    <col min="15646" max="15647" width="4.33203125" style="557" customWidth="1"/>
    <col min="15648" max="15649" width="4.88671875" style="557" customWidth="1"/>
    <col min="15650" max="15650" width="4" style="557" customWidth="1"/>
    <col min="15651" max="15651" width="4.6640625" style="557" customWidth="1"/>
    <col min="15652" max="15652" width="6" style="557" customWidth="1"/>
    <col min="15653" max="15653" width="8.88671875" style="557" customWidth="1"/>
    <col min="15654" max="15873" width="11.44140625" style="557"/>
    <col min="15874" max="15874" width="6.44140625" style="557" customWidth="1"/>
    <col min="15875" max="15875" width="47.88671875" style="557" customWidth="1"/>
    <col min="15876" max="15877" width="5" style="557" customWidth="1"/>
    <col min="15878" max="15878" width="5.33203125" style="557" customWidth="1"/>
    <col min="15879" max="15879" width="4.88671875" style="557" customWidth="1"/>
    <col min="15880" max="15881" width="4.109375" style="557" customWidth="1"/>
    <col min="15882" max="15882" width="3.5546875" style="557" customWidth="1"/>
    <col min="15883" max="15883" width="5" style="557" customWidth="1"/>
    <col min="15884" max="15884" width="4" style="557" customWidth="1"/>
    <col min="15885" max="15886" width="4.5546875" style="557" customWidth="1"/>
    <col min="15887" max="15887" width="4.109375" style="557" customWidth="1"/>
    <col min="15888" max="15888" width="4" style="557" customWidth="1"/>
    <col min="15889" max="15889" width="3.88671875" style="557" customWidth="1"/>
    <col min="15890" max="15891" width="4.6640625" style="557" customWidth="1"/>
    <col min="15892" max="15892" width="4" style="557" customWidth="1"/>
    <col min="15893" max="15893" width="4.33203125" style="557" customWidth="1"/>
    <col min="15894" max="15894" width="4.109375" style="557" customWidth="1"/>
    <col min="15895" max="15895" width="3.88671875" style="557" customWidth="1"/>
    <col min="15896" max="15896" width="4.109375" style="557" customWidth="1"/>
    <col min="15897" max="15897" width="5.5546875" style="557" customWidth="1"/>
    <col min="15898" max="15898" width="3.5546875" style="557" customWidth="1"/>
    <col min="15899" max="15899" width="4" style="557" customWidth="1"/>
    <col min="15900" max="15900" width="4.5546875" style="557" customWidth="1"/>
    <col min="15901" max="15901" width="4.44140625" style="557" customWidth="1"/>
    <col min="15902" max="15903" width="4.33203125" style="557" customWidth="1"/>
    <col min="15904" max="15905" width="4.88671875" style="557" customWidth="1"/>
    <col min="15906" max="15906" width="4" style="557" customWidth="1"/>
    <col min="15907" max="15907" width="4.6640625" style="557" customWidth="1"/>
    <col min="15908" max="15908" width="6" style="557" customWidth="1"/>
    <col min="15909" max="15909" width="8.88671875" style="557" customWidth="1"/>
    <col min="15910" max="16129" width="11.44140625" style="557"/>
    <col min="16130" max="16130" width="6.44140625" style="557" customWidth="1"/>
    <col min="16131" max="16131" width="47.88671875" style="557" customWidth="1"/>
    <col min="16132" max="16133" width="5" style="557" customWidth="1"/>
    <col min="16134" max="16134" width="5.33203125" style="557" customWidth="1"/>
    <col min="16135" max="16135" width="4.88671875" style="557" customWidth="1"/>
    <col min="16136" max="16137" width="4.109375" style="557" customWidth="1"/>
    <col min="16138" max="16138" width="3.5546875" style="557" customWidth="1"/>
    <col min="16139" max="16139" width="5" style="557" customWidth="1"/>
    <col min="16140" max="16140" width="4" style="557" customWidth="1"/>
    <col min="16141" max="16142" width="4.5546875" style="557" customWidth="1"/>
    <col min="16143" max="16143" width="4.109375" style="557" customWidth="1"/>
    <col min="16144" max="16144" width="4" style="557" customWidth="1"/>
    <col min="16145" max="16145" width="3.88671875" style="557" customWidth="1"/>
    <col min="16146" max="16147" width="4.6640625" style="557" customWidth="1"/>
    <col min="16148" max="16148" width="4" style="557" customWidth="1"/>
    <col min="16149" max="16149" width="4.33203125" style="557" customWidth="1"/>
    <col min="16150" max="16150" width="4.109375" style="557" customWidth="1"/>
    <col min="16151" max="16151" width="3.88671875" style="557" customWidth="1"/>
    <col min="16152" max="16152" width="4.109375" style="557" customWidth="1"/>
    <col min="16153" max="16153" width="5.5546875" style="557" customWidth="1"/>
    <col min="16154" max="16154" width="3.5546875" style="557" customWidth="1"/>
    <col min="16155" max="16155" width="4" style="557" customWidth="1"/>
    <col min="16156" max="16156" width="4.5546875" style="557" customWidth="1"/>
    <col min="16157" max="16157" width="4.44140625" style="557" customWidth="1"/>
    <col min="16158" max="16159" width="4.33203125" style="557" customWidth="1"/>
    <col min="16160" max="16161" width="4.88671875" style="557" customWidth="1"/>
    <col min="16162" max="16162" width="4" style="557" customWidth="1"/>
    <col min="16163" max="16163" width="4.6640625" style="557" customWidth="1"/>
    <col min="16164" max="16164" width="6" style="557" customWidth="1"/>
    <col min="16165" max="16165" width="8.88671875" style="557" customWidth="1"/>
    <col min="16166" max="16384" width="11.44140625" style="557"/>
  </cols>
  <sheetData>
    <row r="1" spans="1:40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  <c r="R1" s="557"/>
      <c r="Y1" s="557"/>
      <c r="AD1" s="557"/>
      <c r="AF1" s="557"/>
      <c r="AG1" s="557"/>
    </row>
    <row r="2" spans="1:40">
      <c r="A2" s="1539" t="s">
        <v>1788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  <c r="R2" s="557"/>
      <c r="Y2" s="557"/>
      <c r="AD2" s="557"/>
      <c r="AF2" s="557"/>
      <c r="AG2" s="557"/>
    </row>
    <row r="3" spans="1:40">
      <c r="A3" s="615"/>
      <c r="D3" s="557"/>
      <c r="K3" s="557"/>
      <c r="R3" s="557"/>
      <c r="Y3" s="557"/>
      <c r="AD3" s="557"/>
      <c r="AF3" s="557"/>
      <c r="AG3" s="557"/>
    </row>
    <row r="4" spans="1:40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  <c r="R4" s="557"/>
      <c r="Y4" s="557"/>
      <c r="AD4" s="557"/>
      <c r="AF4" s="557"/>
      <c r="AG4" s="557"/>
    </row>
    <row r="5" spans="1:40" ht="12.75" customHeight="1">
      <c r="A5" s="617"/>
      <c r="B5" s="1541" t="e">
        <f>#REF!</f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  <c r="R5" s="557"/>
      <c r="Y5" s="557"/>
      <c r="AD5" s="557"/>
      <c r="AF5" s="557"/>
      <c r="AG5" s="557"/>
    </row>
    <row r="6" spans="1:40" ht="13.5" customHeight="1">
      <c r="B6" s="619"/>
      <c r="C6" s="561"/>
      <c r="D6" s="557"/>
      <c r="K6" s="557"/>
      <c r="R6" s="557"/>
      <c r="Y6" s="557"/>
      <c r="AD6" s="557"/>
      <c r="AF6" s="557"/>
      <c r="AG6" s="557"/>
    </row>
    <row r="7" spans="1:40" ht="13.5" customHeight="1">
      <c r="B7" s="619"/>
      <c r="C7" s="561"/>
      <c r="D7" s="557"/>
      <c r="K7" s="557"/>
      <c r="R7" s="557"/>
      <c r="Y7" s="557"/>
      <c r="AD7" s="557"/>
      <c r="AF7" s="557"/>
      <c r="AG7" s="557"/>
    </row>
    <row r="8" spans="1:40" ht="13.5" customHeight="1" thickBot="1">
      <c r="B8" s="619"/>
      <c r="C8" s="561"/>
      <c r="D8" s="1119" t="s">
        <v>2061</v>
      </c>
      <c r="E8" s="1119" t="s">
        <v>2043</v>
      </c>
      <c r="F8" s="1119" t="s">
        <v>2044</v>
      </c>
      <c r="G8" s="1119" t="s">
        <v>2045</v>
      </c>
      <c r="H8" s="1119" t="s">
        <v>2039</v>
      </c>
      <c r="I8" s="1119" t="s">
        <v>2040</v>
      </c>
      <c r="J8" s="1119" t="s">
        <v>2041</v>
      </c>
      <c r="K8" s="1119" t="s">
        <v>2042</v>
      </c>
      <c r="L8" s="1119" t="s">
        <v>2043</v>
      </c>
      <c r="M8" s="1119" t="s">
        <v>2044</v>
      </c>
      <c r="N8" s="1119" t="s">
        <v>2045</v>
      </c>
      <c r="O8" s="1111" t="s">
        <v>2039</v>
      </c>
      <c r="P8" s="1119" t="s">
        <v>2040</v>
      </c>
      <c r="Q8" s="1119" t="s">
        <v>2041</v>
      </c>
      <c r="R8" s="1119" t="s">
        <v>2042</v>
      </c>
      <c r="S8" s="1119" t="s">
        <v>2043</v>
      </c>
      <c r="T8" s="1119" t="s">
        <v>2044</v>
      </c>
      <c r="U8" s="1119" t="s">
        <v>2045</v>
      </c>
      <c r="V8" s="1119" t="s">
        <v>2039</v>
      </c>
      <c r="W8" s="1119" t="s">
        <v>2040</v>
      </c>
      <c r="X8" s="1119" t="s">
        <v>2041</v>
      </c>
      <c r="Y8" s="1119" t="s">
        <v>2042</v>
      </c>
      <c r="Z8" s="1119" t="s">
        <v>2043</v>
      </c>
      <c r="AA8" s="1119" t="s">
        <v>2044</v>
      </c>
      <c r="AB8" s="1119" t="s">
        <v>2045</v>
      </c>
      <c r="AC8" s="1119" t="s">
        <v>2039</v>
      </c>
      <c r="AD8" s="1119" t="s">
        <v>2040</v>
      </c>
      <c r="AE8" s="1119" t="s">
        <v>2041</v>
      </c>
      <c r="AF8" s="1119" t="s">
        <v>2042</v>
      </c>
      <c r="AG8" s="1119" t="s">
        <v>2043</v>
      </c>
      <c r="AH8" s="929" t="s">
        <v>2044</v>
      </c>
      <c r="AI8" s="929"/>
      <c r="AJ8" s="596"/>
    </row>
    <row r="9" spans="1:40" ht="13.8" thickBot="1">
      <c r="A9" s="1543" t="s">
        <v>284</v>
      </c>
      <c r="B9" s="1543" t="s">
        <v>19</v>
      </c>
      <c r="C9" s="562"/>
      <c r="D9" s="1118">
        <v>1</v>
      </c>
      <c r="E9" s="1118">
        <f t="shared" ref="E9:AH9" si="0">+D9+1</f>
        <v>2</v>
      </c>
      <c r="F9" s="1118">
        <f t="shared" si="0"/>
        <v>3</v>
      </c>
      <c r="G9" s="1118">
        <f t="shared" si="0"/>
        <v>4</v>
      </c>
      <c r="H9" s="1118">
        <f t="shared" si="0"/>
        <v>5</v>
      </c>
      <c r="I9" s="1118">
        <f t="shared" si="0"/>
        <v>6</v>
      </c>
      <c r="J9" s="1118">
        <f t="shared" si="0"/>
        <v>7</v>
      </c>
      <c r="K9" s="1118">
        <f t="shared" si="0"/>
        <v>8</v>
      </c>
      <c r="L9" s="1118">
        <f t="shared" si="0"/>
        <v>9</v>
      </c>
      <c r="M9" s="1118">
        <f t="shared" si="0"/>
        <v>10</v>
      </c>
      <c r="N9" s="1118">
        <f t="shared" si="0"/>
        <v>11</v>
      </c>
      <c r="O9" s="788">
        <f t="shared" si="0"/>
        <v>12</v>
      </c>
      <c r="P9" s="1118">
        <f t="shared" si="0"/>
        <v>13</v>
      </c>
      <c r="Q9" s="1118">
        <f t="shared" si="0"/>
        <v>14</v>
      </c>
      <c r="R9" s="1118">
        <f t="shared" si="0"/>
        <v>15</v>
      </c>
      <c r="S9" s="1118">
        <f t="shared" si="0"/>
        <v>16</v>
      </c>
      <c r="T9" s="1118">
        <f t="shared" si="0"/>
        <v>17</v>
      </c>
      <c r="U9" s="1118">
        <f t="shared" si="0"/>
        <v>18</v>
      </c>
      <c r="V9" s="1118">
        <f t="shared" si="0"/>
        <v>19</v>
      </c>
      <c r="W9" s="1118">
        <f t="shared" si="0"/>
        <v>20</v>
      </c>
      <c r="X9" s="1118">
        <f t="shared" si="0"/>
        <v>21</v>
      </c>
      <c r="Y9" s="1118">
        <f t="shared" si="0"/>
        <v>22</v>
      </c>
      <c r="Z9" s="1118">
        <f t="shared" si="0"/>
        <v>23</v>
      </c>
      <c r="AA9" s="1118">
        <f t="shared" si="0"/>
        <v>24</v>
      </c>
      <c r="AB9" s="1118">
        <f t="shared" si="0"/>
        <v>25</v>
      </c>
      <c r="AC9" s="1118">
        <f t="shared" si="0"/>
        <v>26</v>
      </c>
      <c r="AD9" s="1118">
        <f t="shared" si="0"/>
        <v>27</v>
      </c>
      <c r="AE9" s="1118">
        <f t="shared" si="0"/>
        <v>28</v>
      </c>
      <c r="AF9" s="1118">
        <f t="shared" si="0"/>
        <v>29</v>
      </c>
      <c r="AG9" s="1118">
        <f t="shared" si="0"/>
        <v>30</v>
      </c>
      <c r="AH9" s="1118">
        <f t="shared" si="0"/>
        <v>31</v>
      </c>
      <c r="AI9" s="565" t="s">
        <v>345</v>
      </c>
      <c r="AJ9" s="1085"/>
      <c r="AK9" s="746" t="s">
        <v>25</v>
      </c>
      <c r="AL9" s="745" t="s">
        <v>1808</v>
      </c>
      <c r="AM9" s="745" t="s">
        <v>1807</v>
      </c>
      <c r="AN9" s="566" t="s">
        <v>24</v>
      </c>
    </row>
    <row r="10" spans="1:40" ht="13.8" thickBot="1">
      <c r="A10" s="1544"/>
      <c r="B10" s="1544"/>
      <c r="C10" s="951" t="s">
        <v>72</v>
      </c>
      <c r="D10" s="1024" t="s">
        <v>291</v>
      </c>
      <c r="E10" s="568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568" t="s">
        <v>291</v>
      </c>
      <c r="N10" s="568" t="s">
        <v>291</v>
      </c>
      <c r="O10" s="789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568" t="s">
        <v>291</v>
      </c>
      <c r="AF10" s="568" t="s">
        <v>291</v>
      </c>
      <c r="AG10" s="1024" t="s">
        <v>291</v>
      </c>
      <c r="AH10" s="568" t="s">
        <v>291</v>
      </c>
      <c r="AI10" s="570" t="s">
        <v>286</v>
      </c>
      <c r="AJ10" s="1086"/>
      <c r="AK10" s="742" t="s">
        <v>286</v>
      </c>
      <c r="AL10" s="745"/>
      <c r="AM10" s="745"/>
      <c r="AN10" s="566"/>
    </row>
    <row r="11" spans="1:40" s="579" customFormat="1">
      <c r="A11" s="606" t="s">
        <v>32</v>
      </c>
      <c r="B11" s="606" t="s">
        <v>1118</v>
      </c>
      <c r="C11" s="1104"/>
      <c r="D11" s="744"/>
      <c r="E11" s="1106"/>
      <c r="F11" s="571"/>
      <c r="G11" s="571"/>
      <c r="H11" s="571"/>
      <c r="I11" s="1022"/>
      <c r="J11" s="573"/>
      <c r="K11" s="573"/>
      <c r="L11" s="575"/>
      <c r="M11" s="571"/>
      <c r="N11" s="575"/>
      <c r="O11" s="809"/>
      <c r="P11" s="575"/>
      <c r="Q11" s="583"/>
      <c r="R11" s="583"/>
      <c r="S11" s="575"/>
      <c r="T11" s="571"/>
      <c r="U11" s="575"/>
      <c r="V11" s="575"/>
      <c r="W11" s="583"/>
      <c r="X11" s="575"/>
      <c r="Y11" s="583"/>
      <c r="Z11" s="583"/>
      <c r="AA11" s="1022"/>
      <c r="AB11" s="583"/>
      <c r="AC11" s="583"/>
      <c r="AD11" s="583"/>
      <c r="AE11" s="583"/>
      <c r="AF11" s="583"/>
      <c r="AG11" s="949"/>
      <c r="AH11" s="842"/>
      <c r="AI11" s="738">
        <f t="shared" ref="AI11:AI25" si="1">ROUND((SUM(E11:AH11)),2)</f>
        <v>0</v>
      </c>
      <c r="AJ11" s="843"/>
      <c r="AK11" s="949"/>
      <c r="AL11" s="581"/>
      <c r="AM11" s="747"/>
      <c r="AN11" s="744"/>
    </row>
    <row r="12" spans="1:40" s="560" customFormat="1">
      <c r="A12" s="492" t="s">
        <v>34</v>
      </c>
      <c r="B12" s="608" t="s">
        <v>1119</v>
      </c>
      <c r="C12" s="1105"/>
      <c r="D12" s="741"/>
      <c r="E12" s="1011"/>
      <c r="F12" s="581"/>
      <c r="G12" s="581"/>
      <c r="H12" s="581"/>
      <c r="I12" s="949"/>
      <c r="J12" s="949"/>
      <c r="K12" s="949"/>
      <c r="L12" s="575"/>
      <c r="M12" s="581"/>
      <c r="N12" s="575"/>
      <c r="O12" s="809"/>
      <c r="P12" s="575"/>
      <c r="Q12" s="583"/>
      <c r="R12" s="583"/>
      <c r="S12" s="575"/>
      <c r="T12" s="581"/>
      <c r="U12" s="575"/>
      <c r="V12" s="575"/>
      <c r="W12" s="583"/>
      <c r="X12" s="575"/>
      <c r="Y12" s="583"/>
      <c r="Z12" s="583"/>
      <c r="AA12" s="581"/>
      <c r="AB12" s="583"/>
      <c r="AC12" s="583"/>
      <c r="AD12" s="583"/>
      <c r="AE12" s="583"/>
      <c r="AF12" s="583"/>
      <c r="AG12" s="949"/>
      <c r="AH12" s="842"/>
      <c r="AI12" s="738">
        <f t="shared" si="1"/>
        <v>0</v>
      </c>
      <c r="AJ12" s="843"/>
      <c r="AK12" s="949"/>
      <c r="AL12" s="581"/>
      <c r="AM12" s="746"/>
      <c r="AN12" s="741"/>
    </row>
    <row r="13" spans="1:40" s="560" customFormat="1">
      <c r="A13" s="604" t="s">
        <v>525</v>
      </c>
      <c r="B13" s="604" t="s">
        <v>1809</v>
      </c>
      <c r="C13" s="1041" t="s">
        <v>63</v>
      </c>
      <c r="D13" s="741"/>
      <c r="E13" s="1113">
        <v>0.25</v>
      </c>
      <c r="F13" s="581"/>
      <c r="G13" s="581"/>
      <c r="H13" s="581"/>
      <c r="I13" s="949"/>
      <c r="J13" s="949"/>
      <c r="K13" s="949"/>
      <c r="L13" s="575"/>
      <c r="M13" s="581"/>
      <c r="N13" s="583"/>
      <c r="O13" s="809"/>
      <c r="P13" s="575"/>
      <c r="Q13" s="583"/>
      <c r="R13" s="583"/>
      <c r="S13" s="575"/>
      <c r="T13" s="581"/>
      <c r="U13" s="575"/>
      <c r="V13" s="575"/>
      <c r="W13" s="583"/>
      <c r="X13" s="575"/>
      <c r="Y13" s="583"/>
      <c r="Z13" s="583"/>
      <c r="AA13" s="581"/>
      <c r="AB13" s="583"/>
      <c r="AC13" s="583"/>
      <c r="AD13" s="583"/>
      <c r="AE13" s="583"/>
      <c r="AF13" s="583"/>
      <c r="AG13" s="949"/>
      <c r="AH13" s="842"/>
      <c r="AI13" s="1065">
        <f t="shared" si="1"/>
        <v>0.25</v>
      </c>
      <c r="AJ13" s="843"/>
      <c r="AK13" s="949">
        <v>0</v>
      </c>
      <c r="AL13" s="581">
        <f t="shared" ref="AL13:AL26" si="2">AI13+AK13</f>
        <v>0.25</v>
      </c>
      <c r="AM13" s="746" t="s">
        <v>1441</v>
      </c>
      <c r="AN13" s="743">
        <f t="shared" ref="AN13:AN26" si="3">AM13-AL13</f>
        <v>0.75</v>
      </c>
    </row>
    <row r="14" spans="1:40" s="560" customFormat="1">
      <c r="A14" s="492" t="s">
        <v>537</v>
      </c>
      <c r="B14" s="608" t="s">
        <v>1133</v>
      </c>
      <c r="C14" s="1042"/>
      <c r="D14" s="741"/>
      <c r="E14" s="1011"/>
      <c r="F14" s="581"/>
      <c r="G14" s="581"/>
      <c r="H14" s="581"/>
      <c r="I14" s="741"/>
      <c r="J14" s="949"/>
      <c r="K14" s="949"/>
      <c r="L14" s="575"/>
      <c r="M14" s="581"/>
      <c r="N14" s="575"/>
      <c r="O14" s="809"/>
      <c r="P14" s="949"/>
      <c r="Q14" s="583"/>
      <c r="R14" s="583"/>
      <c r="S14" s="575"/>
      <c r="T14" s="581"/>
      <c r="U14" s="575"/>
      <c r="V14" s="575"/>
      <c r="W14" s="583"/>
      <c r="X14" s="575"/>
      <c r="Y14" s="583"/>
      <c r="Z14" s="583"/>
      <c r="AA14" s="581"/>
      <c r="AB14" s="583"/>
      <c r="AC14" s="583"/>
      <c r="AD14" s="583"/>
      <c r="AE14" s="583"/>
      <c r="AF14" s="583"/>
      <c r="AG14" s="949"/>
      <c r="AH14" s="842"/>
      <c r="AI14" s="738">
        <f t="shared" si="1"/>
        <v>0</v>
      </c>
      <c r="AJ14" s="843"/>
      <c r="AK14" s="949">
        <v>0</v>
      </c>
      <c r="AL14" s="581">
        <f t="shared" si="2"/>
        <v>0</v>
      </c>
      <c r="AM14" s="746"/>
      <c r="AN14" s="743">
        <f t="shared" si="3"/>
        <v>0</v>
      </c>
    </row>
    <row r="15" spans="1:40" s="560" customFormat="1">
      <c r="A15" s="604" t="s">
        <v>542</v>
      </c>
      <c r="B15" s="610" t="s">
        <v>1138</v>
      </c>
      <c r="C15" s="1040" t="s">
        <v>63</v>
      </c>
      <c r="D15" s="741"/>
      <c r="E15" s="1112">
        <v>0.25</v>
      </c>
      <c r="F15" s="949"/>
      <c r="G15" s="949"/>
      <c r="H15" s="581"/>
      <c r="I15" s="741"/>
      <c r="J15" s="949"/>
      <c r="K15" s="949"/>
      <c r="L15" s="575"/>
      <c r="M15" s="949"/>
      <c r="N15" s="575"/>
      <c r="O15" s="809"/>
      <c r="P15" s="949"/>
      <c r="Q15" s="583"/>
      <c r="R15" s="583"/>
      <c r="S15" s="575"/>
      <c r="T15" s="949"/>
      <c r="U15" s="575"/>
      <c r="V15" s="575"/>
      <c r="W15" s="583"/>
      <c r="X15" s="575"/>
      <c r="Y15" s="583"/>
      <c r="Z15" s="583"/>
      <c r="AA15" s="949"/>
      <c r="AB15" s="583"/>
      <c r="AC15" s="583"/>
      <c r="AD15" s="583"/>
      <c r="AE15" s="583"/>
      <c r="AF15" s="583"/>
      <c r="AG15" s="949"/>
      <c r="AH15" s="843"/>
      <c r="AI15" s="1065">
        <f t="shared" si="1"/>
        <v>0.25</v>
      </c>
      <c r="AJ15" s="843"/>
      <c r="AK15" s="949">
        <v>0</v>
      </c>
      <c r="AL15" s="581">
        <f t="shared" si="2"/>
        <v>0.25</v>
      </c>
      <c r="AM15" s="746" t="s">
        <v>1441</v>
      </c>
      <c r="AN15" s="743">
        <f t="shared" si="3"/>
        <v>0.75</v>
      </c>
    </row>
    <row r="16" spans="1:40" s="579" customFormat="1" ht="13.8" thickBot="1">
      <c r="A16" s="604" t="s">
        <v>543</v>
      </c>
      <c r="B16" s="610" t="s">
        <v>1139</v>
      </c>
      <c r="C16" s="1040" t="s">
        <v>63</v>
      </c>
      <c r="D16" s="744"/>
      <c r="E16" s="1112">
        <v>0.25</v>
      </c>
      <c r="F16" s="949"/>
      <c r="G16" s="588"/>
      <c r="H16" s="587"/>
      <c r="I16" s="741"/>
      <c r="J16" s="588"/>
      <c r="K16" s="588"/>
      <c r="L16" s="575"/>
      <c r="M16" s="949"/>
      <c r="N16" s="575"/>
      <c r="O16" s="809"/>
      <c r="P16" s="588"/>
      <c r="Q16" s="583"/>
      <c r="R16" s="583"/>
      <c r="S16" s="575"/>
      <c r="T16" s="949"/>
      <c r="U16" s="575"/>
      <c r="V16" s="575"/>
      <c r="W16" s="583"/>
      <c r="X16" s="575"/>
      <c r="Y16" s="583"/>
      <c r="Z16" s="583"/>
      <c r="AA16" s="949"/>
      <c r="AB16" s="583"/>
      <c r="AC16" s="583"/>
      <c r="AD16" s="583"/>
      <c r="AE16" s="583"/>
      <c r="AF16" s="583"/>
      <c r="AG16" s="949"/>
      <c r="AH16" s="843"/>
      <c r="AI16" s="1065">
        <f t="shared" si="1"/>
        <v>0.25</v>
      </c>
      <c r="AJ16" s="843"/>
      <c r="AK16" s="949">
        <v>0</v>
      </c>
      <c r="AL16" s="581">
        <f t="shared" si="2"/>
        <v>0.25</v>
      </c>
      <c r="AM16" s="747" t="s">
        <v>1441</v>
      </c>
      <c r="AN16" s="743">
        <f t="shared" si="3"/>
        <v>0.75</v>
      </c>
    </row>
    <row r="17" spans="1:40" s="897" customFormat="1">
      <c r="A17" s="606" t="s">
        <v>41</v>
      </c>
      <c r="B17" s="606" t="s">
        <v>1140</v>
      </c>
      <c r="C17" s="1042"/>
      <c r="D17" s="741"/>
      <c r="E17" s="1011"/>
      <c r="F17" s="581"/>
      <c r="G17" s="581"/>
      <c r="H17" s="581"/>
      <c r="I17" s="949"/>
      <c r="J17" s="949"/>
      <c r="K17" s="949"/>
      <c r="L17" s="575"/>
      <c r="M17" s="581"/>
      <c r="N17" s="575"/>
      <c r="O17" s="809"/>
      <c r="P17" s="575"/>
      <c r="Q17" s="583"/>
      <c r="R17" s="583"/>
      <c r="S17" s="575"/>
      <c r="T17" s="581"/>
      <c r="U17" s="575"/>
      <c r="V17" s="575"/>
      <c r="W17" s="583"/>
      <c r="X17" s="575"/>
      <c r="Y17" s="583"/>
      <c r="Z17" s="583"/>
      <c r="AA17" s="581"/>
      <c r="AB17" s="583"/>
      <c r="AC17" s="583"/>
      <c r="AD17" s="583"/>
      <c r="AE17" s="583"/>
      <c r="AF17" s="583"/>
      <c r="AG17" s="949"/>
      <c r="AH17" s="842"/>
      <c r="AI17" s="738">
        <f t="shared" si="1"/>
        <v>0</v>
      </c>
      <c r="AJ17" s="843"/>
      <c r="AK17" s="890">
        <v>0</v>
      </c>
      <c r="AL17" s="889">
        <f t="shared" si="2"/>
        <v>0</v>
      </c>
      <c r="AM17" s="895"/>
      <c r="AN17" s="896">
        <f t="shared" si="3"/>
        <v>0</v>
      </c>
    </row>
    <row r="18" spans="1:40" s="560" customFormat="1">
      <c r="A18" s="492" t="s">
        <v>42</v>
      </c>
      <c r="B18" s="608" t="s">
        <v>1141</v>
      </c>
      <c r="C18" s="1042"/>
      <c r="D18" s="741"/>
      <c r="E18" s="1011"/>
      <c r="F18" s="581"/>
      <c r="G18" s="581"/>
      <c r="H18" s="581"/>
      <c r="I18" s="949"/>
      <c r="J18" s="949"/>
      <c r="K18" s="949"/>
      <c r="L18" s="575"/>
      <c r="M18" s="581"/>
      <c r="N18" s="575"/>
      <c r="O18" s="809"/>
      <c r="P18" s="575"/>
      <c r="Q18" s="583"/>
      <c r="R18" s="583"/>
      <c r="S18" s="575"/>
      <c r="T18" s="581"/>
      <c r="U18" s="575"/>
      <c r="V18" s="575"/>
      <c r="W18" s="583"/>
      <c r="X18" s="575"/>
      <c r="Y18" s="583"/>
      <c r="Z18" s="583"/>
      <c r="AA18" s="581"/>
      <c r="AB18" s="583"/>
      <c r="AC18" s="583"/>
      <c r="AD18" s="583"/>
      <c r="AE18" s="583"/>
      <c r="AF18" s="583"/>
      <c r="AG18" s="949"/>
      <c r="AH18" s="842"/>
      <c r="AI18" s="738">
        <f t="shared" si="1"/>
        <v>0</v>
      </c>
      <c r="AJ18" s="843"/>
      <c r="AK18" s="949">
        <v>0</v>
      </c>
      <c r="AL18" s="581">
        <f t="shared" si="2"/>
        <v>0</v>
      </c>
      <c r="AM18" s="746"/>
      <c r="AN18" s="743">
        <f t="shared" si="3"/>
        <v>0</v>
      </c>
    </row>
    <row r="19" spans="1:40" s="560" customFormat="1">
      <c r="A19" s="607" t="s">
        <v>52</v>
      </c>
      <c r="B19" s="607" t="s">
        <v>45</v>
      </c>
      <c r="C19" s="1042"/>
      <c r="D19" s="741"/>
      <c r="E19" s="1011"/>
      <c r="F19" s="581"/>
      <c r="G19" s="581"/>
      <c r="H19" s="581"/>
      <c r="I19" s="949"/>
      <c r="J19" s="949"/>
      <c r="K19" s="949"/>
      <c r="L19" s="575"/>
      <c r="M19" s="581"/>
      <c r="N19" s="575"/>
      <c r="O19" s="809"/>
      <c r="P19" s="575"/>
      <c r="Q19" s="583"/>
      <c r="R19" s="583"/>
      <c r="S19" s="575"/>
      <c r="T19" s="581"/>
      <c r="U19" s="575"/>
      <c r="V19" s="575"/>
      <c r="W19" s="583"/>
      <c r="X19" s="575"/>
      <c r="Y19" s="583"/>
      <c r="Z19" s="583"/>
      <c r="AA19" s="581"/>
      <c r="AB19" s="583"/>
      <c r="AC19" s="583"/>
      <c r="AD19" s="583"/>
      <c r="AE19" s="583"/>
      <c r="AF19" s="583"/>
      <c r="AG19" s="949"/>
      <c r="AH19" s="842"/>
      <c r="AI19" s="738">
        <f t="shared" si="1"/>
        <v>0</v>
      </c>
      <c r="AJ19" s="843"/>
      <c r="AK19" s="949">
        <v>0</v>
      </c>
      <c r="AL19" s="581">
        <f t="shared" si="2"/>
        <v>0</v>
      </c>
      <c r="AM19" s="746"/>
      <c r="AN19" s="743">
        <f t="shared" si="3"/>
        <v>0</v>
      </c>
    </row>
    <row r="20" spans="1:40" s="560" customFormat="1">
      <c r="A20" s="604" t="s">
        <v>547</v>
      </c>
      <c r="B20" s="604" t="s">
        <v>1145</v>
      </c>
      <c r="C20" s="1040" t="s">
        <v>36</v>
      </c>
      <c r="D20" s="741"/>
      <c r="E20" s="1108"/>
      <c r="F20" s="741"/>
      <c r="G20" s="741"/>
      <c r="H20" s="581"/>
      <c r="I20" s="949"/>
      <c r="J20" s="949"/>
      <c r="K20" s="949"/>
      <c r="L20" s="575"/>
      <c r="M20" s="581"/>
      <c r="N20" s="575"/>
      <c r="O20" s="809"/>
      <c r="P20" s="575"/>
      <c r="Q20" s="583"/>
      <c r="R20" s="583"/>
      <c r="S20" s="575"/>
      <c r="T20" s="581"/>
      <c r="U20" s="575"/>
      <c r="V20" s="575"/>
      <c r="W20" s="583"/>
      <c r="X20" s="575"/>
      <c r="Y20" s="583"/>
      <c r="Z20" s="583"/>
      <c r="AA20" s="581"/>
      <c r="AB20" s="1096">
        <v>13.03</v>
      </c>
      <c r="AC20" s="583"/>
      <c r="AD20" s="583"/>
      <c r="AE20" s="583"/>
      <c r="AF20" s="583"/>
      <c r="AG20" s="1092">
        <v>13</v>
      </c>
      <c r="AH20" s="842"/>
      <c r="AI20" s="1065">
        <f t="shared" si="1"/>
        <v>26.03</v>
      </c>
      <c r="AJ20" s="843"/>
      <c r="AK20" s="949">
        <v>0</v>
      </c>
      <c r="AL20" s="581">
        <f t="shared" si="2"/>
        <v>26.03</v>
      </c>
      <c r="AM20" s="746" t="s">
        <v>1449</v>
      </c>
      <c r="AN20" s="743">
        <f t="shared" si="3"/>
        <v>0</v>
      </c>
    </row>
    <row r="21" spans="1:40" s="560" customFormat="1" ht="11.25" customHeight="1">
      <c r="A21" s="607" t="s">
        <v>550</v>
      </c>
      <c r="B21" s="607" t="s">
        <v>1148</v>
      </c>
      <c r="C21" s="1042"/>
      <c r="D21" s="741"/>
      <c r="E21" s="1108"/>
      <c r="F21" s="741"/>
      <c r="G21" s="741"/>
      <c r="H21" s="581"/>
      <c r="I21" s="949"/>
      <c r="J21" s="949"/>
      <c r="K21" s="949"/>
      <c r="L21" s="575"/>
      <c r="M21" s="581"/>
      <c r="N21" s="575"/>
      <c r="O21" s="809"/>
      <c r="P21" s="575"/>
      <c r="Q21" s="583"/>
      <c r="R21" s="583"/>
      <c r="S21" s="575"/>
      <c r="T21" s="581"/>
      <c r="U21" s="575"/>
      <c r="V21" s="575"/>
      <c r="W21" s="583"/>
      <c r="X21" s="575"/>
      <c r="Y21" s="583"/>
      <c r="Z21" s="583"/>
      <c r="AA21" s="581"/>
      <c r="AB21" s="583"/>
      <c r="AC21" s="583"/>
      <c r="AD21" s="583"/>
      <c r="AE21" s="583"/>
      <c r="AF21" s="583"/>
      <c r="AG21" s="949"/>
      <c r="AH21" s="842"/>
      <c r="AI21" s="738">
        <f t="shared" si="1"/>
        <v>0</v>
      </c>
      <c r="AJ21" s="843"/>
      <c r="AK21" s="949">
        <v>0</v>
      </c>
      <c r="AL21" s="581">
        <f t="shared" si="2"/>
        <v>0</v>
      </c>
      <c r="AM21" s="746"/>
      <c r="AN21" s="743">
        <f t="shared" si="3"/>
        <v>0</v>
      </c>
    </row>
    <row r="22" spans="1:40" s="560" customFormat="1">
      <c r="A22" s="604" t="s">
        <v>554</v>
      </c>
      <c r="B22" s="604" t="s">
        <v>1152</v>
      </c>
      <c r="C22" s="1040" t="s">
        <v>39</v>
      </c>
      <c r="D22" s="741"/>
      <c r="E22" s="1124">
        <v>0.37</v>
      </c>
      <c r="F22" s="741"/>
      <c r="G22" s="741"/>
      <c r="H22" s="581"/>
      <c r="I22" s="949"/>
      <c r="J22" s="949"/>
      <c r="K22" s="949"/>
      <c r="L22" s="575"/>
      <c r="M22" s="581"/>
      <c r="N22" s="575"/>
      <c r="O22" s="809"/>
      <c r="P22" s="575"/>
      <c r="Q22" s="583"/>
      <c r="R22" s="583"/>
      <c r="S22" s="575"/>
      <c r="T22" s="581"/>
      <c r="U22" s="575"/>
      <c r="V22" s="575"/>
      <c r="W22" s="583"/>
      <c r="X22" s="575"/>
      <c r="Y22" s="583"/>
      <c r="Z22" s="583"/>
      <c r="AA22" s="581"/>
      <c r="AB22" s="583"/>
      <c r="AC22" s="583"/>
      <c r="AD22" s="583"/>
      <c r="AE22" s="583"/>
      <c r="AF22" s="583"/>
      <c r="AG22" s="949"/>
      <c r="AH22" s="842"/>
      <c r="AI22" s="1065">
        <f t="shared" si="1"/>
        <v>0.37</v>
      </c>
      <c r="AJ22" s="843"/>
      <c r="AK22" s="949">
        <v>0</v>
      </c>
      <c r="AL22" s="581">
        <f t="shared" si="2"/>
        <v>0.37</v>
      </c>
      <c r="AM22" s="746" t="s">
        <v>1454</v>
      </c>
      <c r="AN22" s="743">
        <f t="shared" si="3"/>
        <v>0.47</v>
      </c>
    </row>
    <row r="23" spans="1:40" s="560" customFormat="1">
      <c r="A23" s="604" t="s">
        <v>555</v>
      </c>
      <c r="B23" s="604" t="s">
        <v>1153</v>
      </c>
      <c r="C23" s="1040" t="s">
        <v>36</v>
      </c>
      <c r="D23" s="741"/>
      <c r="E23" s="1124">
        <v>19.329999999999998</v>
      </c>
      <c r="F23" s="741"/>
      <c r="G23" s="741"/>
      <c r="H23" s="581"/>
      <c r="I23" s="949"/>
      <c r="J23" s="949"/>
      <c r="K23" s="949"/>
      <c r="L23" s="575"/>
      <c r="M23" s="581"/>
      <c r="N23" s="575"/>
      <c r="O23" s="809"/>
      <c r="P23" s="575"/>
      <c r="Q23" s="583"/>
      <c r="R23" s="583"/>
      <c r="S23" s="575"/>
      <c r="T23" s="581"/>
      <c r="U23" s="575"/>
      <c r="V23" s="575"/>
      <c r="W23" s="583"/>
      <c r="X23" s="575"/>
      <c r="Y23" s="583"/>
      <c r="Z23" s="583"/>
      <c r="AA23" s="581"/>
      <c r="AB23" s="583"/>
      <c r="AC23" s="583"/>
      <c r="AD23" s="583"/>
      <c r="AE23" s="583"/>
      <c r="AF23" s="583"/>
      <c r="AG23" s="949"/>
      <c r="AH23" s="842"/>
      <c r="AI23" s="1065">
        <f t="shared" si="1"/>
        <v>19.329999999999998</v>
      </c>
      <c r="AJ23" s="843"/>
      <c r="AK23" s="949">
        <v>0</v>
      </c>
      <c r="AL23" s="581">
        <f t="shared" si="2"/>
        <v>19.329999999999998</v>
      </c>
      <c r="AM23" s="746" t="s">
        <v>1455</v>
      </c>
      <c r="AN23" s="743">
        <f t="shared" si="3"/>
        <v>4.32</v>
      </c>
    </row>
    <row r="24" spans="1:40" s="560" customFormat="1">
      <c r="A24" s="604" t="s">
        <v>556</v>
      </c>
      <c r="B24" s="604" t="s">
        <v>1154</v>
      </c>
      <c r="C24" s="1040" t="s">
        <v>36</v>
      </c>
      <c r="D24" s="741"/>
      <c r="E24" s="1108"/>
      <c r="F24" s="741"/>
      <c r="G24" s="741"/>
      <c r="H24" s="581"/>
      <c r="I24" s="949"/>
      <c r="J24" s="949"/>
      <c r="K24" s="949"/>
      <c r="L24" s="575"/>
      <c r="M24" s="581"/>
      <c r="N24" s="575"/>
      <c r="O24" s="809"/>
      <c r="P24" s="575"/>
      <c r="Q24" s="583"/>
      <c r="R24" s="583"/>
      <c r="S24" s="575"/>
      <c r="T24" s="581"/>
      <c r="U24" s="575"/>
      <c r="V24" s="575"/>
      <c r="W24" s="583"/>
      <c r="X24" s="575"/>
      <c r="Y24" s="583"/>
      <c r="Z24" s="583"/>
      <c r="AA24" s="581"/>
      <c r="AB24" s="583"/>
      <c r="AC24" s="583"/>
      <c r="AD24" s="583"/>
      <c r="AE24" s="583"/>
      <c r="AF24" s="583"/>
      <c r="AG24" s="1092">
        <f>4.8*5.3+0.59</f>
        <v>26.029999999999998</v>
      </c>
      <c r="AH24" s="842"/>
      <c r="AI24" s="1065">
        <f t="shared" si="1"/>
        <v>26.03</v>
      </c>
      <c r="AJ24" s="843"/>
      <c r="AK24" s="949">
        <v>0</v>
      </c>
      <c r="AL24" s="581">
        <f t="shared" si="2"/>
        <v>26.03</v>
      </c>
      <c r="AM24" s="746" t="s">
        <v>1449</v>
      </c>
      <c r="AN24" s="743">
        <f t="shared" si="3"/>
        <v>0</v>
      </c>
    </row>
    <row r="25" spans="1:40" s="560" customFormat="1">
      <c r="A25" s="607" t="s">
        <v>557</v>
      </c>
      <c r="B25" s="607" t="s">
        <v>1155</v>
      </c>
      <c r="C25" s="1042"/>
      <c r="D25" s="741"/>
      <c r="E25" s="1108"/>
      <c r="F25" s="741"/>
      <c r="G25" s="741"/>
      <c r="H25" s="581"/>
      <c r="I25" s="949"/>
      <c r="J25" s="949"/>
      <c r="K25" s="949"/>
      <c r="L25" s="575"/>
      <c r="M25" s="581"/>
      <c r="N25" s="575"/>
      <c r="O25" s="809"/>
      <c r="P25" s="575"/>
      <c r="Q25" s="583"/>
      <c r="R25" s="583"/>
      <c r="S25" s="575"/>
      <c r="T25" s="581"/>
      <c r="U25" s="575"/>
      <c r="V25" s="575"/>
      <c r="W25" s="583"/>
      <c r="X25" s="575"/>
      <c r="Y25" s="583"/>
      <c r="Z25" s="583"/>
      <c r="AA25" s="581"/>
      <c r="AB25" s="583"/>
      <c r="AC25" s="583"/>
      <c r="AD25" s="583"/>
      <c r="AE25" s="583"/>
      <c r="AF25" s="583"/>
      <c r="AG25" s="949"/>
      <c r="AH25" s="842"/>
      <c r="AI25" s="738">
        <f t="shared" si="1"/>
        <v>0</v>
      </c>
      <c r="AJ25" s="843"/>
      <c r="AK25" s="949">
        <v>0</v>
      </c>
      <c r="AL25" s="581">
        <f t="shared" si="2"/>
        <v>0</v>
      </c>
      <c r="AM25" s="746"/>
      <c r="AN25" s="743">
        <f t="shared" si="3"/>
        <v>0</v>
      </c>
    </row>
    <row r="26" spans="1:40" s="560" customFormat="1">
      <c r="A26" s="604" t="s">
        <v>582</v>
      </c>
      <c r="B26" s="604" t="s">
        <v>1180</v>
      </c>
      <c r="C26" s="1042"/>
      <c r="D26" s="741"/>
      <c r="E26" s="1011"/>
      <c r="F26" s="581"/>
      <c r="G26" s="581"/>
      <c r="H26" s="581"/>
      <c r="I26" s="949"/>
      <c r="J26" s="949"/>
      <c r="K26" s="949"/>
      <c r="L26" s="575"/>
      <c r="M26" s="581"/>
      <c r="N26" s="575"/>
      <c r="O26" s="809"/>
      <c r="P26" s="575"/>
      <c r="Q26" s="583"/>
      <c r="R26" s="583"/>
      <c r="S26" s="575"/>
      <c r="T26" s="581"/>
      <c r="U26" s="575"/>
      <c r="V26" s="575"/>
      <c r="W26" s="583"/>
      <c r="X26" s="575"/>
      <c r="Y26" s="583"/>
      <c r="Z26" s="583"/>
      <c r="AA26" s="581"/>
      <c r="AB26" s="583"/>
      <c r="AC26" s="583"/>
      <c r="AD26" s="583"/>
      <c r="AE26" s="583"/>
      <c r="AF26" s="583"/>
      <c r="AG26" s="949"/>
      <c r="AH26" s="842"/>
      <c r="AI26" s="738">
        <f t="shared" ref="AI26:AI39" si="4">ROUND((SUM(E26:AH26)),2)</f>
        <v>0</v>
      </c>
      <c r="AJ26" s="843"/>
      <c r="AK26" s="949">
        <v>0</v>
      </c>
      <c r="AL26" s="581">
        <f t="shared" si="2"/>
        <v>0</v>
      </c>
      <c r="AM26" s="746"/>
      <c r="AN26" s="743">
        <f t="shared" si="3"/>
        <v>0</v>
      </c>
    </row>
    <row r="27" spans="1:40" s="560" customFormat="1">
      <c r="A27" s="604" t="s">
        <v>583</v>
      </c>
      <c r="B27" s="604" t="s">
        <v>1181</v>
      </c>
      <c r="C27" s="1040" t="s">
        <v>39</v>
      </c>
      <c r="D27" s="741"/>
      <c r="E27" s="1011"/>
      <c r="F27" s="1035">
        <f>9.8*0.5*0.1+10.4*0.5*0.1</f>
        <v>1.01</v>
      </c>
      <c r="G27" s="581"/>
      <c r="H27" s="581"/>
      <c r="I27" s="949"/>
      <c r="J27" s="949"/>
      <c r="K27" s="949"/>
      <c r="L27" s="575"/>
      <c r="M27" s="581"/>
      <c r="N27" s="575"/>
      <c r="O27" s="809"/>
      <c r="P27" s="575"/>
      <c r="Q27" s="583"/>
      <c r="R27" s="583"/>
      <c r="S27" s="575"/>
      <c r="U27" s="575"/>
      <c r="V27" s="575"/>
      <c r="W27" s="583"/>
      <c r="X27" s="575"/>
      <c r="Y27" s="583"/>
      <c r="Z27" s="583"/>
      <c r="AA27" s="581"/>
      <c r="AB27" s="583"/>
      <c r="AC27" s="583"/>
      <c r="AD27" s="583"/>
      <c r="AE27" s="583"/>
      <c r="AF27" s="583"/>
      <c r="AG27" s="949"/>
      <c r="AH27" s="842"/>
      <c r="AI27" s="1065">
        <f t="shared" si="4"/>
        <v>1.01</v>
      </c>
      <c r="AJ27" s="843"/>
      <c r="AK27" s="949">
        <v>0</v>
      </c>
      <c r="AL27" s="581">
        <f t="shared" ref="AL27:AL40" si="5">AI27+AK27</f>
        <v>1.01</v>
      </c>
      <c r="AM27" s="746" t="s">
        <v>1474</v>
      </c>
      <c r="AN27" s="743">
        <f t="shared" ref="AN27:AN40" si="6">AM27-AL27</f>
        <v>0.18999999999999995</v>
      </c>
    </row>
    <row r="28" spans="1:40" s="560" customFormat="1">
      <c r="A28" s="604" t="s">
        <v>584</v>
      </c>
      <c r="B28" s="604" t="s">
        <v>1182</v>
      </c>
      <c r="C28" s="1040" t="s">
        <v>36</v>
      </c>
      <c r="D28" s="741"/>
      <c r="E28" s="1011"/>
      <c r="F28" s="1035">
        <f>9.8*0.5*2+10.4*0.5*2-4.2</f>
        <v>16.000000000000004</v>
      </c>
      <c r="G28" s="581"/>
      <c r="H28" s="581"/>
      <c r="I28" s="949"/>
      <c r="J28" s="949"/>
      <c r="K28" s="949"/>
      <c r="L28" s="575"/>
      <c r="M28" s="581"/>
      <c r="N28" s="575"/>
      <c r="O28" s="809"/>
      <c r="P28" s="575"/>
      <c r="Q28" s="583"/>
      <c r="R28" s="583"/>
      <c r="S28" s="575"/>
      <c r="T28" s="581"/>
      <c r="U28" s="575"/>
      <c r="V28" s="575"/>
      <c r="W28" s="583"/>
      <c r="X28" s="575"/>
      <c r="Y28" s="583"/>
      <c r="Z28" s="583"/>
      <c r="AA28" s="581"/>
      <c r="AB28" s="583"/>
      <c r="AC28" s="583"/>
      <c r="AD28" s="583"/>
      <c r="AE28" s="583"/>
      <c r="AF28" s="583"/>
      <c r="AG28" s="949"/>
      <c r="AH28" s="842"/>
      <c r="AI28" s="1065">
        <f t="shared" si="4"/>
        <v>16</v>
      </c>
      <c r="AJ28" s="843"/>
      <c r="AK28" s="949">
        <v>0</v>
      </c>
      <c r="AL28" s="581">
        <f t="shared" si="5"/>
        <v>16</v>
      </c>
      <c r="AM28" s="746" t="s">
        <v>1475</v>
      </c>
      <c r="AN28" s="743">
        <f t="shared" si="6"/>
        <v>0</v>
      </c>
    </row>
    <row r="29" spans="1:40" s="560" customFormat="1">
      <c r="A29" s="607" t="s">
        <v>588</v>
      </c>
      <c r="B29" s="607" t="s">
        <v>1186</v>
      </c>
      <c r="C29" s="845"/>
      <c r="D29" s="741"/>
      <c r="E29" s="1011"/>
      <c r="F29" s="581"/>
      <c r="G29" s="581"/>
      <c r="H29" s="581"/>
      <c r="I29" s="949"/>
      <c r="J29" s="949"/>
      <c r="K29" s="949"/>
      <c r="L29" s="575"/>
      <c r="M29" s="581"/>
      <c r="N29" s="575"/>
      <c r="O29" s="809"/>
      <c r="P29" s="575"/>
      <c r="Q29" s="583"/>
      <c r="R29" s="583"/>
      <c r="S29" s="575"/>
      <c r="T29" s="581"/>
      <c r="U29" s="575"/>
      <c r="V29" s="575"/>
      <c r="W29" s="583"/>
      <c r="X29" s="575"/>
      <c r="Y29" s="583"/>
      <c r="Z29" s="583"/>
      <c r="AA29" s="581"/>
      <c r="AB29" s="583"/>
      <c r="AC29" s="583"/>
      <c r="AD29" s="583"/>
      <c r="AE29" s="583"/>
      <c r="AF29" s="583"/>
      <c r="AG29" s="949"/>
      <c r="AH29" s="842"/>
      <c r="AI29" s="738">
        <f t="shared" si="4"/>
        <v>0</v>
      </c>
      <c r="AJ29" s="843"/>
      <c r="AK29" s="949">
        <v>0</v>
      </c>
      <c r="AL29" s="581">
        <f t="shared" si="5"/>
        <v>0</v>
      </c>
      <c r="AM29" s="746"/>
      <c r="AN29" s="743">
        <f t="shared" si="6"/>
        <v>0</v>
      </c>
    </row>
    <row r="30" spans="1:40" s="579" customFormat="1">
      <c r="A30" s="604" t="s">
        <v>590</v>
      </c>
      <c r="B30" s="604" t="s">
        <v>224</v>
      </c>
      <c r="C30" s="1040" t="s">
        <v>1436</v>
      </c>
      <c r="D30" s="744"/>
      <c r="E30" s="1107"/>
      <c r="F30" s="587"/>
      <c r="G30" s="587"/>
      <c r="H30" s="587"/>
      <c r="I30" s="949"/>
      <c r="J30" s="588"/>
      <c r="K30" s="588"/>
      <c r="L30" s="575"/>
      <c r="M30" s="587"/>
      <c r="N30" s="575"/>
      <c r="O30" s="809"/>
      <c r="P30" s="575"/>
      <c r="Q30" s="583"/>
      <c r="R30" s="583"/>
      <c r="S30" s="575"/>
      <c r="T30" s="587"/>
      <c r="U30" s="575"/>
      <c r="V30" s="575"/>
      <c r="W30" s="583"/>
      <c r="X30" s="575"/>
      <c r="Y30" s="583"/>
      <c r="Z30" s="583"/>
      <c r="AA30" s="581"/>
      <c r="AB30" s="583"/>
      <c r="AC30" s="583"/>
      <c r="AD30" s="583"/>
      <c r="AE30" s="583"/>
      <c r="AF30" s="583"/>
      <c r="AG30" s="1092">
        <v>5</v>
      </c>
      <c r="AH30" s="843"/>
      <c r="AI30" s="1065">
        <f t="shared" si="4"/>
        <v>5</v>
      </c>
      <c r="AJ30" s="843"/>
      <c r="AK30" s="949">
        <v>0</v>
      </c>
      <c r="AL30" s="581">
        <f t="shared" si="5"/>
        <v>5</v>
      </c>
      <c r="AM30" s="747" t="s">
        <v>1479</v>
      </c>
      <c r="AN30" s="743">
        <f t="shared" si="6"/>
        <v>10</v>
      </c>
    </row>
    <row r="31" spans="1:40" s="782" customFormat="1">
      <c r="A31" s="492" t="s">
        <v>43</v>
      </c>
      <c r="B31" s="608" t="s">
        <v>1188</v>
      </c>
      <c r="C31" s="1042"/>
      <c r="D31" s="741"/>
      <c r="E31" s="1011"/>
      <c r="F31" s="581"/>
      <c r="G31" s="581"/>
      <c r="H31" s="581"/>
      <c r="I31" s="949"/>
      <c r="J31" s="949"/>
      <c r="K31" s="949"/>
      <c r="L31" s="575"/>
      <c r="M31" s="581"/>
      <c r="N31" s="575"/>
      <c r="O31" s="809"/>
      <c r="P31" s="575"/>
      <c r="Q31" s="583"/>
      <c r="R31" s="583"/>
      <c r="S31" s="575"/>
      <c r="T31" s="581"/>
      <c r="U31" s="575"/>
      <c r="V31" s="575"/>
      <c r="W31" s="583"/>
      <c r="X31" s="575"/>
      <c r="Y31" s="583"/>
      <c r="Z31" s="583"/>
      <c r="AA31" s="581"/>
      <c r="AB31" s="583"/>
      <c r="AC31" s="583"/>
      <c r="AD31" s="583"/>
      <c r="AE31" s="583"/>
      <c r="AF31" s="583"/>
      <c r="AG31" s="949"/>
      <c r="AH31" s="842"/>
      <c r="AI31" s="738">
        <f t="shared" si="4"/>
        <v>0</v>
      </c>
      <c r="AJ31" s="843"/>
      <c r="AK31" s="777">
        <v>0</v>
      </c>
      <c r="AL31" s="778">
        <f t="shared" si="5"/>
        <v>0</v>
      </c>
      <c r="AM31" s="780"/>
      <c r="AN31" s="781">
        <f t="shared" si="6"/>
        <v>0</v>
      </c>
    </row>
    <row r="32" spans="1:40" s="560" customFormat="1">
      <c r="A32" s="607" t="s">
        <v>53</v>
      </c>
      <c r="B32" s="607" t="s">
        <v>45</v>
      </c>
      <c r="C32" s="1042"/>
      <c r="D32" s="741"/>
      <c r="E32" s="1011"/>
      <c r="F32" s="581"/>
      <c r="G32" s="581"/>
      <c r="H32" s="581"/>
      <c r="I32" s="949"/>
      <c r="J32" s="949"/>
      <c r="K32" s="949"/>
      <c r="L32" s="575"/>
      <c r="M32" s="581"/>
      <c r="N32" s="575"/>
      <c r="O32" s="809"/>
      <c r="P32" s="575"/>
      <c r="Q32" s="583"/>
      <c r="R32" s="583"/>
      <c r="S32" s="575"/>
      <c r="T32" s="581"/>
      <c r="U32" s="575"/>
      <c r="V32" s="575"/>
      <c r="W32" s="583"/>
      <c r="X32" s="575"/>
      <c r="Y32" s="583"/>
      <c r="Z32" s="583"/>
      <c r="AA32" s="581"/>
      <c r="AB32" s="583"/>
      <c r="AC32" s="583"/>
      <c r="AD32" s="583"/>
      <c r="AE32" s="583"/>
      <c r="AF32" s="583"/>
      <c r="AG32" s="949"/>
      <c r="AH32" s="842"/>
      <c r="AI32" s="738">
        <f t="shared" si="4"/>
        <v>0</v>
      </c>
      <c r="AJ32" s="843"/>
      <c r="AK32" s="949">
        <v>0</v>
      </c>
      <c r="AL32" s="581">
        <f t="shared" si="5"/>
        <v>0</v>
      </c>
      <c r="AM32" s="746"/>
      <c r="AN32" s="743">
        <f t="shared" si="6"/>
        <v>0</v>
      </c>
    </row>
    <row r="33" spans="1:40" s="560" customFormat="1">
      <c r="A33" s="604" t="s">
        <v>593</v>
      </c>
      <c r="B33" s="604" t="s">
        <v>1144</v>
      </c>
      <c r="C33" s="1041" t="s">
        <v>39</v>
      </c>
      <c r="D33" s="741"/>
      <c r="E33" s="1011"/>
      <c r="F33" s="581"/>
      <c r="G33" s="581"/>
      <c r="H33" s="581"/>
      <c r="I33" s="949"/>
      <c r="J33" s="949"/>
      <c r="K33" s="949"/>
      <c r="L33" s="575"/>
      <c r="M33" s="581"/>
      <c r="N33" s="575"/>
      <c r="O33" s="809"/>
      <c r="P33" s="575"/>
      <c r="Q33" s="583"/>
      <c r="R33" s="583"/>
      <c r="S33" s="575"/>
      <c r="T33" s="581"/>
      <c r="U33" s="575"/>
      <c r="V33" s="575"/>
      <c r="W33" s="583"/>
      <c r="X33" s="575"/>
      <c r="Y33" s="583"/>
      <c r="Z33" s="583"/>
      <c r="AA33" s="581"/>
      <c r="AB33" s="1096">
        <v>1.49</v>
      </c>
      <c r="AC33" s="583"/>
      <c r="AD33" s="583"/>
      <c r="AE33" s="583"/>
      <c r="AF33" s="583"/>
      <c r="AG33" s="949"/>
      <c r="AH33" s="843"/>
      <c r="AI33" s="1065">
        <f t="shared" si="4"/>
        <v>1.49</v>
      </c>
      <c r="AJ33" s="843">
        <v>26.490000000000002</v>
      </c>
      <c r="AK33" s="949">
        <v>0</v>
      </c>
      <c r="AL33" s="581">
        <f t="shared" si="5"/>
        <v>1.49</v>
      </c>
      <c r="AM33" s="746" t="s">
        <v>1482</v>
      </c>
      <c r="AN33" s="743">
        <f t="shared" si="6"/>
        <v>26.880000000000003</v>
      </c>
    </row>
    <row r="34" spans="1:40" s="560" customFormat="1">
      <c r="A34" s="604" t="s">
        <v>594</v>
      </c>
      <c r="B34" s="604" t="s">
        <v>1145</v>
      </c>
      <c r="C34" s="1040" t="s">
        <v>36</v>
      </c>
      <c r="D34" s="741"/>
      <c r="E34" s="1011"/>
      <c r="F34" s="581"/>
      <c r="G34" s="581"/>
      <c r="H34" s="581"/>
      <c r="I34" s="949"/>
      <c r="J34" s="949"/>
      <c r="K34" s="949"/>
      <c r="L34" s="575"/>
      <c r="M34" s="581"/>
      <c r="N34" s="575"/>
      <c r="O34" s="809"/>
      <c r="P34" s="575"/>
      <c r="Q34" s="1096">
        <v>0.81</v>
      </c>
      <c r="R34" s="583"/>
      <c r="S34" s="575"/>
      <c r="T34" s="581"/>
      <c r="U34" s="575"/>
      <c r="V34" s="575"/>
      <c r="W34" s="583"/>
      <c r="X34" s="575"/>
      <c r="Y34" s="583"/>
      <c r="Z34" s="583"/>
      <c r="AA34" s="581"/>
      <c r="AB34" s="1096">
        <v>5.19</v>
      </c>
      <c r="AC34" s="583"/>
      <c r="AD34" s="583"/>
      <c r="AE34" s="583"/>
      <c r="AF34" s="583"/>
      <c r="AG34" s="949"/>
      <c r="AH34" s="843"/>
      <c r="AI34" s="1065">
        <f t="shared" si="4"/>
        <v>6</v>
      </c>
      <c r="AJ34" s="843"/>
      <c r="AK34" s="949">
        <v>0</v>
      </c>
      <c r="AL34" s="581">
        <f t="shared" si="5"/>
        <v>6</v>
      </c>
      <c r="AM34" s="746" t="s">
        <v>1483</v>
      </c>
      <c r="AN34" s="743">
        <f t="shared" si="6"/>
        <v>51.19</v>
      </c>
    </row>
    <row r="35" spans="1:40" s="560" customFormat="1">
      <c r="A35" s="607" t="s">
        <v>54</v>
      </c>
      <c r="B35" s="607" t="s">
        <v>1148</v>
      </c>
      <c r="C35" s="1042"/>
      <c r="D35" s="741"/>
      <c r="E35" s="1011"/>
      <c r="F35" s="581"/>
      <c r="G35" s="581"/>
      <c r="H35" s="581"/>
      <c r="I35" s="949"/>
      <c r="J35" s="949"/>
      <c r="K35" s="949"/>
      <c r="L35" s="575"/>
      <c r="M35" s="581"/>
      <c r="N35" s="575"/>
      <c r="O35" s="809"/>
      <c r="P35" s="575"/>
      <c r="Q35" s="583"/>
      <c r="R35" s="583"/>
      <c r="S35" s="575"/>
      <c r="T35" s="581"/>
      <c r="U35" s="575"/>
      <c r="V35" s="575"/>
      <c r="W35" s="583"/>
      <c r="X35" s="575"/>
      <c r="Y35" s="583"/>
      <c r="Z35" s="583"/>
      <c r="AA35" s="581"/>
      <c r="AB35" s="583"/>
      <c r="AC35" s="583"/>
      <c r="AD35" s="583"/>
      <c r="AE35" s="583"/>
      <c r="AF35" s="583"/>
      <c r="AG35" s="949"/>
      <c r="AH35" s="842"/>
      <c r="AI35" s="738">
        <f t="shared" si="4"/>
        <v>0</v>
      </c>
      <c r="AJ35" s="843"/>
      <c r="AK35" s="949">
        <v>0</v>
      </c>
      <c r="AL35" s="581">
        <f t="shared" si="5"/>
        <v>0</v>
      </c>
      <c r="AM35" s="746"/>
      <c r="AN35" s="743">
        <f t="shared" si="6"/>
        <v>0</v>
      </c>
    </row>
    <row r="36" spans="1:40" s="560" customFormat="1">
      <c r="A36" s="604" t="s">
        <v>598</v>
      </c>
      <c r="B36" s="604" t="s">
        <v>1190</v>
      </c>
      <c r="C36" s="1040" t="s">
        <v>39</v>
      </c>
      <c r="D36" s="741"/>
      <c r="E36" s="1011"/>
      <c r="F36" s="581"/>
      <c r="G36" s="581"/>
      <c r="H36" s="581"/>
      <c r="I36" s="949"/>
      <c r="J36" s="949"/>
      <c r="K36" s="949"/>
      <c r="L36" s="575"/>
      <c r="M36" s="581"/>
      <c r="N36" s="575"/>
      <c r="O36" s="809"/>
      <c r="P36" s="575"/>
      <c r="Q36" s="583"/>
      <c r="R36" s="583"/>
      <c r="S36" s="575"/>
      <c r="T36" s="581"/>
      <c r="U36" s="575"/>
      <c r="V36" s="575"/>
      <c r="W36" s="583"/>
      <c r="X36" s="575"/>
      <c r="Y36" s="1096">
        <f>1.67*0.35*0.35*2</f>
        <v>0.4091499999999999</v>
      </c>
      <c r="AA36" s="581"/>
      <c r="AB36" s="583"/>
      <c r="AC36" s="583"/>
      <c r="AD36" s="583"/>
      <c r="AE36" s="583"/>
      <c r="AF36" s="583"/>
      <c r="AG36" s="949"/>
      <c r="AH36" s="842"/>
      <c r="AI36" s="1065">
        <f t="shared" si="4"/>
        <v>0.41</v>
      </c>
      <c r="AJ36" s="843"/>
      <c r="AK36" s="949">
        <v>0</v>
      </c>
      <c r="AL36" s="581">
        <f t="shared" si="5"/>
        <v>0.41</v>
      </c>
      <c r="AM36" s="746" t="s">
        <v>1486</v>
      </c>
      <c r="AN36" s="743">
        <f t="shared" si="6"/>
        <v>12.459999999999999</v>
      </c>
    </row>
    <row r="37" spans="1:40" s="560" customFormat="1">
      <c r="A37" s="604" t="s">
        <v>599</v>
      </c>
      <c r="B37" s="604" t="s">
        <v>1191</v>
      </c>
      <c r="C37" s="1040" t="s">
        <v>39</v>
      </c>
      <c r="D37" s="741"/>
      <c r="E37" s="1011"/>
      <c r="F37" s="581"/>
      <c r="G37" s="581"/>
      <c r="H37" s="581"/>
      <c r="I37" s="949"/>
      <c r="J37" s="949"/>
      <c r="K37" s="949"/>
      <c r="L37" s="575"/>
      <c r="M37" s="581"/>
      <c r="N37" s="575"/>
      <c r="O37" s="809"/>
      <c r="P37" s="575"/>
      <c r="Q37" s="583"/>
      <c r="R37" s="583"/>
      <c r="S37" s="575"/>
      <c r="T37" s="581"/>
      <c r="U37" s="575"/>
      <c r="V37" s="575"/>
      <c r="W37" s="583"/>
      <c r="X37" s="575"/>
      <c r="Y37" s="583"/>
      <c r="Z37" s="1096">
        <f>1.67*0.4*0.15*2</f>
        <v>0.20039999999999999</v>
      </c>
      <c r="AA37" s="581"/>
      <c r="AB37" s="583"/>
      <c r="AC37" s="583"/>
      <c r="AD37" s="583"/>
      <c r="AE37" s="583"/>
      <c r="AF37" s="583"/>
      <c r="AG37" s="949"/>
      <c r="AH37" s="842"/>
      <c r="AI37" s="1065">
        <f t="shared" si="4"/>
        <v>0.2</v>
      </c>
      <c r="AJ37" s="843"/>
      <c r="AK37" s="949">
        <v>0</v>
      </c>
      <c r="AL37" s="581">
        <f t="shared" si="5"/>
        <v>0.2</v>
      </c>
      <c r="AM37" s="746" t="s">
        <v>1487</v>
      </c>
      <c r="AN37" s="743">
        <f t="shared" si="6"/>
        <v>2.48</v>
      </c>
    </row>
    <row r="38" spans="1:40" s="560" customFormat="1">
      <c r="A38" s="604" t="s">
        <v>600</v>
      </c>
      <c r="B38" s="604" t="s">
        <v>1153</v>
      </c>
      <c r="C38" s="1041" t="s">
        <v>36</v>
      </c>
      <c r="D38" s="741"/>
      <c r="E38" s="1011"/>
      <c r="F38" s="581"/>
      <c r="G38" s="581"/>
      <c r="H38" s="581"/>
      <c r="I38" s="949"/>
      <c r="J38" s="949"/>
      <c r="K38" s="949"/>
      <c r="L38" s="575"/>
      <c r="M38" s="581"/>
      <c r="N38" s="575"/>
      <c r="O38" s="809"/>
      <c r="P38" s="575"/>
      <c r="Q38" s="583"/>
      <c r="R38" s="583"/>
      <c r="S38" s="575"/>
      <c r="T38" s="581"/>
      <c r="U38" s="575"/>
      <c r="V38" s="575"/>
      <c r="W38" s="583"/>
      <c r="X38" s="575"/>
      <c r="Y38" s="1096">
        <f>1.75*2*0.4</f>
        <v>1.4000000000000001</v>
      </c>
      <c r="AA38" s="581"/>
      <c r="AB38" s="583"/>
      <c r="AC38" s="583"/>
      <c r="AD38" s="583"/>
      <c r="AE38" s="583"/>
      <c r="AF38" s="583"/>
      <c r="AG38" s="949"/>
      <c r="AH38" s="842"/>
      <c r="AI38" s="1065">
        <f t="shared" si="4"/>
        <v>1.4</v>
      </c>
      <c r="AJ38" s="843"/>
      <c r="AK38" s="949">
        <v>0</v>
      </c>
      <c r="AL38" s="581">
        <f t="shared" si="5"/>
        <v>1.4</v>
      </c>
      <c r="AM38" s="746" t="s">
        <v>1488</v>
      </c>
      <c r="AN38" s="743">
        <f t="shared" si="6"/>
        <v>95.259999999999991</v>
      </c>
    </row>
    <row r="39" spans="1:40" s="560" customFormat="1">
      <c r="A39" s="604" t="s">
        <v>601</v>
      </c>
      <c r="B39" s="604" t="s">
        <v>1154</v>
      </c>
      <c r="C39" s="1040" t="s">
        <v>36</v>
      </c>
      <c r="D39" s="741"/>
      <c r="E39" s="1011"/>
      <c r="F39" s="581"/>
      <c r="G39" s="581"/>
      <c r="H39" s="581"/>
      <c r="I39" s="949"/>
      <c r="J39" s="949"/>
      <c r="K39" s="949"/>
      <c r="L39" s="575"/>
      <c r="M39" s="581"/>
      <c r="N39" s="575"/>
      <c r="O39" s="809"/>
      <c r="P39" s="575"/>
      <c r="Q39" s="583"/>
      <c r="R39" s="583"/>
      <c r="S39" s="575"/>
      <c r="T39" s="581"/>
      <c r="U39" s="575"/>
      <c r="V39" s="575"/>
      <c r="W39" s="583"/>
      <c r="X39" s="575"/>
      <c r="Y39" s="583"/>
      <c r="Z39" s="583"/>
      <c r="AA39" s="581"/>
      <c r="AB39" s="583"/>
      <c r="AC39" s="583"/>
      <c r="AD39" s="583"/>
      <c r="AE39" s="583"/>
      <c r="AF39" s="1096">
        <f>8*8-6.81</f>
        <v>57.19</v>
      </c>
      <c r="AG39" s="949"/>
      <c r="AH39" s="842"/>
      <c r="AI39" s="1065">
        <f t="shared" si="4"/>
        <v>57.19</v>
      </c>
      <c r="AJ39" s="843"/>
      <c r="AK39" s="949">
        <v>0</v>
      </c>
      <c r="AL39" s="581">
        <f t="shared" si="5"/>
        <v>57.19</v>
      </c>
      <c r="AM39" s="746" t="s">
        <v>1483</v>
      </c>
      <c r="AN39" s="743">
        <f t="shared" si="6"/>
        <v>0</v>
      </c>
    </row>
    <row r="40" spans="1:40" s="782" customFormat="1">
      <c r="A40" s="492" t="s">
        <v>51</v>
      </c>
      <c r="B40" s="608" t="s">
        <v>1195</v>
      </c>
      <c r="C40" s="1042"/>
      <c r="D40" s="741"/>
      <c r="E40" s="1011"/>
      <c r="F40" s="581"/>
      <c r="G40" s="581"/>
      <c r="H40" s="581"/>
      <c r="I40" s="949"/>
      <c r="J40" s="949"/>
      <c r="K40" s="949"/>
      <c r="L40" s="575"/>
      <c r="M40" s="581"/>
      <c r="N40" s="575"/>
      <c r="O40" s="809"/>
      <c r="P40" s="575"/>
      <c r="Q40" s="583"/>
      <c r="R40" s="583"/>
      <c r="S40" s="575"/>
      <c r="T40" s="581"/>
      <c r="U40" s="575"/>
      <c r="V40" s="575"/>
      <c r="W40" s="583"/>
      <c r="X40" s="575"/>
      <c r="Y40" s="583"/>
      <c r="Z40" s="583"/>
      <c r="AA40" s="581"/>
      <c r="AB40" s="583"/>
      <c r="AC40" s="583"/>
      <c r="AD40" s="583"/>
      <c r="AE40" s="583"/>
      <c r="AF40" s="583"/>
      <c r="AG40" s="949"/>
      <c r="AH40" s="842"/>
      <c r="AI40" s="738">
        <f t="shared" ref="AI40:AI43" si="7">ROUND((SUM(E40:AH40)),2)</f>
        <v>0</v>
      </c>
      <c r="AJ40" s="843"/>
      <c r="AK40" s="777">
        <v>0</v>
      </c>
      <c r="AL40" s="778">
        <f t="shared" si="5"/>
        <v>0</v>
      </c>
      <c r="AM40" s="780"/>
      <c r="AN40" s="781">
        <f t="shared" si="6"/>
        <v>0</v>
      </c>
    </row>
    <row r="41" spans="1:40" s="579" customFormat="1">
      <c r="A41" s="607" t="s">
        <v>56</v>
      </c>
      <c r="B41" s="607" t="s">
        <v>1148</v>
      </c>
      <c r="C41" s="845"/>
      <c r="D41" s="744"/>
      <c r="E41" s="1107"/>
      <c r="F41" s="587"/>
      <c r="G41" s="587"/>
      <c r="H41" s="587"/>
      <c r="I41" s="949"/>
      <c r="J41" s="588"/>
      <c r="K41" s="588"/>
      <c r="L41" s="575"/>
      <c r="M41" s="587"/>
      <c r="N41" s="575"/>
      <c r="O41" s="809"/>
      <c r="P41" s="575"/>
      <c r="Q41" s="583"/>
      <c r="R41" s="583"/>
      <c r="S41" s="575"/>
      <c r="T41" s="587"/>
      <c r="U41" s="575"/>
      <c r="V41" s="575"/>
      <c r="W41" s="583"/>
      <c r="X41" s="575"/>
      <c r="Y41" s="583"/>
      <c r="Z41" s="583"/>
      <c r="AA41" s="581"/>
      <c r="AB41" s="583"/>
      <c r="AC41" s="583"/>
      <c r="AD41" s="810"/>
      <c r="AE41" s="583"/>
      <c r="AF41" s="583"/>
      <c r="AG41" s="949"/>
      <c r="AH41" s="842"/>
      <c r="AI41" s="738">
        <f t="shared" si="7"/>
        <v>0</v>
      </c>
      <c r="AJ41" s="843"/>
      <c r="AK41" s="949">
        <v>0</v>
      </c>
      <c r="AL41" s="581">
        <f t="shared" ref="AL41:AL43" si="8">AI41+AK41</f>
        <v>0</v>
      </c>
      <c r="AM41" s="747"/>
      <c r="AN41" s="743">
        <f t="shared" ref="AN41:AN43" si="9">AM41-AL41</f>
        <v>0</v>
      </c>
    </row>
    <row r="42" spans="1:40" s="560" customFormat="1">
      <c r="A42" s="604" t="s">
        <v>646</v>
      </c>
      <c r="B42" s="604" t="s">
        <v>1154</v>
      </c>
      <c r="C42" s="1041" t="s">
        <v>36</v>
      </c>
      <c r="D42" s="741"/>
      <c r="E42" s="1011"/>
      <c r="F42" s="581"/>
      <c r="G42" s="581"/>
      <c r="H42" s="581"/>
      <c r="I42" s="949"/>
      <c r="J42" s="949"/>
      <c r="K42" s="949"/>
      <c r="L42" s="575"/>
      <c r="M42" s="581"/>
      <c r="N42" s="1096">
        <f>8.3*6.3</f>
        <v>52.290000000000006</v>
      </c>
      <c r="O42" s="809"/>
      <c r="P42" s="575"/>
      <c r="Q42" s="583"/>
      <c r="R42" s="583"/>
      <c r="S42" s="575"/>
      <c r="T42" s="581"/>
      <c r="U42" s="575"/>
      <c r="V42" s="575"/>
      <c r="W42" s="583"/>
      <c r="X42" s="575"/>
      <c r="Y42" s="583"/>
      <c r="Z42" s="583"/>
      <c r="AA42" s="581"/>
      <c r="AB42" s="583"/>
      <c r="AC42" s="583"/>
      <c r="AD42" s="583"/>
      <c r="AE42" s="583"/>
      <c r="AF42" s="1096">
        <f>5.3*2.5+2.56*1.45+3.08</f>
        <v>20.042000000000002</v>
      </c>
      <c r="AG42" s="949"/>
      <c r="AH42" s="842"/>
      <c r="AI42" s="1065">
        <f t="shared" si="7"/>
        <v>72.33</v>
      </c>
      <c r="AJ42" s="843"/>
      <c r="AK42" s="949">
        <v>0</v>
      </c>
      <c r="AL42" s="581">
        <f t="shared" si="8"/>
        <v>72.33</v>
      </c>
      <c r="AM42" s="746" t="s">
        <v>1514</v>
      </c>
      <c r="AN42" s="743">
        <f t="shared" si="9"/>
        <v>0</v>
      </c>
    </row>
    <row r="43" spans="1:40" s="560" customFormat="1">
      <c r="A43" s="492" t="s">
        <v>502</v>
      </c>
      <c r="B43" s="608" t="s">
        <v>1196</v>
      </c>
      <c r="C43" s="845"/>
      <c r="D43" s="741"/>
      <c r="E43" s="1011"/>
      <c r="F43" s="581"/>
      <c r="G43" s="581"/>
      <c r="H43" s="581"/>
      <c r="I43" s="949"/>
      <c r="J43" s="949"/>
      <c r="K43" s="949"/>
      <c r="L43" s="575"/>
      <c r="M43" s="581"/>
      <c r="N43" s="575"/>
      <c r="O43" s="809"/>
      <c r="P43" s="575"/>
      <c r="Q43" s="583"/>
      <c r="R43" s="583"/>
      <c r="S43" s="575"/>
      <c r="T43" s="581"/>
      <c r="U43" s="575"/>
      <c r="V43" s="575"/>
      <c r="W43" s="583"/>
      <c r="X43" s="575"/>
      <c r="Y43" s="583"/>
      <c r="Z43" s="583"/>
      <c r="AA43" s="581"/>
      <c r="AB43" s="583"/>
      <c r="AC43" s="583"/>
      <c r="AD43" s="583"/>
      <c r="AE43" s="583"/>
      <c r="AF43" s="583"/>
      <c r="AG43" s="949"/>
      <c r="AH43" s="842"/>
      <c r="AI43" s="738">
        <f t="shared" si="7"/>
        <v>0</v>
      </c>
      <c r="AJ43" s="843"/>
      <c r="AK43" s="777">
        <v>0</v>
      </c>
      <c r="AL43" s="581">
        <f t="shared" si="8"/>
        <v>0</v>
      </c>
      <c r="AM43" s="746"/>
      <c r="AN43" s="743">
        <f t="shared" si="9"/>
        <v>0</v>
      </c>
    </row>
    <row r="44" spans="1:40" s="560" customFormat="1">
      <c r="A44" s="607" t="s">
        <v>725</v>
      </c>
      <c r="B44" s="607" t="s">
        <v>1186</v>
      </c>
      <c r="C44" s="1041"/>
      <c r="D44" s="741"/>
      <c r="E44" s="1011"/>
      <c r="F44" s="581"/>
      <c r="G44" s="581"/>
      <c r="H44" s="581"/>
      <c r="I44" s="949"/>
      <c r="J44" s="949"/>
      <c r="K44" s="949"/>
      <c r="L44" s="575"/>
      <c r="M44" s="581"/>
      <c r="N44" s="575"/>
      <c r="O44" s="809"/>
      <c r="P44" s="575"/>
      <c r="Q44" s="583"/>
      <c r="R44" s="583"/>
      <c r="S44" s="575"/>
      <c r="T44" s="581"/>
      <c r="U44" s="575"/>
      <c r="V44" s="575"/>
      <c r="W44" s="583"/>
      <c r="X44" s="575"/>
      <c r="Y44" s="583"/>
      <c r="Z44" s="583"/>
      <c r="AA44" s="581"/>
      <c r="AB44" s="583"/>
      <c r="AC44" s="583"/>
      <c r="AD44" s="583"/>
      <c r="AE44" s="583"/>
      <c r="AF44" s="583"/>
      <c r="AG44" s="949"/>
      <c r="AH44" s="842"/>
      <c r="AI44" s="738">
        <f t="shared" ref="AI44:AI64" si="10">ROUND((SUM(E44:AH44)),2)</f>
        <v>0</v>
      </c>
      <c r="AJ44" s="843"/>
      <c r="AK44" s="949">
        <v>0</v>
      </c>
      <c r="AL44" s="581">
        <f t="shared" ref="AL44:AL74" si="11">AI44+AK44</f>
        <v>0</v>
      </c>
      <c r="AM44" s="746"/>
      <c r="AN44" s="743">
        <f t="shared" ref="AN44:AN74" si="12">AM44-AL44</f>
        <v>0</v>
      </c>
    </row>
    <row r="45" spans="1:40" s="560" customFormat="1">
      <c r="A45" s="604" t="s">
        <v>727</v>
      </c>
      <c r="B45" s="604" t="s">
        <v>224</v>
      </c>
      <c r="C45" s="1041" t="s">
        <v>1436</v>
      </c>
      <c r="D45" s="741"/>
      <c r="E45" s="1011"/>
      <c r="F45" s="581"/>
      <c r="G45" s="581"/>
      <c r="H45" s="581"/>
      <c r="I45" s="949"/>
      <c r="J45" s="949"/>
      <c r="K45" s="949"/>
      <c r="L45" s="575"/>
      <c r="M45" s="581"/>
      <c r="N45" s="575"/>
      <c r="O45" s="809"/>
      <c r="P45" s="575"/>
      <c r="Q45" s="583"/>
      <c r="R45" s="583"/>
      <c r="S45" s="575"/>
      <c r="T45" s="581"/>
      <c r="U45" s="575"/>
      <c r="V45" s="575"/>
      <c r="W45" s="583"/>
      <c r="X45" s="575"/>
      <c r="Y45" s="583"/>
      <c r="Z45" s="583"/>
      <c r="AA45" s="581"/>
      <c r="AB45" s="583"/>
      <c r="AC45" s="583"/>
      <c r="AD45" s="583"/>
      <c r="AE45" s="583"/>
      <c r="AF45" s="583"/>
      <c r="AG45" s="1092">
        <v>5</v>
      </c>
      <c r="AH45" s="843"/>
      <c r="AI45" s="1065">
        <f t="shared" si="10"/>
        <v>5</v>
      </c>
      <c r="AJ45" s="843"/>
      <c r="AK45" s="949">
        <v>0</v>
      </c>
      <c r="AL45" s="581">
        <f t="shared" si="11"/>
        <v>5</v>
      </c>
      <c r="AM45" s="746" t="s">
        <v>1479</v>
      </c>
      <c r="AN45" s="743">
        <f t="shared" si="12"/>
        <v>10</v>
      </c>
    </row>
    <row r="46" spans="1:40" s="782" customFormat="1">
      <c r="A46" s="492" t="s">
        <v>728</v>
      </c>
      <c r="B46" s="608" t="s">
        <v>1197</v>
      </c>
      <c r="C46" s="845"/>
      <c r="D46" s="741"/>
      <c r="E46" s="1011"/>
      <c r="F46" s="581"/>
      <c r="G46" s="581"/>
      <c r="H46" s="581"/>
      <c r="I46" s="949"/>
      <c r="J46" s="949"/>
      <c r="K46" s="949"/>
      <c r="L46" s="575"/>
      <c r="M46" s="581"/>
      <c r="N46" s="575"/>
      <c r="O46" s="809"/>
      <c r="P46" s="575"/>
      <c r="Q46" s="583"/>
      <c r="R46" s="583"/>
      <c r="S46" s="575"/>
      <c r="T46" s="581"/>
      <c r="U46" s="575"/>
      <c r="V46" s="575"/>
      <c r="W46" s="583"/>
      <c r="X46" s="575"/>
      <c r="Y46" s="583"/>
      <c r="Z46" s="583"/>
      <c r="AA46" s="581"/>
      <c r="AB46" s="583"/>
      <c r="AC46" s="583"/>
      <c r="AD46" s="583"/>
      <c r="AE46" s="583"/>
      <c r="AF46" s="583"/>
      <c r="AG46" s="949"/>
      <c r="AH46" s="842"/>
      <c r="AI46" s="738">
        <f t="shared" si="10"/>
        <v>0</v>
      </c>
      <c r="AJ46" s="843"/>
      <c r="AK46" s="777">
        <v>0</v>
      </c>
      <c r="AL46" s="778">
        <f t="shared" si="11"/>
        <v>0</v>
      </c>
      <c r="AM46" s="780"/>
      <c r="AN46" s="781">
        <f t="shared" si="12"/>
        <v>0</v>
      </c>
    </row>
    <row r="47" spans="1:40" s="560" customFormat="1">
      <c r="A47" s="607" t="s">
        <v>729</v>
      </c>
      <c r="B47" s="607" t="s">
        <v>45</v>
      </c>
      <c r="C47" s="845"/>
      <c r="D47" s="741"/>
      <c r="E47" s="1011"/>
      <c r="F47" s="581"/>
      <c r="G47" s="581"/>
      <c r="H47" s="581"/>
      <c r="I47" s="949"/>
      <c r="J47" s="949"/>
      <c r="K47" s="949"/>
      <c r="L47" s="575"/>
      <c r="M47" s="581"/>
      <c r="N47" s="575"/>
      <c r="O47" s="809"/>
      <c r="P47" s="575"/>
      <c r="Q47" s="583"/>
      <c r="R47" s="583"/>
      <c r="S47" s="575"/>
      <c r="T47" s="581"/>
      <c r="U47" s="575"/>
      <c r="V47" s="575"/>
      <c r="W47" s="583"/>
      <c r="X47" s="575"/>
      <c r="Y47" s="583"/>
      <c r="Z47" s="583"/>
      <c r="AA47" s="581"/>
      <c r="AB47" s="583"/>
      <c r="AC47" s="583"/>
      <c r="AD47" s="583"/>
      <c r="AE47" s="583"/>
      <c r="AF47" s="583"/>
      <c r="AG47" s="949"/>
      <c r="AH47" s="842"/>
      <c r="AI47" s="738">
        <f t="shared" si="10"/>
        <v>0</v>
      </c>
      <c r="AJ47" s="843"/>
      <c r="AK47" s="949">
        <v>0</v>
      </c>
      <c r="AL47" s="581">
        <f t="shared" si="11"/>
        <v>0</v>
      </c>
      <c r="AM47" s="746"/>
      <c r="AN47" s="743">
        <f t="shared" si="12"/>
        <v>0</v>
      </c>
    </row>
    <row r="48" spans="1:40" s="560" customFormat="1">
      <c r="A48" s="604" t="s">
        <v>730</v>
      </c>
      <c r="B48" s="604" t="s">
        <v>1198</v>
      </c>
      <c r="C48" s="1041" t="s">
        <v>39</v>
      </c>
      <c r="D48" s="741"/>
      <c r="E48" s="1011"/>
      <c r="F48" s="1035">
        <f>5.4*0.5*1</f>
        <v>2.7</v>
      </c>
      <c r="G48" s="581"/>
      <c r="H48" s="581"/>
      <c r="I48" s="949"/>
      <c r="J48" s="1092">
        <f>8.5*1.2*0.55</f>
        <v>5.61</v>
      </c>
      <c r="K48" s="949"/>
      <c r="L48" s="583"/>
      <c r="M48" s="581"/>
      <c r="N48" s="583"/>
      <c r="O48" s="797"/>
      <c r="P48" s="1096">
        <f>5.2*1.7*0.6+4.2*1*0.6</f>
        <v>7.8239999999999998</v>
      </c>
      <c r="Q48" s="583"/>
      <c r="R48" s="583"/>
      <c r="S48" s="583"/>
      <c r="T48" s="581"/>
      <c r="U48" s="1096">
        <v>20</v>
      </c>
      <c r="V48" s="583"/>
      <c r="W48" s="583"/>
      <c r="X48" s="583"/>
      <c r="Y48" s="583"/>
      <c r="Z48" s="1096">
        <f>6.73*6.5*1.2+0.38</f>
        <v>52.874000000000009</v>
      </c>
      <c r="AA48" s="581"/>
      <c r="AB48" s="583"/>
      <c r="AC48" s="583"/>
      <c r="AD48" s="583"/>
      <c r="AE48" s="583"/>
      <c r="AF48" s="583"/>
      <c r="AG48" s="583"/>
      <c r="AH48" s="583"/>
      <c r="AI48" s="1065">
        <f t="shared" si="10"/>
        <v>89.01</v>
      </c>
      <c r="AJ48" s="843"/>
      <c r="AK48" s="949">
        <v>0</v>
      </c>
      <c r="AL48" s="581">
        <f t="shared" si="11"/>
        <v>89.01</v>
      </c>
      <c r="AM48" s="750" t="s">
        <v>1569</v>
      </c>
      <c r="AN48" s="743">
        <f t="shared" si="12"/>
        <v>378.38</v>
      </c>
    </row>
    <row r="49" spans="1:40" s="560" customFormat="1">
      <c r="A49" s="607" t="s">
        <v>732</v>
      </c>
      <c r="B49" s="607" t="s">
        <v>1148</v>
      </c>
      <c r="C49" s="1041"/>
      <c r="D49" s="741"/>
      <c r="E49" s="1011"/>
      <c r="F49" s="581"/>
      <c r="G49" s="581"/>
      <c r="H49" s="581"/>
      <c r="I49" s="949"/>
      <c r="J49" s="949"/>
      <c r="K49" s="949"/>
      <c r="L49" s="575"/>
      <c r="M49" s="581"/>
      <c r="N49" s="575"/>
      <c r="O49" s="809"/>
      <c r="P49" s="575"/>
      <c r="Q49" s="583"/>
      <c r="R49" s="583"/>
      <c r="S49" s="575"/>
      <c r="T49" s="581"/>
      <c r="U49" s="575"/>
      <c r="V49" s="575"/>
      <c r="W49" s="583"/>
      <c r="X49" s="575"/>
      <c r="Y49" s="583"/>
      <c r="Z49" s="583"/>
      <c r="AA49" s="581"/>
      <c r="AB49" s="583"/>
      <c r="AC49" s="583"/>
      <c r="AD49" s="583"/>
      <c r="AE49" s="583"/>
      <c r="AF49" s="583"/>
      <c r="AG49" s="949"/>
      <c r="AH49" s="842"/>
      <c r="AI49" s="738">
        <f t="shared" si="10"/>
        <v>0</v>
      </c>
      <c r="AJ49" s="843"/>
      <c r="AK49" s="949">
        <v>0</v>
      </c>
      <c r="AL49" s="581">
        <f t="shared" si="11"/>
        <v>0</v>
      </c>
      <c r="AM49" s="750"/>
      <c r="AN49" s="743">
        <f t="shared" si="12"/>
        <v>0</v>
      </c>
    </row>
    <row r="50" spans="1:40" s="560" customFormat="1">
      <c r="A50" s="604" t="s">
        <v>733</v>
      </c>
      <c r="B50" s="604" t="s">
        <v>1190</v>
      </c>
      <c r="C50" s="1041" t="s">
        <v>39</v>
      </c>
      <c r="D50" s="741"/>
      <c r="E50" s="1011"/>
      <c r="F50" s="581"/>
      <c r="G50" s="1035">
        <f>3.25*0.7*1.45</f>
        <v>3.2987499999999996</v>
      </c>
      <c r="H50" s="581"/>
      <c r="I50" s="1034">
        <f>2.15*0.7*1</f>
        <v>1.5049999999999999</v>
      </c>
      <c r="J50" s="949"/>
      <c r="K50" s="1092">
        <f>3.25*1*0.7</f>
        <v>2.2749999999999999</v>
      </c>
      <c r="L50" s="1096">
        <f>3.8*1.2*0.024</f>
        <v>0.10944</v>
      </c>
      <c r="M50" s="581"/>
      <c r="T50" s="581"/>
      <c r="U50" s="575"/>
      <c r="V50" s="575"/>
      <c r="W50" s="583"/>
      <c r="X50" s="575"/>
      <c r="Y50" s="583"/>
      <c r="Z50" s="583"/>
      <c r="AA50" s="581"/>
      <c r="AB50" s="583"/>
      <c r="AC50" s="583"/>
      <c r="AD50" s="583"/>
      <c r="AE50" s="583"/>
      <c r="AF50" s="583"/>
      <c r="AG50" s="949"/>
      <c r="AH50" s="842"/>
      <c r="AI50" s="1065">
        <f t="shared" si="10"/>
        <v>7.19</v>
      </c>
      <c r="AJ50" s="843"/>
      <c r="AK50" s="949">
        <v>0</v>
      </c>
      <c r="AL50" s="581">
        <f t="shared" si="11"/>
        <v>7.19</v>
      </c>
      <c r="AM50" s="750" t="s">
        <v>1571</v>
      </c>
      <c r="AN50" s="743">
        <f t="shared" si="12"/>
        <v>6.64</v>
      </c>
    </row>
    <row r="51" spans="1:40" s="560" customFormat="1">
      <c r="A51" s="607" t="s">
        <v>734</v>
      </c>
      <c r="B51" s="607" t="s">
        <v>1155</v>
      </c>
      <c r="C51" s="845"/>
      <c r="D51" s="741"/>
      <c r="E51" s="1011"/>
      <c r="F51" s="581"/>
      <c r="G51" s="581"/>
      <c r="H51" s="581"/>
      <c r="I51" s="949"/>
      <c r="J51" s="949"/>
      <c r="K51" s="949"/>
      <c r="L51" s="575"/>
      <c r="M51" s="581"/>
      <c r="N51" s="583"/>
      <c r="O51" s="797"/>
      <c r="P51" s="575"/>
      <c r="Q51" s="583"/>
      <c r="R51" s="583"/>
      <c r="S51" s="575"/>
      <c r="T51" s="581"/>
      <c r="U51" s="575"/>
      <c r="V51" s="575"/>
      <c r="W51" s="583"/>
      <c r="X51" s="575"/>
      <c r="Y51" s="583"/>
      <c r="Z51" s="583"/>
      <c r="AA51" s="581"/>
      <c r="AB51" s="583"/>
      <c r="AC51" s="583"/>
      <c r="AD51" s="583"/>
      <c r="AE51" s="583"/>
      <c r="AF51" s="583"/>
      <c r="AG51" s="949"/>
      <c r="AH51" s="842"/>
      <c r="AI51" s="738">
        <f t="shared" si="10"/>
        <v>0</v>
      </c>
      <c r="AJ51" s="843"/>
      <c r="AK51" s="949">
        <v>0</v>
      </c>
      <c r="AL51" s="581">
        <f t="shared" si="11"/>
        <v>0</v>
      </c>
      <c r="AM51" s="750"/>
      <c r="AN51" s="743">
        <f t="shared" si="12"/>
        <v>0</v>
      </c>
    </row>
    <row r="52" spans="1:40" s="560" customFormat="1">
      <c r="A52" s="604" t="s">
        <v>735</v>
      </c>
      <c r="B52" s="604" t="s">
        <v>1163</v>
      </c>
      <c r="C52" s="845"/>
      <c r="D52" s="741"/>
      <c r="E52" s="1011"/>
      <c r="F52" s="581"/>
      <c r="G52" s="581"/>
      <c r="H52" s="581"/>
      <c r="I52" s="949"/>
      <c r="J52" s="949"/>
      <c r="K52" s="949"/>
      <c r="L52" s="575"/>
      <c r="M52" s="581"/>
      <c r="N52" s="583"/>
      <c r="O52" s="797"/>
      <c r="P52" s="575"/>
      <c r="Q52" s="583"/>
      <c r="R52" s="583"/>
      <c r="S52" s="575"/>
      <c r="T52" s="581"/>
      <c r="U52" s="575"/>
      <c r="V52" s="575"/>
      <c r="W52" s="583"/>
      <c r="X52" s="575"/>
      <c r="Y52" s="583"/>
      <c r="Z52" s="583"/>
      <c r="AA52" s="581"/>
      <c r="AB52" s="583"/>
      <c r="AC52" s="583"/>
      <c r="AD52" s="583"/>
      <c r="AE52" s="583"/>
      <c r="AF52" s="583"/>
      <c r="AG52" s="949"/>
      <c r="AH52" s="842"/>
      <c r="AI52" s="738">
        <f t="shared" si="10"/>
        <v>0</v>
      </c>
      <c r="AJ52" s="843"/>
      <c r="AK52" s="949">
        <v>0</v>
      </c>
      <c r="AL52" s="581">
        <f t="shared" si="11"/>
        <v>0</v>
      </c>
      <c r="AM52" s="750"/>
      <c r="AN52" s="743">
        <f t="shared" si="12"/>
        <v>0</v>
      </c>
    </row>
    <row r="53" spans="1:40" s="560" customFormat="1">
      <c r="A53" s="604" t="s">
        <v>736</v>
      </c>
      <c r="B53" s="604" t="s">
        <v>1194</v>
      </c>
      <c r="C53" s="1041" t="s">
        <v>39</v>
      </c>
      <c r="D53" s="741"/>
      <c r="E53" s="1011"/>
      <c r="F53" s="581"/>
      <c r="G53" s="581"/>
      <c r="H53" s="581"/>
      <c r="I53" s="949"/>
      <c r="J53" s="949"/>
      <c r="K53" s="949"/>
      <c r="L53" s="583"/>
      <c r="M53" s="581"/>
      <c r="N53" s="949"/>
      <c r="O53" s="782"/>
      <c r="P53" s="741"/>
      <c r="Q53" s="741"/>
      <c r="R53" s="741"/>
      <c r="S53" s="583"/>
      <c r="T53" s="581"/>
      <c r="U53" s="583"/>
      <c r="V53" s="583"/>
      <c r="W53" s="741"/>
      <c r="X53" s="1117">
        <f>6*0.25*0.15*2.6</f>
        <v>0.58499999999999996</v>
      </c>
      <c r="Y53" s="583"/>
      <c r="Z53" s="741"/>
      <c r="AA53" s="581"/>
      <c r="AB53" s="741"/>
      <c r="AC53" s="741"/>
      <c r="AD53" s="741"/>
      <c r="AE53" s="949"/>
      <c r="AF53" s="949"/>
      <c r="AG53" s="949"/>
      <c r="AH53" s="843"/>
      <c r="AI53" s="1065">
        <f t="shared" si="10"/>
        <v>0.59</v>
      </c>
      <c r="AJ53" s="843"/>
      <c r="AK53" s="949">
        <v>0</v>
      </c>
      <c r="AL53" s="581">
        <f t="shared" si="11"/>
        <v>0.59</v>
      </c>
      <c r="AM53" s="750" t="s">
        <v>1572</v>
      </c>
      <c r="AN53" s="743">
        <f t="shared" si="12"/>
        <v>4.3</v>
      </c>
    </row>
    <row r="54" spans="1:40" s="560" customFormat="1">
      <c r="A54" s="604" t="s">
        <v>737</v>
      </c>
      <c r="B54" s="604" t="s">
        <v>1165</v>
      </c>
      <c r="C54" s="1041" t="s">
        <v>36</v>
      </c>
      <c r="D54" s="741"/>
      <c r="E54" s="1011"/>
      <c r="F54" s="581"/>
      <c r="G54" s="581"/>
      <c r="H54" s="581"/>
      <c r="I54" s="949"/>
      <c r="J54" s="949"/>
      <c r="K54" s="949"/>
      <c r="L54" s="575"/>
      <c r="M54" s="581"/>
      <c r="N54" s="583"/>
      <c r="O54" s="777"/>
      <c r="P54" s="588"/>
      <c r="Q54" s="949"/>
      <c r="R54" s="949"/>
      <c r="S54" s="949"/>
      <c r="T54" s="581"/>
      <c r="U54" s="949"/>
      <c r="V54" s="949"/>
      <c r="W54" s="949"/>
      <c r="X54" s="1096">
        <f>6*(0.25+0.25+0.15)*2.6</f>
        <v>10.14</v>
      </c>
      <c r="Y54" s="1092">
        <f>2*(0.5)*2.6</f>
        <v>2.6</v>
      </c>
      <c r="Z54" s="949"/>
      <c r="AA54" s="581"/>
      <c r="AB54" s="949"/>
      <c r="AC54" s="949"/>
      <c r="AD54" s="949"/>
      <c r="AE54" s="949"/>
      <c r="AF54" s="949"/>
      <c r="AG54" s="949"/>
      <c r="AH54" s="842"/>
      <c r="AI54" s="1065">
        <f t="shared" si="10"/>
        <v>12.74</v>
      </c>
      <c r="AJ54" s="843"/>
      <c r="AK54" s="949">
        <v>0</v>
      </c>
      <c r="AL54" s="581">
        <f t="shared" si="11"/>
        <v>12.74</v>
      </c>
      <c r="AM54" s="750" t="s">
        <v>1573</v>
      </c>
      <c r="AN54" s="743">
        <f t="shared" si="12"/>
        <v>63.949999999999996</v>
      </c>
    </row>
    <row r="55" spans="1:40" s="560" customFormat="1">
      <c r="A55" s="604" t="s">
        <v>739</v>
      </c>
      <c r="B55" s="604" t="s">
        <v>1171</v>
      </c>
      <c r="C55" s="845"/>
      <c r="D55" s="741"/>
      <c r="E55" s="1011"/>
      <c r="F55" s="581"/>
      <c r="G55" s="581"/>
      <c r="H55" s="581"/>
      <c r="I55" s="949"/>
      <c r="J55" s="949"/>
      <c r="K55" s="949"/>
      <c r="L55" s="575"/>
      <c r="M55" s="581"/>
      <c r="N55" s="583"/>
      <c r="O55" s="797"/>
      <c r="P55" s="575"/>
      <c r="Q55" s="583"/>
      <c r="R55" s="583"/>
      <c r="S55" s="575"/>
      <c r="T55" s="581"/>
      <c r="U55" s="575"/>
      <c r="V55" s="575"/>
      <c r="W55" s="583"/>
      <c r="X55" s="575"/>
      <c r="Y55" s="583"/>
      <c r="Z55" s="583"/>
      <c r="AA55" s="581"/>
      <c r="AB55" s="583"/>
      <c r="AC55" s="583"/>
      <c r="AD55" s="583"/>
      <c r="AE55" s="583"/>
      <c r="AF55" s="583"/>
      <c r="AG55" s="949"/>
      <c r="AH55" s="842"/>
      <c r="AI55" s="738">
        <f t="shared" si="10"/>
        <v>0</v>
      </c>
      <c r="AJ55" s="843"/>
      <c r="AK55" s="949">
        <v>0</v>
      </c>
      <c r="AL55" s="581">
        <f t="shared" si="11"/>
        <v>0</v>
      </c>
      <c r="AM55" s="750"/>
      <c r="AN55" s="743">
        <f t="shared" si="12"/>
        <v>0</v>
      </c>
    </row>
    <row r="56" spans="1:40" s="560" customFormat="1">
      <c r="A56" s="604" t="s">
        <v>740</v>
      </c>
      <c r="B56" s="604" t="s">
        <v>1172</v>
      </c>
      <c r="C56" s="1041" t="s">
        <v>39</v>
      </c>
      <c r="D56" s="741"/>
      <c r="E56" s="1011"/>
      <c r="F56" s="581"/>
      <c r="G56" s="581"/>
      <c r="H56" s="581"/>
      <c r="I56" s="949"/>
      <c r="J56" s="1092">
        <f>2*0.7*0.25</f>
        <v>0.35</v>
      </c>
      <c r="K56" s="949"/>
      <c r="L56" s="575"/>
      <c r="M56" s="581"/>
      <c r="N56" s="575"/>
      <c r="O56" s="809"/>
      <c r="P56" s="575"/>
      <c r="Q56" s="583"/>
      <c r="R56" s="583"/>
      <c r="S56" s="575"/>
      <c r="T56" s="581"/>
      <c r="U56" s="575"/>
      <c r="V56" s="583"/>
      <c r="W56" s="583"/>
      <c r="X56" s="583"/>
      <c r="Y56" s="583"/>
      <c r="Z56" s="1096">
        <f>0.18*0.25*3+0.18*0.25*2.25</f>
        <v>0.23625000000000002</v>
      </c>
      <c r="AA56" s="1110">
        <f>6.3*0.18*0.25</f>
        <v>0.28349999999999997</v>
      </c>
      <c r="AB56" s="583"/>
      <c r="AC56" s="583"/>
      <c r="AD56" s="583"/>
      <c r="AE56" s="583"/>
      <c r="AF56" s="583"/>
      <c r="AG56" s="949"/>
      <c r="AH56" s="842"/>
      <c r="AI56" s="1065">
        <f t="shared" si="10"/>
        <v>0.87</v>
      </c>
      <c r="AJ56" s="843"/>
      <c r="AK56" s="949">
        <v>0</v>
      </c>
      <c r="AL56" s="581">
        <f t="shared" si="11"/>
        <v>0.87</v>
      </c>
      <c r="AM56" s="750" t="s">
        <v>1575</v>
      </c>
      <c r="AN56" s="743">
        <f t="shared" si="12"/>
        <v>3.3600000000000003</v>
      </c>
    </row>
    <row r="57" spans="1:40" s="560" customFormat="1">
      <c r="A57" s="604" t="s">
        <v>741</v>
      </c>
      <c r="B57" s="604" t="s">
        <v>1173</v>
      </c>
      <c r="C57" s="1041" t="s">
        <v>36</v>
      </c>
      <c r="D57" s="741"/>
      <c r="E57" s="1011"/>
      <c r="F57" s="581"/>
      <c r="G57" s="581"/>
      <c r="H57" s="581"/>
      <c r="I57" s="949"/>
      <c r="J57" s="1092">
        <f>2*0.7*2</f>
        <v>2.8</v>
      </c>
      <c r="K57" s="949"/>
      <c r="L57" s="575"/>
      <c r="M57" s="581"/>
      <c r="N57" s="575"/>
      <c r="O57" s="809"/>
      <c r="P57" s="575"/>
      <c r="Q57" s="583"/>
      <c r="R57" s="583"/>
      <c r="S57" s="575"/>
      <c r="T57" s="581"/>
      <c r="U57" s="583"/>
      <c r="V57" s="583"/>
      <c r="W57" s="583"/>
      <c r="X57" s="583"/>
      <c r="Y57" s="583"/>
      <c r="Z57" s="1096">
        <f>3*(0.25+0.1+0.1)+2.25*(0.25+0.1+0.1)</f>
        <v>2.3624999999999998</v>
      </c>
      <c r="AA57" s="1110">
        <f>6.3*(0.25+0.1+0.1)</f>
        <v>2.8349999999999995</v>
      </c>
      <c r="AB57" s="583"/>
      <c r="AC57" s="583"/>
      <c r="AD57" s="583"/>
      <c r="AE57" s="583"/>
      <c r="AF57" s="583"/>
      <c r="AG57" s="949"/>
      <c r="AH57" s="842"/>
      <c r="AI57" s="1065">
        <f t="shared" si="10"/>
        <v>8</v>
      </c>
      <c r="AJ57" s="843"/>
      <c r="AK57" s="949">
        <v>0</v>
      </c>
      <c r="AL57" s="581">
        <f t="shared" si="11"/>
        <v>8</v>
      </c>
      <c r="AM57" s="750" t="s">
        <v>1576</v>
      </c>
      <c r="AN57" s="743">
        <f t="shared" si="12"/>
        <v>41.66</v>
      </c>
    </row>
    <row r="58" spans="1:40" s="560" customFormat="1">
      <c r="A58" s="604" t="s">
        <v>742</v>
      </c>
      <c r="B58" s="604" t="s">
        <v>1174</v>
      </c>
      <c r="C58" s="1041" t="s">
        <v>47</v>
      </c>
      <c r="D58" s="741"/>
      <c r="E58" s="1011"/>
      <c r="F58" s="581"/>
      <c r="G58" s="581"/>
      <c r="H58" s="581"/>
      <c r="I58" s="949"/>
      <c r="J58" s="1092">
        <v>20</v>
      </c>
      <c r="K58" s="949"/>
      <c r="L58" s="575"/>
      <c r="M58" s="1110">
        <f>89*0.99</f>
        <v>88.11</v>
      </c>
      <c r="N58" s="575"/>
      <c r="O58" s="809"/>
      <c r="P58" s="575"/>
      <c r="Q58" s="583"/>
      <c r="R58" s="583"/>
      <c r="S58" s="575"/>
      <c r="T58" s="581"/>
      <c r="U58" s="583"/>
      <c r="V58" s="583"/>
      <c r="W58" s="583"/>
      <c r="X58" s="583"/>
      <c r="Y58" s="1096">
        <f>4*9*0.99+4*9*0.559</f>
        <v>55.764000000000003</v>
      </c>
      <c r="Z58" s="583"/>
      <c r="AA58" s="581"/>
      <c r="AB58" s="583"/>
      <c r="AC58" s="583"/>
      <c r="AD58" s="583"/>
      <c r="AE58" s="583"/>
      <c r="AF58" s="583"/>
      <c r="AG58" s="949"/>
      <c r="AH58" s="842"/>
      <c r="AI58" s="1065">
        <f t="shared" si="10"/>
        <v>163.87</v>
      </c>
      <c r="AJ58" s="843"/>
      <c r="AK58" s="949">
        <v>0</v>
      </c>
      <c r="AL58" s="581">
        <f t="shared" si="11"/>
        <v>163.87</v>
      </c>
      <c r="AM58" s="750" t="s">
        <v>1577</v>
      </c>
      <c r="AN58" s="743">
        <f t="shared" si="12"/>
        <v>319.14999999999998</v>
      </c>
    </row>
    <row r="59" spans="1:40" s="560" customFormat="1">
      <c r="A59" s="604" t="s">
        <v>743</v>
      </c>
      <c r="B59" s="604" t="s">
        <v>1199</v>
      </c>
      <c r="C59" s="845"/>
      <c r="D59" s="741"/>
      <c r="E59" s="1011"/>
      <c r="F59" s="581"/>
      <c r="G59" s="581"/>
      <c r="H59" s="581"/>
      <c r="I59" s="949"/>
      <c r="J59" s="949"/>
      <c r="K59" s="949"/>
      <c r="L59" s="575"/>
      <c r="M59" s="581"/>
      <c r="N59" s="575"/>
      <c r="O59" s="809"/>
      <c r="P59" s="575"/>
      <c r="Q59" s="583"/>
      <c r="R59" s="583"/>
      <c r="S59" s="575"/>
      <c r="T59" s="581"/>
      <c r="U59" s="575"/>
      <c r="V59" s="575"/>
      <c r="W59" s="583"/>
      <c r="X59" s="575"/>
      <c r="Y59" s="583"/>
      <c r="Z59" s="583"/>
      <c r="AA59" s="581"/>
      <c r="AB59" s="583"/>
      <c r="AC59" s="583"/>
      <c r="AD59" s="583"/>
      <c r="AE59" s="583"/>
      <c r="AF59" s="583"/>
      <c r="AG59" s="949"/>
      <c r="AH59" s="842"/>
      <c r="AI59" s="738">
        <f t="shared" si="10"/>
        <v>0</v>
      </c>
      <c r="AJ59" s="843"/>
      <c r="AK59" s="949">
        <v>0</v>
      </c>
      <c r="AL59" s="581">
        <f t="shared" si="11"/>
        <v>0</v>
      </c>
      <c r="AM59" s="750"/>
      <c r="AN59" s="743">
        <f t="shared" si="12"/>
        <v>0</v>
      </c>
    </row>
    <row r="60" spans="1:40" s="560" customFormat="1">
      <c r="A60" s="604" t="s">
        <v>744</v>
      </c>
      <c r="B60" s="604" t="s">
        <v>1191</v>
      </c>
      <c r="C60" s="1041" t="s">
        <v>39</v>
      </c>
      <c r="D60" s="741"/>
      <c r="E60" s="1011"/>
      <c r="F60" s="581"/>
      <c r="G60" s="581"/>
      <c r="H60" s="581"/>
      <c r="I60" s="949"/>
      <c r="J60" s="1092">
        <f>3.25*0.6*0.15+1.9*1.45*0.15</f>
        <v>0.70574999999999988</v>
      </c>
      <c r="K60" s="949"/>
      <c r="L60" s="575"/>
      <c r="M60" s="581"/>
      <c r="N60" s="575"/>
      <c r="O60" s="809"/>
      <c r="P60" s="575"/>
      <c r="Q60" s="583"/>
      <c r="R60" s="583"/>
      <c r="S60" s="575"/>
      <c r="T60" s="581"/>
      <c r="U60" s="575"/>
      <c r="V60" s="575"/>
      <c r="W60" s="583"/>
      <c r="X60" s="575"/>
      <c r="Y60" s="1096">
        <f>4.2*1.1*0.15</f>
        <v>0.69300000000000017</v>
      </c>
      <c r="Z60" s="583"/>
      <c r="AA60" s="581"/>
      <c r="AB60" s="583"/>
      <c r="AC60" s="583"/>
      <c r="AD60" s="583"/>
      <c r="AE60" s="583"/>
      <c r="AF60" s="583"/>
      <c r="AG60" s="949"/>
      <c r="AH60" s="842"/>
      <c r="AI60" s="1065">
        <f t="shared" si="10"/>
        <v>1.4</v>
      </c>
      <c r="AJ60" s="843"/>
      <c r="AK60" s="949">
        <v>0</v>
      </c>
      <c r="AL60" s="581">
        <f t="shared" si="11"/>
        <v>1.4</v>
      </c>
      <c r="AM60" s="750" t="s">
        <v>1578</v>
      </c>
      <c r="AN60" s="743">
        <f t="shared" si="12"/>
        <v>2.8400000000000003</v>
      </c>
    </row>
    <row r="61" spans="1:40" s="560" customFormat="1">
      <c r="A61" s="604" t="s">
        <v>745</v>
      </c>
      <c r="B61" s="604" t="s">
        <v>1200</v>
      </c>
      <c r="C61" s="1041" t="s">
        <v>36</v>
      </c>
      <c r="D61" s="741"/>
      <c r="E61" s="1011"/>
      <c r="F61" s="581"/>
      <c r="G61" s="581"/>
      <c r="H61" s="581"/>
      <c r="I61" s="949"/>
      <c r="J61" s="1092">
        <f>3.25*0.6*2+1.9*1.45*2</f>
        <v>9.41</v>
      </c>
      <c r="K61" s="949"/>
      <c r="L61" s="575"/>
      <c r="M61" s="581"/>
      <c r="N61" s="575"/>
      <c r="O61" s="809"/>
      <c r="P61" s="1096">
        <f>3.25*1.15*2+3.25*0.9*2+3.25*0.7*2</f>
        <v>17.875</v>
      </c>
      <c r="Q61" s="1114">
        <v>0.78</v>
      </c>
      <c r="R61" s="583"/>
      <c r="S61" s="575"/>
      <c r="T61" s="581"/>
      <c r="U61" s="575"/>
      <c r="V61" s="575"/>
      <c r="W61" s="583"/>
      <c r="Z61" s="583"/>
      <c r="AA61" s="581"/>
      <c r="AB61" s="583"/>
      <c r="AC61" s="583"/>
      <c r="AD61" s="583"/>
      <c r="AE61" s="583"/>
      <c r="AF61" s="583"/>
      <c r="AG61" s="949"/>
      <c r="AH61" s="842"/>
      <c r="AI61" s="1065">
        <f t="shared" si="10"/>
        <v>28.07</v>
      </c>
      <c r="AJ61" s="843"/>
      <c r="AK61" s="949">
        <v>0</v>
      </c>
      <c r="AL61" s="581">
        <f t="shared" si="11"/>
        <v>28.07</v>
      </c>
      <c r="AM61" s="750" t="s">
        <v>1579</v>
      </c>
      <c r="AN61" s="743">
        <f t="shared" si="12"/>
        <v>28.5</v>
      </c>
    </row>
    <row r="62" spans="1:40" s="560" customFormat="1">
      <c r="A62" s="604" t="s">
        <v>746</v>
      </c>
      <c r="B62" s="604" t="s">
        <v>1201</v>
      </c>
      <c r="C62" s="1115" t="s">
        <v>47</v>
      </c>
      <c r="D62" s="741"/>
      <c r="E62" s="1011"/>
      <c r="F62" s="581"/>
      <c r="G62" s="581"/>
      <c r="H62" s="581"/>
      <c r="I62" s="949"/>
      <c r="J62" s="1092">
        <f>7*9*0.99</f>
        <v>62.37</v>
      </c>
      <c r="K62" s="949"/>
      <c r="L62" s="575"/>
      <c r="M62" s="581"/>
      <c r="N62" s="575"/>
      <c r="O62" s="809"/>
      <c r="P62" s="575"/>
      <c r="Q62" s="583"/>
      <c r="R62" s="583"/>
      <c r="S62" s="1096">
        <f>4*9*0.99-29.29</f>
        <v>6.3500000000000014</v>
      </c>
      <c r="T62" s="581"/>
      <c r="U62" s="575"/>
      <c r="V62" s="575"/>
      <c r="W62" s="583"/>
      <c r="X62" s="575"/>
      <c r="Y62" s="583"/>
      <c r="Z62" s="583"/>
      <c r="AA62" s="581"/>
      <c r="AB62" s="583"/>
      <c r="AC62" s="583"/>
      <c r="AD62" s="583"/>
      <c r="AE62" s="583"/>
      <c r="AF62" s="583"/>
      <c r="AG62" s="949"/>
      <c r="AH62" s="842"/>
      <c r="AI62" s="1065">
        <f t="shared" si="10"/>
        <v>68.72</v>
      </c>
      <c r="AJ62" s="843"/>
      <c r="AK62" s="949">
        <v>0</v>
      </c>
      <c r="AL62" s="581">
        <f t="shared" si="11"/>
        <v>68.72</v>
      </c>
      <c r="AM62" s="750" t="s">
        <v>1580</v>
      </c>
      <c r="AN62" s="743">
        <f t="shared" si="12"/>
        <v>370.01</v>
      </c>
    </row>
    <row r="63" spans="1:40" s="560" customFormat="1">
      <c r="A63" s="607" t="s">
        <v>747</v>
      </c>
      <c r="B63" s="607" t="s">
        <v>1186</v>
      </c>
      <c r="C63" s="845"/>
      <c r="D63" s="741"/>
      <c r="E63" s="1011"/>
      <c r="F63" s="581"/>
      <c r="G63" s="581"/>
      <c r="H63" s="581"/>
      <c r="I63" s="949"/>
      <c r="J63" s="949"/>
      <c r="K63" s="949"/>
      <c r="L63" s="575"/>
      <c r="M63" s="581"/>
      <c r="N63" s="575"/>
      <c r="O63" s="809"/>
      <c r="P63" s="575"/>
      <c r="Q63" s="583"/>
      <c r="R63" s="583"/>
      <c r="S63" s="575"/>
      <c r="T63" s="581"/>
      <c r="U63" s="575"/>
      <c r="V63" s="575"/>
      <c r="W63" s="583"/>
      <c r="X63" s="575"/>
      <c r="Y63" s="583"/>
      <c r="Z63" s="583"/>
      <c r="AA63" s="581"/>
      <c r="AB63" s="583"/>
      <c r="AC63" s="583"/>
      <c r="AD63" s="583"/>
      <c r="AE63" s="583"/>
      <c r="AF63" s="583"/>
      <c r="AG63" s="949"/>
      <c r="AH63" s="842"/>
      <c r="AI63" s="738">
        <f t="shared" si="10"/>
        <v>0</v>
      </c>
      <c r="AJ63" s="843"/>
      <c r="AK63" s="949">
        <v>0</v>
      </c>
      <c r="AL63" s="581">
        <f t="shared" si="11"/>
        <v>0</v>
      </c>
      <c r="AM63" s="750"/>
      <c r="AN63" s="743">
        <f t="shared" si="12"/>
        <v>0</v>
      </c>
    </row>
    <row r="64" spans="1:40" s="560" customFormat="1">
      <c r="A64" s="604" t="s">
        <v>748</v>
      </c>
      <c r="B64" s="604" t="s">
        <v>1202</v>
      </c>
      <c r="C64" s="1041" t="s">
        <v>37</v>
      </c>
      <c r="D64" s="741"/>
      <c r="E64" s="1011"/>
      <c r="F64" s="581"/>
      <c r="G64" s="581"/>
      <c r="H64" s="581"/>
      <c r="I64" s="949"/>
      <c r="J64" s="949"/>
      <c r="K64" s="949"/>
      <c r="L64" s="575"/>
      <c r="M64" s="581"/>
      <c r="N64" s="575"/>
      <c r="O64" s="809"/>
      <c r="P64" s="575"/>
      <c r="Q64" s="583"/>
      <c r="R64" s="583"/>
      <c r="S64" s="575"/>
      <c r="T64" s="581"/>
      <c r="U64" s="575"/>
      <c r="V64" s="575"/>
      <c r="W64" s="583"/>
      <c r="X64" s="575"/>
      <c r="Y64" s="583"/>
      <c r="Z64" s="583"/>
      <c r="AA64" s="581"/>
      <c r="AB64" s="583"/>
      <c r="AC64" s="583"/>
      <c r="AD64" s="583"/>
      <c r="AE64" s="583"/>
      <c r="AF64" s="583"/>
      <c r="AG64" s="1092">
        <v>16</v>
      </c>
      <c r="AH64" s="843"/>
      <c r="AI64" s="1065">
        <f t="shared" si="10"/>
        <v>16</v>
      </c>
      <c r="AJ64" s="843"/>
      <c r="AK64" s="949">
        <v>0</v>
      </c>
      <c r="AL64" s="581">
        <f t="shared" si="11"/>
        <v>16</v>
      </c>
      <c r="AM64" s="750" t="s">
        <v>1581</v>
      </c>
      <c r="AN64" s="743">
        <f t="shared" si="12"/>
        <v>20</v>
      </c>
    </row>
    <row r="65" spans="1:40" s="782" customFormat="1">
      <c r="A65" s="492" t="s">
        <v>749</v>
      </c>
      <c r="B65" s="608" t="s">
        <v>1203</v>
      </c>
      <c r="C65" s="845"/>
      <c r="D65" s="741"/>
      <c r="E65" s="1011"/>
      <c r="F65" s="581"/>
      <c r="G65" s="581"/>
      <c r="H65" s="581"/>
      <c r="I65" s="949"/>
      <c r="J65" s="949"/>
      <c r="K65" s="949"/>
      <c r="L65" s="575"/>
      <c r="M65" s="581"/>
      <c r="N65" s="575"/>
      <c r="O65" s="809"/>
      <c r="P65" s="575"/>
      <c r="Q65" s="583"/>
      <c r="R65" s="583"/>
      <c r="S65" s="575"/>
      <c r="T65" s="581"/>
      <c r="U65" s="575"/>
      <c r="V65" s="575"/>
      <c r="W65" s="583"/>
      <c r="X65" s="575"/>
      <c r="Y65" s="583"/>
      <c r="Z65" s="583"/>
      <c r="AA65" s="581"/>
      <c r="AB65" s="583"/>
      <c r="AC65" s="583"/>
      <c r="AD65" s="583"/>
      <c r="AE65" s="583"/>
      <c r="AF65" s="583"/>
      <c r="AG65" s="949"/>
      <c r="AH65" s="842"/>
      <c r="AI65" s="738">
        <f t="shared" ref="AI65:AI84" si="13">ROUND((SUM(E65:AH65)),2)</f>
        <v>0</v>
      </c>
      <c r="AJ65" s="843"/>
      <c r="AK65" s="777">
        <v>0</v>
      </c>
      <c r="AL65" s="778">
        <f t="shared" si="11"/>
        <v>0</v>
      </c>
      <c r="AM65" s="901"/>
      <c r="AN65" s="781">
        <f t="shared" si="12"/>
        <v>0</v>
      </c>
    </row>
    <row r="66" spans="1:40" s="560" customFormat="1">
      <c r="A66" s="607" t="s">
        <v>750</v>
      </c>
      <c r="B66" s="607" t="s">
        <v>45</v>
      </c>
      <c r="C66" s="845"/>
      <c r="D66" s="741"/>
      <c r="E66" s="1011"/>
      <c r="F66" s="581"/>
      <c r="G66" s="581"/>
      <c r="H66" s="581"/>
      <c r="I66" s="949"/>
      <c r="J66" s="949"/>
      <c r="K66" s="949"/>
      <c r="L66" s="575"/>
      <c r="M66" s="581"/>
      <c r="N66" s="575"/>
      <c r="O66" s="809"/>
      <c r="P66" s="575"/>
      <c r="Q66" s="583"/>
      <c r="R66" s="583"/>
      <c r="S66" s="575"/>
      <c r="T66" s="581"/>
      <c r="U66" s="575"/>
      <c r="V66" s="575"/>
      <c r="W66" s="583"/>
      <c r="X66" s="575"/>
      <c r="Y66" s="583"/>
      <c r="Z66" s="583"/>
      <c r="AA66" s="581"/>
      <c r="AB66" s="583"/>
      <c r="AC66" s="583"/>
      <c r="AD66" s="583"/>
      <c r="AE66" s="583"/>
      <c r="AF66" s="583"/>
      <c r="AG66" s="949"/>
      <c r="AH66" s="842"/>
      <c r="AI66" s="738">
        <f t="shared" si="13"/>
        <v>0</v>
      </c>
      <c r="AJ66" s="843"/>
      <c r="AK66" s="949">
        <v>0</v>
      </c>
      <c r="AL66" s="581">
        <f t="shared" si="11"/>
        <v>0</v>
      </c>
      <c r="AM66" s="750"/>
      <c r="AN66" s="743">
        <f t="shared" si="12"/>
        <v>0</v>
      </c>
    </row>
    <row r="67" spans="1:40" s="560" customFormat="1">
      <c r="A67" s="604" t="s">
        <v>751</v>
      </c>
      <c r="B67" s="604" t="s">
        <v>1198</v>
      </c>
      <c r="C67" s="1041" t="s">
        <v>39</v>
      </c>
      <c r="D67" s="741"/>
      <c r="E67" s="1011"/>
      <c r="F67" s="1035">
        <f>4.1*1.8*1.2</f>
        <v>8.8559999999999999</v>
      </c>
      <c r="G67" s="1035">
        <f>3.3*0.6*1.2</f>
        <v>2.3759999999999994</v>
      </c>
      <c r="H67" s="581"/>
      <c r="I67" s="1034">
        <f>4.5*1.5*0.7</f>
        <v>4.7249999999999996</v>
      </c>
      <c r="J67" s="949"/>
      <c r="K67" s="949"/>
      <c r="L67" s="583"/>
      <c r="M67" s="581"/>
      <c r="N67" s="575"/>
      <c r="O67" s="809"/>
      <c r="P67" s="1096">
        <f>3*4*1.5</f>
        <v>18</v>
      </c>
      <c r="Q67" s="1096">
        <f>4*1*1.5</f>
        <v>6</v>
      </c>
      <c r="R67" s="583"/>
      <c r="S67" s="583"/>
      <c r="T67" s="581"/>
      <c r="U67" s="1096">
        <v>15</v>
      </c>
      <c r="V67" s="583"/>
      <c r="W67" s="583"/>
      <c r="X67" s="575"/>
      <c r="Y67" s="583"/>
      <c r="Z67" s="1114">
        <v>10</v>
      </c>
      <c r="AA67" s="1110">
        <v>10</v>
      </c>
      <c r="AB67" s="1096">
        <v>20</v>
      </c>
      <c r="AC67" s="583"/>
      <c r="AD67" s="1096">
        <v>10.52</v>
      </c>
      <c r="AE67" s="583"/>
      <c r="AF67" s="583"/>
      <c r="AG67" s="949"/>
      <c r="AH67" s="1023"/>
      <c r="AI67" s="1065">
        <f t="shared" si="13"/>
        <v>105.48</v>
      </c>
      <c r="AJ67" s="843"/>
      <c r="AK67" s="949">
        <v>0</v>
      </c>
      <c r="AL67" s="581">
        <f t="shared" si="11"/>
        <v>105.48</v>
      </c>
      <c r="AM67" s="750" t="s">
        <v>1582</v>
      </c>
      <c r="AN67" s="743">
        <f t="shared" si="12"/>
        <v>336.15999999999997</v>
      </c>
    </row>
    <row r="68" spans="1:40" s="560" customFormat="1">
      <c r="A68" s="607" t="s">
        <v>753</v>
      </c>
      <c r="B68" s="607" t="s">
        <v>1204</v>
      </c>
      <c r="C68" s="845"/>
      <c r="D68" s="741"/>
      <c r="E68" s="1011"/>
      <c r="F68" s="581"/>
      <c r="G68" s="581"/>
      <c r="H68" s="581"/>
      <c r="I68" s="949"/>
      <c r="J68" s="949"/>
      <c r="K68" s="949"/>
      <c r="L68" s="575"/>
      <c r="M68" s="581"/>
      <c r="N68" s="575"/>
      <c r="O68" s="809"/>
      <c r="P68" s="575"/>
      <c r="Q68" s="583"/>
      <c r="R68" s="583"/>
      <c r="S68" s="575"/>
      <c r="T68" s="581"/>
      <c r="U68" s="575"/>
      <c r="V68" s="575"/>
      <c r="W68" s="583"/>
      <c r="X68" s="575"/>
      <c r="Y68" s="583"/>
      <c r="Z68" s="583"/>
      <c r="AA68" s="581"/>
      <c r="AB68" s="583"/>
      <c r="AC68" s="583"/>
      <c r="AD68" s="583"/>
      <c r="AE68" s="583"/>
      <c r="AF68" s="583"/>
      <c r="AG68" s="949"/>
      <c r="AH68" s="842"/>
      <c r="AI68" s="738">
        <f t="shared" si="13"/>
        <v>0</v>
      </c>
      <c r="AJ68" s="843"/>
      <c r="AK68" s="949">
        <v>0</v>
      </c>
      <c r="AL68" s="581">
        <f t="shared" si="11"/>
        <v>0</v>
      </c>
      <c r="AM68" s="750"/>
      <c r="AN68" s="743">
        <f t="shared" si="12"/>
        <v>0</v>
      </c>
    </row>
    <row r="69" spans="1:40" s="560" customFormat="1">
      <c r="A69" s="604" t="s">
        <v>754</v>
      </c>
      <c r="B69" s="604" t="s">
        <v>1205</v>
      </c>
      <c r="C69" s="1041" t="s">
        <v>39</v>
      </c>
      <c r="D69" s="741"/>
      <c r="E69" s="1109">
        <f>10.5*1.1*0.25</f>
        <v>2.8875000000000002</v>
      </c>
      <c r="F69" s="581"/>
      <c r="G69" s="581"/>
      <c r="H69" s="581"/>
      <c r="I69" s="949"/>
      <c r="J69" s="949"/>
      <c r="K69" s="1092">
        <f>4.5*1.5*0.5</f>
        <v>3.375</v>
      </c>
      <c r="L69" s="575"/>
      <c r="M69" s="1110">
        <f>5*2.1*0.3</f>
        <v>3.15</v>
      </c>
      <c r="N69" s="583"/>
      <c r="O69" s="797"/>
      <c r="P69" s="575"/>
      <c r="Q69" s="583"/>
      <c r="R69" s="583"/>
      <c r="S69" s="1096">
        <f>4.5*1.5*0.5</f>
        <v>3.375</v>
      </c>
      <c r="T69" s="1110">
        <f>6.7*1.8*0.35</f>
        <v>4.2210000000000001</v>
      </c>
      <c r="U69" s="575"/>
      <c r="V69" s="575"/>
      <c r="W69" s="583"/>
      <c r="X69" s="1096">
        <f>4.5*2.1*0.35</f>
        <v>3.3075000000000001</v>
      </c>
      <c r="Y69" s="1096">
        <f>0.25*6.3*0.25</f>
        <v>0.39374999999999999</v>
      </c>
      <c r="Z69" s="583"/>
      <c r="AA69" s="581"/>
      <c r="AB69" s="1096">
        <f>7.8*0.7*0.4</f>
        <v>2.1840000000000002</v>
      </c>
      <c r="AC69" s="583"/>
      <c r="AE69" s="1096">
        <f>5.5*2.5*0.3+1.95*2.3*0.3</f>
        <v>5.4704999999999995</v>
      </c>
      <c r="AF69" s="583"/>
      <c r="AG69" s="949"/>
      <c r="AH69" s="949"/>
      <c r="AI69" s="1065">
        <f t="shared" si="13"/>
        <v>28.36</v>
      </c>
      <c r="AJ69" s="843"/>
      <c r="AK69" s="949">
        <v>0</v>
      </c>
      <c r="AL69" s="581">
        <f t="shared" si="11"/>
        <v>28.36</v>
      </c>
      <c r="AM69" s="750" t="s">
        <v>1584</v>
      </c>
      <c r="AN69" s="743">
        <f t="shared" si="12"/>
        <v>175.64999999999998</v>
      </c>
    </row>
    <row r="70" spans="1:40" s="560" customFormat="1">
      <c r="A70" s="604" t="s">
        <v>755</v>
      </c>
      <c r="B70" s="604" t="s">
        <v>1206</v>
      </c>
      <c r="C70" s="1041" t="s">
        <v>36</v>
      </c>
      <c r="D70" s="741"/>
      <c r="E70" s="1109">
        <f>10.5*1.1*2</f>
        <v>23.1</v>
      </c>
      <c r="F70" s="581"/>
      <c r="G70" s="581"/>
      <c r="I70" s="949"/>
      <c r="J70" s="949"/>
      <c r="K70" s="949"/>
      <c r="L70" s="1096">
        <f>5*1.8*2</f>
        <v>18</v>
      </c>
      <c r="M70" s="581"/>
      <c r="N70" s="583"/>
      <c r="O70" s="809"/>
      <c r="P70" s="575"/>
      <c r="Q70" s="583"/>
      <c r="R70" s="583"/>
      <c r="S70" s="575"/>
      <c r="T70" s="1110">
        <f>6.7*1.8*2</f>
        <v>24.12</v>
      </c>
      <c r="U70" s="575"/>
      <c r="V70" s="575"/>
      <c r="W70" s="583"/>
      <c r="X70" s="1096">
        <f>4.5*2.1*2</f>
        <v>18.900000000000002</v>
      </c>
      <c r="Y70" s="583"/>
      <c r="Z70" s="583"/>
      <c r="AA70" s="581"/>
      <c r="AB70" s="583"/>
      <c r="AC70" s="583"/>
      <c r="AD70" s="1096">
        <f>2.5*7.8*0.3</f>
        <v>5.85</v>
      </c>
      <c r="AE70" s="583"/>
      <c r="AF70" s="583"/>
      <c r="AG70" s="949"/>
      <c r="AH70" s="842"/>
      <c r="AI70" s="1065">
        <f t="shared" si="13"/>
        <v>89.97</v>
      </c>
      <c r="AJ70" s="843"/>
      <c r="AK70" s="949">
        <v>0</v>
      </c>
      <c r="AL70" s="581">
        <f t="shared" si="11"/>
        <v>89.97</v>
      </c>
      <c r="AM70" s="750" t="s">
        <v>1585</v>
      </c>
      <c r="AN70" s="743">
        <f t="shared" si="12"/>
        <v>460.47</v>
      </c>
    </row>
    <row r="71" spans="1:40" s="560" customFormat="1">
      <c r="A71" s="604" t="s">
        <v>756</v>
      </c>
      <c r="B71" s="604" t="s">
        <v>1207</v>
      </c>
      <c r="C71" s="1041" t="s">
        <v>47</v>
      </c>
      <c r="D71" s="741"/>
      <c r="E71" s="1011"/>
      <c r="F71" s="581"/>
      <c r="G71" s="581"/>
      <c r="H71" s="581"/>
      <c r="I71" s="949"/>
      <c r="J71" s="1092">
        <f>44*1.8*1.552+9*9*0.99+6*9*1.552+12*9*0.559+6*9*1.552+54*0.56*0.559</f>
        <v>448.00056000000001</v>
      </c>
      <c r="K71" s="1092">
        <f>25*9*1.552+8*9*0.99</f>
        <v>420.48</v>
      </c>
      <c r="L71" s="583"/>
      <c r="M71" s="1110">
        <f>14*9*0.99</f>
        <v>124.74</v>
      </c>
      <c r="N71" s="583"/>
      <c r="O71" s="797"/>
      <c r="P71" s="583"/>
      <c r="Q71" s="583"/>
      <c r="R71" s="1096">
        <f>40*1.8*1.552+4*9*0.559+7*9*0.99</f>
        <v>194.238</v>
      </c>
      <c r="S71" s="1096">
        <f>21*9*0.99+17*9*1.552</f>
        <v>424.56600000000003</v>
      </c>
      <c r="T71" s="581"/>
      <c r="U71" s="583"/>
      <c r="V71" s="583"/>
      <c r="W71" s="1096">
        <f>11*9*0.99</f>
        <v>98.01</v>
      </c>
      <c r="X71" s="583"/>
      <c r="Y71" s="583"/>
      <c r="Z71" s="583"/>
      <c r="AA71" s="1110">
        <f>75*1*0.99+4*9*1.552</f>
        <v>130.12200000000001</v>
      </c>
      <c r="AB71" s="1096">
        <f>16*1.522+13*9*0.99</f>
        <v>140.18199999999999</v>
      </c>
      <c r="AC71" s="583"/>
      <c r="AD71" s="1096">
        <f>16*9*0.99</f>
        <v>142.56</v>
      </c>
      <c r="AE71" s="583"/>
      <c r="AF71" s="583"/>
      <c r="AG71" s="949"/>
      <c r="AH71" s="843"/>
      <c r="AI71" s="1065">
        <f t="shared" si="13"/>
        <v>2122.9</v>
      </c>
      <c r="AJ71" s="843"/>
      <c r="AK71" s="949">
        <v>0</v>
      </c>
      <c r="AL71" s="581">
        <f t="shared" si="11"/>
        <v>2122.9</v>
      </c>
      <c r="AM71" s="750" t="s">
        <v>1586</v>
      </c>
      <c r="AN71" s="743">
        <f t="shared" si="12"/>
        <v>13325.84</v>
      </c>
    </row>
    <row r="72" spans="1:40" s="560" customFormat="1">
      <c r="A72" s="607" t="s">
        <v>757</v>
      </c>
      <c r="B72" s="607" t="s">
        <v>1186</v>
      </c>
      <c r="C72" s="845"/>
      <c r="D72" s="741"/>
      <c r="E72" s="1011"/>
      <c r="F72" s="581"/>
      <c r="G72" s="581"/>
      <c r="H72" s="581"/>
      <c r="I72" s="949"/>
      <c r="J72" s="949"/>
      <c r="K72" s="949"/>
      <c r="L72" s="575"/>
      <c r="M72" s="581"/>
      <c r="N72" s="575"/>
      <c r="O72" s="809"/>
      <c r="P72" s="575"/>
      <c r="Q72" s="583"/>
      <c r="R72" s="583"/>
      <c r="S72" s="575"/>
      <c r="T72" s="581"/>
      <c r="U72" s="575"/>
      <c r="V72" s="575"/>
      <c r="W72" s="583"/>
      <c r="X72" s="575"/>
      <c r="Y72" s="583"/>
      <c r="Z72" s="583"/>
      <c r="AA72" s="581"/>
      <c r="AB72" s="583"/>
      <c r="AC72" s="583"/>
      <c r="AD72" s="583"/>
      <c r="AE72" s="583"/>
      <c r="AF72" s="583"/>
      <c r="AG72" s="949"/>
      <c r="AH72" s="842"/>
      <c r="AI72" s="738">
        <f t="shared" si="13"/>
        <v>0</v>
      </c>
      <c r="AJ72" s="843"/>
      <c r="AK72" s="949">
        <v>0</v>
      </c>
      <c r="AL72" s="581">
        <f t="shared" si="11"/>
        <v>0</v>
      </c>
      <c r="AM72" s="750"/>
      <c r="AN72" s="743">
        <f t="shared" si="12"/>
        <v>0</v>
      </c>
    </row>
    <row r="73" spans="1:40" s="560" customFormat="1">
      <c r="A73" s="604" t="s">
        <v>758</v>
      </c>
      <c r="B73" s="604" t="s">
        <v>1208</v>
      </c>
      <c r="C73" s="1041" t="s">
        <v>37</v>
      </c>
      <c r="D73" s="741"/>
      <c r="E73" s="1011"/>
      <c r="F73" s="581"/>
      <c r="G73" s="581"/>
      <c r="H73" s="581"/>
      <c r="I73" s="949"/>
      <c r="J73" s="949"/>
      <c r="K73" s="949"/>
      <c r="L73" s="575"/>
      <c r="M73" s="581"/>
      <c r="N73" s="575"/>
      <c r="O73" s="809"/>
      <c r="P73" s="575"/>
      <c r="Q73" s="583"/>
      <c r="R73" s="583"/>
      <c r="S73" s="583"/>
      <c r="T73" s="581"/>
      <c r="U73" s="575"/>
      <c r="V73" s="575"/>
      <c r="W73" s="583"/>
      <c r="X73" s="575"/>
      <c r="Y73" s="583"/>
      <c r="Z73" s="583"/>
      <c r="AA73" s="581"/>
      <c r="AB73" s="583"/>
      <c r="AC73" s="583"/>
      <c r="AD73" s="583"/>
      <c r="AE73" s="583"/>
      <c r="AF73" s="583"/>
      <c r="AG73" s="1092">
        <v>94.93</v>
      </c>
      <c r="AH73" s="842"/>
      <c r="AI73" s="1065">
        <f t="shared" si="13"/>
        <v>94.93</v>
      </c>
      <c r="AJ73" s="843"/>
      <c r="AK73" s="949">
        <v>0</v>
      </c>
      <c r="AL73" s="581">
        <f t="shared" si="11"/>
        <v>94.93</v>
      </c>
      <c r="AM73" s="750" t="s">
        <v>1587</v>
      </c>
      <c r="AN73" s="743">
        <f t="shared" si="12"/>
        <v>17</v>
      </c>
    </row>
    <row r="74" spans="1:40" s="560" customFormat="1">
      <c r="A74" s="604" t="s">
        <v>759</v>
      </c>
      <c r="B74" s="604" t="s">
        <v>224</v>
      </c>
      <c r="C74" s="1041" t="s">
        <v>1436</v>
      </c>
      <c r="D74" s="741"/>
      <c r="E74" s="1011"/>
      <c r="F74" s="581"/>
      <c r="G74" s="581"/>
      <c r="H74" s="581"/>
      <c r="I74" s="949"/>
      <c r="J74" s="949"/>
      <c r="K74" s="949"/>
      <c r="L74" s="575"/>
      <c r="M74" s="581"/>
      <c r="N74" s="575"/>
      <c r="O74" s="809"/>
      <c r="P74" s="575"/>
      <c r="Q74" s="583"/>
      <c r="R74" s="583"/>
      <c r="S74" s="575"/>
      <c r="T74" s="581"/>
      <c r="U74" s="575"/>
      <c r="V74" s="575"/>
      <c r="W74" s="583"/>
      <c r="X74" s="575"/>
      <c r="Y74" s="583"/>
      <c r="Z74" s="583"/>
      <c r="AA74" s="581"/>
      <c r="AB74" s="583"/>
      <c r="AC74" s="583"/>
      <c r="AD74" s="583"/>
      <c r="AE74" s="583"/>
      <c r="AF74" s="583"/>
      <c r="AG74" s="1092">
        <v>9</v>
      </c>
      <c r="AH74" s="843"/>
      <c r="AI74" s="1065">
        <f t="shared" si="13"/>
        <v>9</v>
      </c>
      <c r="AJ74" s="843"/>
      <c r="AK74" s="949">
        <v>0</v>
      </c>
      <c r="AL74" s="581">
        <f t="shared" si="11"/>
        <v>9</v>
      </c>
      <c r="AM74" s="750" t="s">
        <v>1588</v>
      </c>
      <c r="AN74" s="743">
        <f t="shared" si="12"/>
        <v>15</v>
      </c>
    </row>
    <row r="75" spans="1:40" s="560" customFormat="1">
      <c r="A75" s="492" t="s">
        <v>767</v>
      </c>
      <c r="B75" s="608" t="s">
        <v>1211</v>
      </c>
      <c r="C75" s="845"/>
      <c r="D75" s="741"/>
      <c r="E75" s="1011"/>
      <c r="F75" s="581"/>
      <c r="G75" s="581"/>
      <c r="H75" s="581"/>
      <c r="I75" s="949"/>
      <c r="J75" s="949"/>
      <c r="K75" s="949"/>
      <c r="L75" s="575"/>
      <c r="M75" s="581"/>
      <c r="N75" s="575"/>
      <c r="O75" s="809"/>
      <c r="P75" s="575"/>
      <c r="Q75" s="583"/>
      <c r="R75" s="583"/>
      <c r="S75" s="575"/>
      <c r="T75" s="581"/>
      <c r="U75" s="575"/>
      <c r="V75" s="575"/>
      <c r="W75" s="583"/>
      <c r="X75" s="575"/>
      <c r="Y75" s="583"/>
      <c r="Z75" s="583"/>
      <c r="AA75" s="581"/>
      <c r="AB75" s="583"/>
      <c r="AC75" s="583"/>
      <c r="AD75" s="583"/>
      <c r="AE75" s="583"/>
      <c r="AF75" s="583"/>
      <c r="AG75" s="949"/>
      <c r="AH75" s="842"/>
      <c r="AI75" s="738">
        <f t="shared" si="13"/>
        <v>0</v>
      </c>
      <c r="AJ75" s="843"/>
      <c r="AK75" s="949">
        <v>0</v>
      </c>
      <c r="AL75" s="581">
        <f t="shared" ref="AL75:AL84" si="14">AI75+AK75</f>
        <v>0</v>
      </c>
      <c r="AM75" s="750"/>
      <c r="AN75" s="743">
        <f t="shared" ref="AN75:AN84" si="15">AM75-AL75</f>
        <v>0</v>
      </c>
    </row>
    <row r="76" spans="1:40" s="560" customFormat="1">
      <c r="A76" s="607" t="s">
        <v>768</v>
      </c>
      <c r="B76" s="607" t="s">
        <v>45</v>
      </c>
      <c r="C76" s="845"/>
      <c r="D76" s="741"/>
      <c r="E76" s="1011"/>
      <c r="F76" s="581"/>
      <c r="G76" s="581"/>
      <c r="H76" s="581"/>
      <c r="I76" s="949"/>
      <c r="J76" s="949"/>
      <c r="K76" s="949"/>
      <c r="L76" s="575"/>
      <c r="M76" s="581"/>
      <c r="N76" s="575"/>
      <c r="O76" s="809"/>
      <c r="P76" s="575"/>
      <c r="Q76" s="583"/>
      <c r="R76" s="583"/>
      <c r="S76" s="575"/>
      <c r="T76" s="581"/>
      <c r="U76" s="575"/>
      <c r="V76" s="575"/>
      <c r="W76" s="583"/>
      <c r="X76" s="575"/>
      <c r="Y76" s="583"/>
      <c r="Z76" s="583"/>
      <c r="AA76" s="581"/>
      <c r="AB76" s="583"/>
      <c r="AC76" s="583"/>
      <c r="AD76" s="583"/>
      <c r="AE76" s="583"/>
      <c r="AF76" s="583"/>
      <c r="AG76" s="949"/>
      <c r="AH76" s="842"/>
      <c r="AI76" s="738">
        <f t="shared" si="13"/>
        <v>0</v>
      </c>
      <c r="AJ76" s="843"/>
      <c r="AK76" s="949">
        <v>0</v>
      </c>
      <c r="AL76" s="581">
        <f t="shared" si="14"/>
        <v>0</v>
      </c>
      <c r="AM76" s="750"/>
      <c r="AN76" s="743">
        <f t="shared" si="15"/>
        <v>0</v>
      </c>
    </row>
    <row r="77" spans="1:40" s="560" customFormat="1" ht="13.8" thickBot="1">
      <c r="A77" s="604" t="s">
        <v>770</v>
      </c>
      <c r="B77" s="604" t="s">
        <v>268</v>
      </c>
      <c r="C77" s="1041" t="s">
        <v>36</v>
      </c>
      <c r="D77" s="741"/>
      <c r="E77" s="1109">
        <f>10.25*6*0.2</f>
        <v>12.3</v>
      </c>
      <c r="F77" s="581"/>
      <c r="G77" s="581"/>
      <c r="H77" s="581"/>
      <c r="I77" s="949"/>
      <c r="J77" s="949"/>
      <c r="K77" s="949"/>
      <c r="L77" s="575"/>
      <c r="M77" s="581"/>
      <c r="N77" s="575"/>
      <c r="O77" s="809"/>
      <c r="P77" s="575"/>
      <c r="Q77" s="583"/>
      <c r="R77" s="583"/>
      <c r="S77" s="575"/>
      <c r="T77" s="581"/>
      <c r="U77" s="575"/>
      <c r="V77" s="575"/>
      <c r="W77" s="583"/>
      <c r="X77" s="575"/>
      <c r="Y77" s="583"/>
      <c r="Z77" s="583"/>
      <c r="AA77" s="581"/>
      <c r="AB77" s="583"/>
      <c r="AC77" s="583"/>
      <c r="AD77" s="1096">
        <v>10</v>
      </c>
      <c r="AE77" s="1096">
        <v>10</v>
      </c>
      <c r="AF77" s="1096">
        <v>10</v>
      </c>
      <c r="AG77" s="1092">
        <v>17.7</v>
      </c>
      <c r="AH77" s="842"/>
      <c r="AI77" s="1065">
        <f t="shared" si="13"/>
        <v>60</v>
      </c>
      <c r="AJ77" s="843"/>
      <c r="AK77" s="949">
        <v>0</v>
      </c>
      <c r="AL77" s="581">
        <f t="shared" si="14"/>
        <v>60</v>
      </c>
      <c r="AM77" s="750" t="s">
        <v>1594</v>
      </c>
      <c r="AN77" s="743">
        <f t="shared" si="15"/>
        <v>0</v>
      </c>
    </row>
    <row r="78" spans="1:40" s="897" customFormat="1">
      <c r="A78" s="606" t="s">
        <v>44</v>
      </c>
      <c r="B78" s="606" t="s">
        <v>1220</v>
      </c>
      <c r="C78" s="845"/>
      <c r="D78" s="741"/>
      <c r="E78" s="1011"/>
      <c r="F78" s="581"/>
      <c r="G78" s="581"/>
      <c r="H78" s="581"/>
      <c r="I78" s="949"/>
      <c r="J78" s="949"/>
      <c r="K78" s="949"/>
      <c r="L78" s="575"/>
      <c r="M78" s="581"/>
      <c r="N78" s="575"/>
      <c r="O78" s="809"/>
      <c r="P78" s="575"/>
      <c r="Q78" s="583"/>
      <c r="R78" s="583"/>
      <c r="S78" s="575"/>
      <c r="T78" s="581"/>
      <c r="U78" s="575"/>
      <c r="V78" s="575"/>
      <c r="W78" s="583"/>
      <c r="X78" s="575"/>
      <c r="Y78" s="583"/>
      <c r="Z78" s="583"/>
      <c r="AA78" s="581"/>
      <c r="AB78" s="583"/>
      <c r="AC78" s="583"/>
      <c r="AD78" s="583"/>
      <c r="AE78" s="583"/>
      <c r="AF78" s="583"/>
      <c r="AG78" s="949"/>
      <c r="AH78" s="842"/>
      <c r="AI78" s="738">
        <f t="shared" si="13"/>
        <v>0</v>
      </c>
      <c r="AJ78" s="843"/>
      <c r="AK78" s="890">
        <v>0</v>
      </c>
      <c r="AL78" s="889">
        <f t="shared" si="14"/>
        <v>0</v>
      </c>
      <c r="AM78" s="902"/>
      <c r="AN78" s="896">
        <f t="shared" si="15"/>
        <v>0</v>
      </c>
    </row>
    <row r="79" spans="1:40" s="560" customFormat="1">
      <c r="A79" s="492" t="s">
        <v>46</v>
      </c>
      <c r="B79" s="608" t="s">
        <v>1221</v>
      </c>
      <c r="C79" s="845"/>
      <c r="D79" s="741"/>
      <c r="E79" s="1011"/>
      <c r="F79" s="581"/>
      <c r="G79" s="581"/>
      <c r="H79" s="581"/>
      <c r="I79" s="949"/>
      <c r="J79" s="949"/>
      <c r="K79" s="949"/>
      <c r="L79" s="575"/>
      <c r="M79" s="581"/>
      <c r="N79" s="575"/>
      <c r="O79" s="809"/>
      <c r="P79" s="575"/>
      <c r="Q79" s="583"/>
      <c r="R79" s="583"/>
      <c r="S79" s="575"/>
      <c r="T79" s="581"/>
      <c r="U79" s="575"/>
      <c r="V79" s="575"/>
      <c r="W79" s="583"/>
      <c r="X79" s="575"/>
      <c r="Y79" s="583"/>
      <c r="Z79" s="583"/>
      <c r="AA79" s="581"/>
      <c r="AB79" s="583"/>
      <c r="AC79" s="583"/>
      <c r="AD79" s="583"/>
      <c r="AE79" s="583"/>
      <c r="AF79" s="583"/>
      <c r="AG79" s="949"/>
      <c r="AH79" s="842"/>
      <c r="AI79" s="738">
        <f t="shared" si="13"/>
        <v>0</v>
      </c>
      <c r="AJ79" s="843"/>
      <c r="AK79" s="949">
        <v>0</v>
      </c>
      <c r="AL79" s="581">
        <f t="shared" si="14"/>
        <v>0</v>
      </c>
      <c r="AM79" s="750"/>
      <c r="AN79" s="743">
        <f t="shared" si="15"/>
        <v>0</v>
      </c>
    </row>
    <row r="80" spans="1:40" s="560" customFormat="1">
      <c r="A80" s="607" t="s">
        <v>49</v>
      </c>
      <c r="B80" s="607" t="s">
        <v>1225</v>
      </c>
      <c r="C80" s="845"/>
      <c r="D80" s="741"/>
      <c r="E80" s="1011"/>
      <c r="F80" s="581"/>
      <c r="G80" s="581"/>
      <c r="H80" s="581"/>
      <c r="I80" s="949"/>
      <c r="J80" s="949"/>
      <c r="K80" s="949"/>
      <c r="L80" s="575"/>
      <c r="M80" s="581"/>
      <c r="N80" s="575"/>
      <c r="O80" s="809"/>
      <c r="P80" s="575"/>
      <c r="Q80" s="583"/>
      <c r="R80" s="583"/>
      <c r="S80" s="575"/>
      <c r="T80" s="581"/>
      <c r="U80" s="575"/>
      <c r="V80" s="575"/>
      <c r="W80" s="583"/>
      <c r="X80" s="575"/>
      <c r="Y80" s="583"/>
      <c r="Z80" s="583"/>
      <c r="AA80" s="581"/>
      <c r="AB80" s="583"/>
      <c r="AC80" s="583"/>
      <c r="AD80" s="583"/>
      <c r="AE80" s="583"/>
      <c r="AF80" s="583"/>
      <c r="AG80" s="949"/>
      <c r="AH80" s="842"/>
      <c r="AI80" s="738">
        <f t="shared" si="13"/>
        <v>0</v>
      </c>
      <c r="AJ80" s="843"/>
      <c r="AK80" s="949">
        <v>0</v>
      </c>
      <c r="AL80" s="581">
        <f t="shared" si="14"/>
        <v>0</v>
      </c>
      <c r="AM80" s="750"/>
      <c r="AN80" s="743">
        <f t="shared" si="15"/>
        <v>0</v>
      </c>
    </row>
    <row r="81" spans="1:40" s="560" customFormat="1">
      <c r="A81" s="604" t="s">
        <v>790</v>
      </c>
      <c r="B81" s="604" t="s">
        <v>1227</v>
      </c>
      <c r="C81" s="1041" t="s">
        <v>36</v>
      </c>
      <c r="D81" s="741"/>
      <c r="E81" s="1011"/>
      <c r="F81" s="581"/>
      <c r="G81" s="581"/>
      <c r="H81" s="581"/>
      <c r="J81" s="949"/>
      <c r="K81" s="949"/>
      <c r="L81" s="575"/>
      <c r="M81" s="581"/>
      <c r="N81" s="575"/>
      <c r="O81" s="809"/>
      <c r="P81" s="575"/>
      <c r="Q81" s="583"/>
      <c r="R81" s="583"/>
      <c r="S81" s="1116">
        <f>3.05*2.6+3.05*2.6+4.4*1.5+3.32*0.3+4.4*0.3+0.42*2.6+0.42*2.6+0.42*2.6+0.27*2.6+0.52*2.6</f>
        <v>30.105999999999998</v>
      </c>
      <c r="T81" s="1110">
        <f>2.43*2.6+1.55*2.6+1.3*1.2+2.2*2+0.53*2.6+0.28*2.6+0.24*2.6+7.5*0.3</f>
        <v>21.288</v>
      </c>
      <c r="U81" s="575"/>
      <c r="V81" s="575"/>
      <c r="W81" s="1096">
        <f>2.99</f>
        <v>2.99</v>
      </c>
      <c r="X81" s="575"/>
      <c r="Y81" s="583"/>
      <c r="Z81" s="583"/>
      <c r="AA81" s="581"/>
      <c r="AB81" s="583"/>
      <c r="AC81" s="583"/>
      <c r="AD81" s="583"/>
      <c r="AE81" s="583"/>
      <c r="AF81" s="583"/>
      <c r="AG81" s="949"/>
      <c r="AH81" s="842"/>
      <c r="AI81" s="1065">
        <f t="shared" si="13"/>
        <v>54.38</v>
      </c>
      <c r="AJ81" s="843"/>
      <c r="AK81" s="949">
        <v>0</v>
      </c>
      <c r="AL81" s="581">
        <f t="shared" si="14"/>
        <v>54.38</v>
      </c>
      <c r="AM81" s="750" t="s">
        <v>1608</v>
      </c>
      <c r="AN81" s="743">
        <f t="shared" si="15"/>
        <v>0</v>
      </c>
    </row>
    <row r="82" spans="1:40" s="560" customFormat="1">
      <c r="A82" s="604" t="s">
        <v>793</v>
      </c>
      <c r="B82" s="604" t="s">
        <v>1230</v>
      </c>
      <c r="C82" s="1041" t="s">
        <v>36</v>
      </c>
      <c r="D82" s="741"/>
      <c r="E82" s="1011"/>
      <c r="F82" s="581"/>
      <c r="G82" s="581"/>
      <c r="H82" s="581"/>
      <c r="J82" s="949"/>
      <c r="K82" s="949"/>
      <c r="L82" s="575"/>
      <c r="M82" s="581"/>
      <c r="N82" s="575"/>
      <c r="O82" s="809"/>
      <c r="P82" s="575"/>
      <c r="Q82" s="583"/>
      <c r="R82" s="583"/>
      <c r="S82" s="575"/>
      <c r="T82" s="581"/>
      <c r="U82" s="575"/>
      <c r="V82" s="575"/>
      <c r="W82" s="583"/>
      <c r="X82" s="575"/>
      <c r="Y82" s="583"/>
      <c r="Z82" s="583"/>
      <c r="AA82" s="581"/>
      <c r="AB82" s="583"/>
      <c r="AC82" s="583"/>
      <c r="AD82" s="1096">
        <f>20*0.62-3.53</f>
        <v>8.870000000000001</v>
      </c>
      <c r="AE82" s="583"/>
      <c r="AF82" s="583"/>
      <c r="AG82" s="949"/>
      <c r="AH82" s="842"/>
      <c r="AI82" s="1065">
        <f t="shared" si="13"/>
        <v>8.8699999999999992</v>
      </c>
      <c r="AJ82" s="843"/>
      <c r="AK82" s="949">
        <v>0</v>
      </c>
      <c r="AL82" s="581">
        <f t="shared" si="14"/>
        <v>8.8699999999999992</v>
      </c>
      <c r="AM82" s="750" t="s">
        <v>1611</v>
      </c>
      <c r="AN82" s="743">
        <f t="shared" si="15"/>
        <v>30.300000000000004</v>
      </c>
    </row>
    <row r="83" spans="1:40" s="560" customFormat="1">
      <c r="A83" s="607" t="s">
        <v>276</v>
      </c>
      <c r="B83" s="607" t="s">
        <v>1235</v>
      </c>
      <c r="C83" s="845"/>
      <c r="D83" s="741"/>
      <c r="E83" s="1011"/>
      <c r="F83" s="581"/>
      <c r="G83" s="581"/>
      <c r="H83" s="581"/>
      <c r="I83" s="949"/>
      <c r="J83" s="949"/>
      <c r="K83" s="949"/>
      <c r="L83" s="575"/>
      <c r="M83" s="581"/>
      <c r="N83" s="575"/>
      <c r="O83" s="809"/>
      <c r="P83" s="575"/>
      <c r="Q83" s="583"/>
      <c r="R83" s="583"/>
      <c r="S83" s="575"/>
      <c r="T83" s="581"/>
      <c r="U83" s="575"/>
      <c r="V83" s="575"/>
      <c r="W83" s="583"/>
      <c r="X83" s="575"/>
      <c r="Y83" s="583"/>
      <c r="Z83" s="583"/>
      <c r="AA83" s="581"/>
      <c r="AB83" s="583"/>
      <c r="AC83" s="583"/>
      <c r="AD83" s="583"/>
      <c r="AE83" s="583"/>
      <c r="AF83" s="583"/>
      <c r="AG83" s="949"/>
      <c r="AH83" s="842"/>
      <c r="AI83" s="738">
        <f t="shared" si="13"/>
        <v>0</v>
      </c>
      <c r="AJ83" s="843"/>
      <c r="AK83" s="949">
        <v>0</v>
      </c>
      <c r="AL83" s="581">
        <f t="shared" si="14"/>
        <v>0</v>
      </c>
      <c r="AM83" s="750"/>
      <c r="AN83" s="743">
        <f t="shared" si="15"/>
        <v>0</v>
      </c>
    </row>
    <row r="84" spans="1:40" s="560" customFormat="1">
      <c r="A84" s="604" t="s">
        <v>797</v>
      </c>
      <c r="B84" s="604" t="s">
        <v>1236</v>
      </c>
      <c r="C84" s="1041" t="s">
        <v>36</v>
      </c>
      <c r="D84" s="741"/>
      <c r="E84" s="1011"/>
      <c r="F84" s="581"/>
      <c r="G84" s="581"/>
      <c r="H84" s="581"/>
      <c r="I84" s="949"/>
      <c r="J84" s="949"/>
      <c r="K84" s="949"/>
      <c r="L84" s="575"/>
      <c r="M84" s="581"/>
      <c r="N84" s="575"/>
      <c r="O84" s="809"/>
      <c r="P84" s="575"/>
      <c r="Q84" s="583"/>
      <c r="R84" s="583"/>
      <c r="S84" s="575"/>
      <c r="T84" s="581"/>
      <c r="U84" s="575"/>
      <c r="V84" s="575"/>
      <c r="W84" s="583"/>
      <c r="X84" s="575"/>
      <c r="Y84" s="583"/>
      <c r="Z84" s="583"/>
      <c r="AA84" s="581"/>
      <c r="AB84" s="583"/>
      <c r="AC84" s="583"/>
      <c r="AD84" s="583"/>
      <c r="AE84" s="583"/>
      <c r="AF84" s="583"/>
      <c r="AG84" s="1092">
        <v>72.22</v>
      </c>
      <c r="AH84" s="842"/>
      <c r="AI84" s="1065">
        <f t="shared" si="13"/>
        <v>72.22</v>
      </c>
      <c r="AJ84" s="843"/>
      <c r="AK84" s="949">
        <v>0</v>
      </c>
      <c r="AL84" s="581">
        <f t="shared" si="14"/>
        <v>72.22</v>
      </c>
      <c r="AM84" s="750" t="s">
        <v>1615</v>
      </c>
      <c r="AN84" s="743">
        <f t="shared" si="15"/>
        <v>0</v>
      </c>
    </row>
    <row r="85" spans="1:40" s="560" customFormat="1">
      <c r="A85" s="492" t="s">
        <v>461</v>
      </c>
      <c r="B85" s="608" t="s">
        <v>1270</v>
      </c>
      <c r="C85" s="845"/>
      <c r="D85" s="741"/>
      <c r="E85" s="1011"/>
      <c r="F85" s="581"/>
      <c r="G85" s="581"/>
      <c r="H85" s="581"/>
      <c r="I85" s="949"/>
      <c r="J85" s="949"/>
      <c r="K85" s="949"/>
      <c r="L85" s="575"/>
      <c r="M85" s="581"/>
      <c r="N85" s="575"/>
      <c r="O85" s="809"/>
      <c r="P85" s="575"/>
      <c r="Q85" s="583"/>
      <c r="R85" s="583"/>
      <c r="S85" s="575"/>
      <c r="T85" s="581"/>
      <c r="U85" s="575"/>
      <c r="V85" s="575"/>
      <c r="W85" s="583"/>
      <c r="X85" s="575"/>
      <c r="Y85" s="583"/>
      <c r="Z85" s="583"/>
      <c r="AA85" s="581"/>
      <c r="AB85" s="583"/>
      <c r="AC85" s="583"/>
      <c r="AD85" s="583"/>
      <c r="AE85" s="583"/>
      <c r="AF85" s="583"/>
      <c r="AG85" s="949"/>
      <c r="AH85" s="842"/>
      <c r="AI85" s="738">
        <f t="shared" ref="AI85:AI96" si="16">ROUND((SUM(E85:AH85)),2)</f>
        <v>0</v>
      </c>
      <c r="AJ85" s="843"/>
      <c r="AK85" s="949">
        <v>0</v>
      </c>
      <c r="AL85" s="581">
        <f t="shared" ref="AL85:AL98" si="17">AI85+AK85</f>
        <v>0</v>
      </c>
      <c r="AM85" s="750"/>
      <c r="AN85" s="743">
        <f t="shared" ref="AN85:AN98" si="18">AM85-AL85</f>
        <v>0</v>
      </c>
    </row>
    <row r="86" spans="1:40" s="560" customFormat="1">
      <c r="A86" s="607" t="s">
        <v>462</v>
      </c>
      <c r="B86" s="607" t="s">
        <v>1222</v>
      </c>
      <c r="C86" s="845"/>
      <c r="D86" s="741"/>
      <c r="E86" s="1011"/>
      <c r="F86" s="581"/>
      <c r="G86" s="581"/>
      <c r="H86" s="581"/>
      <c r="I86" s="949"/>
      <c r="J86" s="949"/>
      <c r="K86" s="949"/>
      <c r="L86" s="575"/>
      <c r="M86" s="581"/>
      <c r="N86" s="575"/>
      <c r="O86" s="809"/>
      <c r="P86" s="575"/>
      <c r="Q86" s="583"/>
      <c r="R86" s="583"/>
      <c r="S86" s="575"/>
      <c r="T86" s="581"/>
      <c r="U86" s="575"/>
      <c r="V86" s="575"/>
      <c r="W86" s="583"/>
      <c r="X86" s="575"/>
      <c r="Y86" s="583"/>
      <c r="Z86" s="583"/>
      <c r="AA86" s="581"/>
      <c r="AB86" s="583"/>
      <c r="AC86" s="583"/>
      <c r="AD86" s="583"/>
      <c r="AE86" s="583"/>
      <c r="AF86" s="583"/>
      <c r="AG86" s="949"/>
      <c r="AH86" s="842"/>
      <c r="AI86" s="738">
        <f t="shared" si="16"/>
        <v>0</v>
      </c>
      <c r="AJ86" s="843"/>
      <c r="AK86" s="949">
        <v>0</v>
      </c>
      <c r="AL86" s="581">
        <f t="shared" si="17"/>
        <v>0</v>
      </c>
      <c r="AM86" s="750"/>
      <c r="AN86" s="743">
        <f t="shared" si="18"/>
        <v>0</v>
      </c>
    </row>
    <row r="87" spans="1:40" s="560" customFormat="1">
      <c r="A87" s="604" t="s">
        <v>829</v>
      </c>
      <c r="B87" s="604" t="s">
        <v>1224</v>
      </c>
      <c r="C87" s="1041" t="s">
        <v>36</v>
      </c>
      <c r="D87" s="741"/>
      <c r="E87" s="1011"/>
      <c r="F87" s="581"/>
      <c r="G87" s="581"/>
      <c r="H87" s="581"/>
      <c r="I87" s="949"/>
      <c r="J87" s="949"/>
      <c r="K87" s="949"/>
      <c r="L87" s="575"/>
      <c r="M87" s="581"/>
      <c r="N87" s="575"/>
      <c r="O87" s="809"/>
      <c r="P87" s="575"/>
      <c r="Q87" s="583"/>
      <c r="R87" s="583"/>
      <c r="S87" s="575"/>
      <c r="T87" s="581"/>
      <c r="U87" s="575"/>
      <c r="V87" s="575"/>
      <c r="W87" s="583"/>
      <c r="X87" s="575"/>
      <c r="Y87" s="583"/>
      <c r="Z87" s="583"/>
      <c r="AA87" s="581"/>
      <c r="AB87" s="583"/>
      <c r="AC87" s="583"/>
      <c r="AD87" s="583"/>
      <c r="AE87" s="1096">
        <f>1.85*1.2+1.85*1.2</f>
        <v>4.4400000000000004</v>
      </c>
      <c r="AF87" s="583"/>
      <c r="AG87" s="949"/>
      <c r="AH87" s="842"/>
      <c r="AI87" s="1065">
        <f t="shared" si="16"/>
        <v>4.4400000000000004</v>
      </c>
      <c r="AJ87" s="843"/>
      <c r="AK87" s="949">
        <v>0</v>
      </c>
      <c r="AL87" s="581">
        <f t="shared" si="17"/>
        <v>4.4400000000000004</v>
      </c>
      <c r="AM87" s="750" t="s">
        <v>1633</v>
      </c>
      <c r="AN87" s="743">
        <f t="shared" si="18"/>
        <v>2</v>
      </c>
    </row>
    <row r="88" spans="1:40" s="560" customFormat="1">
      <c r="A88" s="607" t="s">
        <v>463</v>
      </c>
      <c r="B88" s="607" t="s">
        <v>1225</v>
      </c>
      <c r="C88" s="845"/>
      <c r="D88" s="741"/>
      <c r="E88" s="1011"/>
      <c r="F88" s="581"/>
      <c r="G88" s="581"/>
      <c r="H88" s="581"/>
      <c r="I88" s="949"/>
      <c r="J88" s="949"/>
      <c r="K88" s="949"/>
      <c r="L88" s="575"/>
      <c r="M88" s="581"/>
      <c r="N88" s="575"/>
      <c r="O88" s="809"/>
      <c r="P88" s="575"/>
      <c r="Q88" s="583"/>
      <c r="R88" s="583"/>
      <c r="S88" s="575"/>
      <c r="T88" s="581"/>
      <c r="U88" s="575"/>
      <c r="V88" s="575"/>
      <c r="W88" s="583"/>
      <c r="X88" s="575"/>
      <c r="Y88" s="583"/>
      <c r="Z88" s="583"/>
      <c r="AA88" s="581"/>
      <c r="AB88" s="583"/>
      <c r="AC88" s="583"/>
      <c r="AD88" s="583"/>
      <c r="AE88" s="583"/>
      <c r="AF88" s="583"/>
      <c r="AG88" s="949"/>
      <c r="AH88" s="842"/>
      <c r="AI88" s="738">
        <f t="shared" si="16"/>
        <v>0</v>
      </c>
      <c r="AJ88" s="843"/>
      <c r="AK88" s="949">
        <v>0</v>
      </c>
      <c r="AL88" s="581">
        <f t="shared" si="17"/>
        <v>0</v>
      </c>
      <c r="AM88" s="750"/>
      <c r="AN88" s="743">
        <f t="shared" si="18"/>
        <v>0</v>
      </c>
    </row>
    <row r="89" spans="1:40" s="560" customFormat="1">
      <c r="A89" s="604" t="s">
        <v>830</v>
      </c>
      <c r="B89" s="604" t="s">
        <v>1226</v>
      </c>
      <c r="C89" s="1041" t="s">
        <v>36</v>
      </c>
      <c r="D89" s="741"/>
      <c r="E89" s="1011"/>
      <c r="F89" s="581"/>
      <c r="G89" s="581"/>
      <c r="H89" s="581"/>
      <c r="I89" s="1092">
        <f>2.6*2.2</f>
        <v>5.7200000000000006</v>
      </c>
      <c r="J89" s="1092">
        <f>2.35*2.6+1.7*2.6</f>
        <v>10.530000000000001</v>
      </c>
      <c r="K89" s="1092">
        <f>2.17*1.95</f>
        <v>4.2314999999999996</v>
      </c>
      <c r="L89" s="575"/>
      <c r="M89" s="581"/>
      <c r="N89" s="583"/>
      <c r="O89" s="797"/>
      <c r="P89" s="575"/>
      <c r="Q89" s="583"/>
      <c r="R89" s="583"/>
      <c r="S89" s="575"/>
      <c r="T89" s="581"/>
      <c r="U89" s="575"/>
      <c r="V89" s="575"/>
      <c r="W89" s="583"/>
      <c r="Y89" s="583"/>
      <c r="Z89" s="583"/>
      <c r="AA89" s="581"/>
      <c r="AB89" s="583"/>
      <c r="AC89" s="583"/>
      <c r="AD89" s="1096">
        <v>1.24</v>
      </c>
      <c r="AE89" s="583"/>
      <c r="AF89" s="583"/>
      <c r="AG89" s="949"/>
      <c r="AH89" s="842"/>
      <c r="AI89" s="1065">
        <f t="shared" si="16"/>
        <v>21.72</v>
      </c>
      <c r="AJ89" s="843"/>
      <c r="AK89" s="949">
        <v>0</v>
      </c>
      <c r="AL89" s="581">
        <f t="shared" si="17"/>
        <v>21.72</v>
      </c>
      <c r="AM89" s="750" t="s">
        <v>1634</v>
      </c>
      <c r="AN89" s="743">
        <f t="shared" si="18"/>
        <v>78.27</v>
      </c>
    </row>
    <row r="90" spans="1:40" s="560" customFormat="1">
      <c r="A90" s="604" t="s">
        <v>831</v>
      </c>
      <c r="B90" s="604" t="s">
        <v>1227</v>
      </c>
      <c r="C90" s="1041" t="s">
        <v>36</v>
      </c>
      <c r="D90" s="741"/>
      <c r="E90" s="1011"/>
      <c r="F90" s="581"/>
      <c r="G90" s="581"/>
      <c r="I90" s="949"/>
      <c r="J90" s="1092">
        <f>3.1*0.2+4.95*0.2+2.6*0.3+2.6*0.25+2.6*0.26+2.6*0.26+1.55*2.6+1.4*2.2+1.42*2.2-4.52333</f>
        <v>10.102670000000002</v>
      </c>
      <c r="K90" s="1092">
        <f>2.25*2.6+2.3*2.36+2.1*2.1+0.44*2.6+0.44*2.6+0.28*2.6+0.28*2.6+3.12*0.2+5*0.2-4.52333333</f>
        <v>16.532666670000001</v>
      </c>
      <c r="L90" s="1096">
        <f>0.75*1.4*2.55*1.2+0.75*1.4+2.57*1.2+0.75*1.4+2.55*1.2+3.1*0.2+3.12*0.2+3.1*0.2+0.25*2.6+0.28*2.6+0.26*2.6+0.27*2.6+0.26*2.6+0.28*2.6-4.52333</f>
        <v>12.957669999999998</v>
      </c>
      <c r="M90" s="1110">
        <f>2.16*2.6+0.75*1.4+1.22*2.6+0.26*2.6+0.25*2.6+0.27*2.6+0.2*2.45+0.2*3.13-4.52333</f>
        <v>8.4586700000000015</v>
      </c>
      <c r="N90" s="1096">
        <f>3.15*0.2+2.5*0.2+2.3*2.6+0.7*1.4+2.5*1.2+0.45*2.6+0.46*2.6+0.27*2.6+0.28*2.6-4.5233</f>
        <v>10.3627</v>
      </c>
      <c r="O90" s="809"/>
      <c r="P90" s="1096">
        <f>0.75*1.4+2.58*1.2+3.12*0.2+0.27*2.6+0.27*2.6-4.5233</f>
        <v>1.6506999999999996</v>
      </c>
      <c r="Q90" s="583"/>
      <c r="R90" s="583"/>
      <c r="S90" s="575"/>
      <c r="T90" s="581"/>
      <c r="U90" s="575"/>
      <c r="V90" s="575"/>
      <c r="W90" s="583"/>
      <c r="X90" s="575"/>
      <c r="Y90" s="583"/>
      <c r="Z90" s="583"/>
      <c r="AA90" s="581"/>
      <c r="AB90" s="583"/>
      <c r="AC90" s="583"/>
      <c r="AD90" s="583"/>
      <c r="AE90" s="583"/>
      <c r="AF90" s="583"/>
      <c r="AG90" s="949"/>
      <c r="AH90" s="842"/>
      <c r="AI90" s="1065">
        <f t="shared" si="16"/>
        <v>60.07</v>
      </c>
      <c r="AJ90" s="843"/>
      <c r="AK90" s="949">
        <v>0</v>
      </c>
      <c r="AL90" s="581">
        <f t="shared" si="17"/>
        <v>60.07</v>
      </c>
      <c r="AM90" s="750" t="s">
        <v>1635</v>
      </c>
      <c r="AN90" s="743">
        <f t="shared" si="18"/>
        <v>0</v>
      </c>
    </row>
    <row r="91" spans="1:40" s="560" customFormat="1">
      <c r="A91" s="604" t="s">
        <v>832</v>
      </c>
      <c r="B91" s="604" t="s">
        <v>1228</v>
      </c>
      <c r="C91" s="1041" t="s">
        <v>36</v>
      </c>
      <c r="D91" s="741"/>
      <c r="E91" s="1011"/>
      <c r="F91" s="581"/>
      <c r="G91" s="581"/>
      <c r="H91" s="581"/>
      <c r="I91" s="1092">
        <v>2.96</v>
      </c>
      <c r="J91" s="1092">
        <v>2</v>
      </c>
      <c r="K91" s="1092">
        <f>2.6*0.28</f>
        <v>0.72800000000000009</v>
      </c>
      <c r="L91" s="583"/>
      <c r="M91" s="581"/>
      <c r="N91" s="575"/>
      <c r="O91" s="809"/>
      <c r="P91" s="583"/>
      <c r="Q91" s="583"/>
      <c r="R91" s="583"/>
      <c r="S91" s="575"/>
      <c r="T91" s="581"/>
      <c r="U91" s="575"/>
      <c r="V91" s="583"/>
      <c r="W91" s="583"/>
      <c r="X91" s="575"/>
      <c r="Y91" s="583"/>
      <c r="Z91" s="583"/>
      <c r="AA91" s="581"/>
      <c r="AB91" s="583"/>
      <c r="AC91" s="583"/>
      <c r="AD91" s="583"/>
      <c r="AE91" s="583"/>
      <c r="AF91" s="583"/>
      <c r="AG91" s="949"/>
      <c r="AH91" s="842"/>
      <c r="AI91" s="1065">
        <f t="shared" si="16"/>
        <v>5.69</v>
      </c>
      <c r="AJ91" s="843"/>
      <c r="AK91" s="949">
        <v>0</v>
      </c>
      <c r="AL91" s="581">
        <f t="shared" si="17"/>
        <v>5.69</v>
      </c>
      <c r="AM91" s="750" t="s">
        <v>1636</v>
      </c>
      <c r="AN91" s="743">
        <f t="shared" si="18"/>
        <v>27.91</v>
      </c>
    </row>
    <row r="92" spans="1:40" s="560" customFormat="1">
      <c r="A92" s="604" t="s">
        <v>833</v>
      </c>
      <c r="B92" s="604" t="s">
        <v>1229</v>
      </c>
      <c r="C92" s="1041" t="s">
        <v>36</v>
      </c>
      <c r="D92" s="741"/>
      <c r="E92" s="1011"/>
      <c r="F92" s="581"/>
      <c r="G92" s="581"/>
      <c r="H92" s="581"/>
      <c r="I92" s="1092">
        <f>0.2*2.2</f>
        <v>0.44000000000000006</v>
      </c>
      <c r="J92" s="1092">
        <f>2.6*0.2+2.6*0.2</f>
        <v>1.04</v>
      </c>
      <c r="K92" s="1092">
        <f>2.17*0.2-0.27</f>
        <v>0.16399999999999998</v>
      </c>
      <c r="L92" s="575"/>
      <c r="M92" s="581"/>
      <c r="N92" s="575"/>
      <c r="O92" s="809"/>
      <c r="P92" s="575"/>
      <c r="Q92" s="583"/>
      <c r="R92" s="583"/>
      <c r="S92" s="575"/>
      <c r="T92" s="581"/>
      <c r="U92" s="575"/>
      <c r="V92" s="583"/>
      <c r="W92" s="583"/>
      <c r="X92" s="575"/>
      <c r="Y92" s="583"/>
      <c r="Z92" s="583"/>
      <c r="AA92" s="581"/>
      <c r="AB92" s="583"/>
      <c r="AC92" s="583"/>
      <c r="AD92" s="583"/>
      <c r="AE92" s="583"/>
      <c r="AF92" s="583"/>
      <c r="AG92" s="949"/>
      <c r="AH92" s="842"/>
      <c r="AI92" s="1065">
        <f t="shared" si="16"/>
        <v>1.64</v>
      </c>
      <c r="AJ92" s="843"/>
      <c r="AK92" s="949">
        <v>0</v>
      </c>
      <c r="AL92" s="581">
        <f t="shared" si="17"/>
        <v>1.64</v>
      </c>
      <c r="AM92" s="750" t="s">
        <v>1637</v>
      </c>
      <c r="AN92" s="743">
        <f t="shared" si="18"/>
        <v>25.78</v>
      </c>
    </row>
    <row r="93" spans="1:40" s="560" customFormat="1">
      <c r="A93" s="604" t="s">
        <v>834</v>
      </c>
      <c r="B93" s="604" t="s">
        <v>1230</v>
      </c>
      <c r="C93" s="1041" t="s">
        <v>36</v>
      </c>
      <c r="D93" s="741"/>
      <c r="E93" s="1011"/>
      <c r="F93" s="581"/>
      <c r="G93" s="581"/>
      <c r="H93" s="581"/>
      <c r="I93" s="949"/>
      <c r="J93" s="949"/>
      <c r="K93" s="949"/>
      <c r="L93" s="575"/>
      <c r="M93" s="581"/>
      <c r="N93" s="575"/>
      <c r="O93" s="809"/>
      <c r="P93" s="575"/>
      <c r="Q93" s="583"/>
      <c r="R93" s="583"/>
      <c r="S93" s="575"/>
      <c r="T93" s="581"/>
      <c r="U93" s="575"/>
      <c r="V93" s="575"/>
      <c r="W93" s="583"/>
      <c r="X93" s="575"/>
      <c r="Y93" s="583"/>
      <c r="Z93" s="583"/>
      <c r="AA93" s="581"/>
      <c r="AB93" s="583"/>
      <c r="AC93" s="583"/>
      <c r="AD93" s="1096">
        <f>17*0.62</f>
        <v>10.54</v>
      </c>
      <c r="AE93" s="1096">
        <f>9.95*0.62+24.09</f>
        <v>30.259</v>
      </c>
      <c r="AF93" s="1096">
        <f>12*0.62</f>
        <v>7.4399999999999995</v>
      </c>
      <c r="AG93" s="949"/>
      <c r="AH93" s="842"/>
      <c r="AI93" s="1065">
        <f t="shared" si="16"/>
        <v>48.24</v>
      </c>
      <c r="AJ93" s="843"/>
      <c r="AK93" s="949">
        <v>0</v>
      </c>
      <c r="AL93" s="581">
        <f t="shared" si="17"/>
        <v>48.24</v>
      </c>
      <c r="AM93" s="750" t="s">
        <v>1638</v>
      </c>
      <c r="AN93" s="743">
        <f t="shared" si="18"/>
        <v>31.219999999999992</v>
      </c>
    </row>
    <row r="94" spans="1:40" s="560" customFormat="1">
      <c r="A94" s="604" t="s">
        <v>836</v>
      </c>
      <c r="B94" s="604" t="s">
        <v>1232</v>
      </c>
      <c r="C94" s="1041" t="s">
        <v>37</v>
      </c>
      <c r="D94" s="741"/>
      <c r="E94" s="1011"/>
      <c r="F94" s="581"/>
      <c r="G94" s="581"/>
      <c r="H94" s="581"/>
      <c r="I94" s="949"/>
      <c r="J94" s="949"/>
      <c r="K94" s="949"/>
      <c r="L94" s="575"/>
      <c r="M94" s="581"/>
      <c r="N94" s="1096">
        <v>18.2</v>
      </c>
      <c r="O94" s="797"/>
      <c r="P94" s="583"/>
      <c r="Q94" s="583"/>
      <c r="R94" s="583"/>
      <c r="S94" s="575"/>
      <c r="T94" s="581"/>
      <c r="U94" s="575"/>
      <c r="V94" s="575"/>
      <c r="W94" s="583"/>
      <c r="X94" s="575"/>
      <c r="Y94" s="583"/>
      <c r="Z94" s="583"/>
      <c r="AA94" s="581"/>
      <c r="AB94" s="583"/>
      <c r="AC94" s="583"/>
      <c r="AD94" s="583"/>
      <c r="AE94" s="583"/>
      <c r="AF94" s="583"/>
      <c r="AG94" s="949"/>
      <c r="AH94" s="842"/>
      <c r="AI94" s="1065">
        <f t="shared" si="16"/>
        <v>18.2</v>
      </c>
      <c r="AJ94" s="843"/>
      <c r="AK94" s="949">
        <v>0</v>
      </c>
      <c r="AL94" s="581">
        <f t="shared" si="17"/>
        <v>18.2</v>
      </c>
      <c r="AM94" s="750" t="s">
        <v>1640</v>
      </c>
      <c r="AN94" s="743">
        <f t="shared" si="18"/>
        <v>227.32000000000002</v>
      </c>
    </row>
    <row r="95" spans="1:40" s="560" customFormat="1">
      <c r="A95" s="607" t="s">
        <v>465</v>
      </c>
      <c r="B95" s="607" t="s">
        <v>1235</v>
      </c>
      <c r="C95" s="845"/>
      <c r="D95" s="741"/>
      <c r="E95" s="1011"/>
      <c r="F95" s="581"/>
      <c r="G95" s="1073"/>
      <c r="H95" s="581"/>
      <c r="I95" s="949"/>
      <c r="J95" s="949"/>
      <c r="K95" s="949"/>
      <c r="L95" s="575"/>
      <c r="M95" s="581"/>
      <c r="N95" s="575"/>
      <c r="O95" s="809"/>
      <c r="P95" s="575"/>
      <c r="Q95" s="583"/>
      <c r="R95" s="583"/>
      <c r="S95" s="575"/>
      <c r="T95" s="581"/>
      <c r="U95" s="575"/>
      <c r="V95" s="575"/>
      <c r="W95" s="583"/>
      <c r="X95" s="575"/>
      <c r="Y95" s="583"/>
      <c r="Z95" s="583"/>
      <c r="AA95" s="581"/>
      <c r="AB95" s="583"/>
      <c r="AC95" s="583"/>
      <c r="AD95" s="583"/>
      <c r="AE95" s="583"/>
      <c r="AF95" s="583"/>
      <c r="AG95" s="949"/>
      <c r="AH95" s="842"/>
      <c r="AI95" s="738">
        <f t="shared" si="16"/>
        <v>0</v>
      </c>
      <c r="AJ95" s="843"/>
      <c r="AK95" s="949">
        <v>0</v>
      </c>
      <c r="AL95" s="581">
        <f t="shared" si="17"/>
        <v>0</v>
      </c>
      <c r="AM95" s="750"/>
      <c r="AN95" s="743">
        <f t="shared" si="18"/>
        <v>0</v>
      </c>
    </row>
    <row r="96" spans="1:40" s="560" customFormat="1">
      <c r="A96" s="604" t="s">
        <v>838</v>
      </c>
      <c r="B96" s="604" t="s">
        <v>1236</v>
      </c>
      <c r="C96" s="1041" t="s">
        <v>36</v>
      </c>
      <c r="D96" s="741"/>
      <c r="E96" s="1011"/>
      <c r="F96" s="581"/>
      <c r="G96" s="581"/>
      <c r="H96" s="581"/>
      <c r="I96" s="949"/>
      <c r="J96" s="949"/>
      <c r="K96" s="949"/>
      <c r="L96" s="575"/>
      <c r="M96" s="581"/>
      <c r="N96" s="575"/>
      <c r="O96" s="809"/>
      <c r="P96" s="575"/>
      <c r="Q96" s="583"/>
      <c r="R96" s="583"/>
      <c r="S96" s="575"/>
      <c r="T96" s="581"/>
      <c r="U96" s="575"/>
      <c r="V96" s="575"/>
      <c r="W96" s="583"/>
      <c r="X96" s="575"/>
      <c r="Y96" s="583"/>
      <c r="Z96" s="583"/>
      <c r="AA96" s="581"/>
      <c r="AB96" s="583"/>
      <c r="AC96" s="583"/>
      <c r="AD96" s="583"/>
      <c r="AE96" s="583"/>
      <c r="AF96" s="1096">
        <v>57.88</v>
      </c>
      <c r="AG96" s="949"/>
      <c r="AH96" s="842"/>
      <c r="AI96" s="1065">
        <f t="shared" si="16"/>
        <v>57.88</v>
      </c>
      <c r="AJ96" s="843"/>
      <c r="AK96" s="949">
        <v>0</v>
      </c>
      <c r="AL96" s="581">
        <f t="shared" si="17"/>
        <v>57.88</v>
      </c>
      <c r="AM96" s="750" t="s">
        <v>1642</v>
      </c>
      <c r="AN96" s="743">
        <f t="shared" si="18"/>
        <v>0</v>
      </c>
    </row>
    <row r="97" spans="1:40" s="560" customFormat="1">
      <c r="A97" s="492" t="s">
        <v>470</v>
      </c>
      <c r="B97" s="608" t="s">
        <v>1141</v>
      </c>
      <c r="C97" s="845"/>
      <c r="D97" s="741"/>
      <c r="E97" s="1011"/>
      <c r="F97" s="581"/>
      <c r="G97" s="581"/>
      <c r="H97" s="581"/>
      <c r="I97" s="949"/>
      <c r="J97" s="949"/>
      <c r="K97" s="949"/>
      <c r="L97" s="575"/>
      <c r="M97" s="581"/>
      <c r="N97" s="575"/>
      <c r="O97" s="809"/>
      <c r="P97" s="575"/>
      <c r="Q97" s="583"/>
      <c r="R97" s="583"/>
      <c r="S97" s="575"/>
      <c r="T97" s="581"/>
      <c r="U97" s="575"/>
      <c r="V97" s="575"/>
      <c r="W97" s="583"/>
      <c r="X97" s="575"/>
      <c r="Y97" s="583"/>
      <c r="Z97" s="583"/>
      <c r="AA97" s="581"/>
      <c r="AB97" s="583"/>
      <c r="AC97" s="583"/>
      <c r="AD97" s="583"/>
      <c r="AE97" s="583"/>
      <c r="AF97" s="583"/>
      <c r="AG97" s="949"/>
      <c r="AH97" s="842"/>
      <c r="AI97" s="738">
        <f t="shared" ref="AI97:AI110" si="19">ROUND((SUM(E97:AH97)),2)</f>
        <v>0</v>
      </c>
      <c r="AJ97" s="843"/>
      <c r="AK97" s="949">
        <v>0</v>
      </c>
      <c r="AL97" s="581">
        <f t="shared" si="17"/>
        <v>0</v>
      </c>
      <c r="AM97" s="750"/>
      <c r="AN97" s="743">
        <f t="shared" si="18"/>
        <v>0</v>
      </c>
    </row>
    <row r="98" spans="1:40" s="560" customFormat="1">
      <c r="A98" s="607" t="s">
        <v>471</v>
      </c>
      <c r="B98" s="607" t="s">
        <v>1222</v>
      </c>
      <c r="C98" s="845"/>
      <c r="D98" s="741"/>
      <c r="E98" s="1011"/>
      <c r="F98" s="581"/>
      <c r="G98" s="581"/>
      <c r="H98" s="581"/>
      <c r="I98" s="949"/>
      <c r="J98" s="949"/>
      <c r="K98" s="949"/>
      <c r="L98" s="575"/>
      <c r="M98" s="581"/>
      <c r="N98" s="575"/>
      <c r="O98" s="809"/>
      <c r="P98" s="575"/>
      <c r="Q98" s="583"/>
      <c r="R98" s="583"/>
      <c r="S98" s="575"/>
      <c r="T98" s="581"/>
      <c r="U98" s="575"/>
      <c r="V98" s="575"/>
      <c r="W98" s="583"/>
      <c r="X98" s="575"/>
      <c r="Y98" s="583"/>
      <c r="Z98" s="583"/>
      <c r="AA98" s="581"/>
      <c r="AB98" s="583"/>
      <c r="AC98" s="583"/>
      <c r="AD98" s="583"/>
      <c r="AE98" s="583"/>
      <c r="AF98" s="583"/>
      <c r="AG98" s="949"/>
      <c r="AH98" s="842"/>
      <c r="AI98" s="738">
        <f t="shared" si="19"/>
        <v>0</v>
      </c>
      <c r="AJ98" s="843"/>
      <c r="AK98" s="949">
        <v>0</v>
      </c>
      <c r="AL98" s="581">
        <f t="shared" si="17"/>
        <v>0</v>
      </c>
      <c r="AM98" s="750"/>
      <c r="AN98" s="743">
        <f t="shared" si="18"/>
        <v>0</v>
      </c>
    </row>
    <row r="99" spans="1:40" s="560" customFormat="1">
      <c r="A99" s="604" t="s">
        <v>874</v>
      </c>
      <c r="B99" s="604" t="s">
        <v>1224</v>
      </c>
      <c r="C99" s="1041" t="s">
        <v>36</v>
      </c>
      <c r="D99" s="741"/>
      <c r="E99" s="1011"/>
      <c r="F99" s="1035">
        <f>2.45*1.85+1.85*0.85</f>
        <v>6.1050000000000004</v>
      </c>
      <c r="G99" s="1035">
        <f>2.2*2.12+1.3*1.45+1.45*0.95</f>
        <v>7.9265000000000008</v>
      </c>
      <c r="H99" s="581"/>
      <c r="I99" s="1092">
        <f>0.65*9.5*0.65*1.3-0.33</f>
        <v>4.8878750000000002</v>
      </c>
      <c r="J99" s="949"/>
      <c r="K99" s="949"/>
      <c r="L99" s="575"/>
      <c r="M99" s="581"/>
      <c r="N99" s="575"/>
      <c r="O99" s="809"/>
      <c r="P99" s="575"/>
      <c r="Q99" s="583"/>
      <c r="R99" s="583"/>
      <c r="S99" s="575"/>
      <c r="T99" s="581"/>
      <c r="U99" s="575"/>
      <c r="V99" s="575"/>
      <c r="W99" s="583"/>
      <c r="X99" s="575"/>
      <c r="Y99" s="583"/>
      <c r="Z99" s="583"/>
      <c r="AA99" s="581"/>
      <c r="AB99" s="583"/>
      <c r="AC99" s="583"/>
      <c r="AD99" s="583"/>
      <c r="AE99" s="583"/>
      <c r="AF99" s="583"/>
      <c r="AG99" s="949"/>
      <c r="AH99" s="842"/>
      <c r="AI99" s="1065">
        <f t="shared" si="19"/>
        <v>18.920000000000002</v>
      </c>
      <c r="AJ99" s="843"/>
      <c r="AK99" s="949">
        <v>0</v>
      </c>
      <c r="AL99" s="581">
        <f t="shared" ref="AL99:AL122" si="20">AI99+AK99</f>
        <v>18.920000000000002</v>
      </c>
      <c r="AM99" s="750" t="s">
        <v>1664</v>
      </c>
      <c r="AN99" s="743">
        <f t="shared" ref="AN99:AN122" si="21">AM99-AL99</f>
        <v>0</v>
      </c>
    </row>
    <row r="100" spans="1:40" s="560" customFormat="1">
      <c r="A100" s="607" t="s">
        <v>472</v>
      </c>
      <c r="B100" s="607" t="s">
        <v>1225</v>
      </c>
      <c r="C100" s="845"/>
      <c r="D100" s="741"/>
      <c r="E100" s="1011"/>
      <c r="F100" s="581"/>
      <c r="G100" s="581"/>
      <c r="H100" s="581"/>
      <c r="I100" s="949"/>
      <c r="J100" s="949"/>
      <c r="K100" s="949"/>
      <c r="L100" s="575"/>
      <c r="M100" s="581"/>
      <c r="N100" s="575"/>
      <c r="O100" s="809"/>
      <c r="P100" s="575"/>
      <c r="Q100" s="583"/>
      <c r="R100" s="583"/>
      <c r="S100" s="575"/>
      <c r="T100" s="581"/>
      <c r="U100" s="575"/>
      <c r="V100" s="575"/>
      <c r="W100" s="583"/>
      <c r="X100" s="575"/>
      <c r="Y100" s="583"/>
      <c r="Z100" s="583"/>
      <c r="AA100" s="581"/>
      <c r="AB100" s="583"/>
      <c r="AC100" s="583"/>
      <c r="AD100" s="583"/>
      <c r="AE100" s="583"/>
      <c r="AF100" s="583"/>
      <c r="AG100" s="949"/>
      <c r="AH100" s="842"/>
      <c r="AI100" s="738">
        <f t="shared" si="19"/>
        <v>0</v>
      </c>
      <c r="AJ100" s="843"/>
      <c r="AK100" s="949">
        <v>0</v>
      </c>
      <c r="AL100" s="581">
        <f t="shared" si="20"/>
        <v>0</v>
      </c>
      <c r="AM100" s="750"/>
      <c r="AN100" s="743">
        <f t="shared" si="21"/>
        <v>0</v>
      </c>
    </row>
    <row r="101" spans="1:40" s="560" customFormat="1">
      <c r="A101" s="604" t="s">
        <v>875</v>
      </c>
      <c r="B101" s="604" t="s">
        <v>1226</v>
      </c>
      <c r="C101" s="1041" t="s">
        <v>36</v>
      </c>
      <c r="D101" s="741"/>
      <c r="E101" s="1011"/>
      <c r="F101" s="1035">
        <f>4.7*2.9</f>
        <v>13.63</v>
      </c>
      <c r="G101" s="1035">
        <f>3.6*4.65</f>
        <v>16.740000000000002</v>
      </c>
      <c r="H101" s="581"/>
      <c r="I101" s="1034">
        <f>2.68*1.2+2.6*2.7+2.6*2.7</f>
        <v>17.256</v>
      </c>
      <c r="J101" s="949"/>
      <c r="K101" s="949"/>
      <c r="L101" s="575"/>
      <c r="M101" s="581"/>
      <c r="N101" s="575"/>
      <c r="O101" s="809"/>
      <c r="P101" s="575"/>
      <c r="Q101" s="583"/>
      <c r="R101" s="583"/>
      <c r="S101" s="575"/>
      <c r="T101" s="581"/>
      <c r="U101" s="575"/>
      <c r="V101" s="575"/>
      <c r="W101" s="1096">
        <f>3.6*4.25+3.2*2.55</f>
        <v>23.46</v>
      </c>
      <c r="X101" s="1096">
        <f>3.8*1.26+0.55*2.6+3.8*1.26+1.53*3.8-4.33</f>
        <v>12.49</v>
      </c>
      <c r="Y101" s="583"/>
      <c r="Z101" s="583"/>
      <c r="AC101" s="583"/>
      <c r="AD101" s="583"/>
      <c r="AE101" s="583"/>
      <c r="AF101" s="583"/>
      <c r="AG101" s="949"/>
      <c r="AH101" s="842"/>
      <c r="AI101" s="1065">
        <f t="shared" si="19"/>
        <v>83.58</v>
      </c>
      <c r="AJ101" s="843"/>
      <c r="AK101" s="949">
        <v>0</v>
      </c>
      <c r="AL101" s="581">
        <f t="shared" si="20"/>
        <v>83.58</v>
      </c>
      <c r="AM101" s="750" t="s">
        <v>1665</v>
      </c>
      <c r="AN101" s="743">
        <f t="shared" si="21"/>
        <v>0</v>
      </c>
    </row>
    <row r="102" spans="1:40" s="560" customFormat="1">
      <c r="A102" s="604" t="s">
        <v>876</v>
      </c>
      <c r="B102" s="604" t="s">
        <v>1227</v>
      </c>
      <c r="C102" s="1041" t="s">
        <v>36</v>
      </c>
      <c r="D102" s="741"/>
      <c r="E102" s="1011"/>
      <c r="F102" s="581"/>
      <c r="G102" s="581"/>
      <c r="H102" s="581"/>
      <c r="I102" s="949"/>
      <c r="J102" s="949"/>
      <c r="K102" s="949"/>
      <c r="L102" s="575"/>
      <c r="M102" s="581"/>
      <c r="N102" s="575"/>
      <c r="O102" s="809"/>
      <c r="P102" s="575"/>
      <c r="Q102" s="583"/>
      <c r="R102" s="583"/>
      <c r="S102" s="575"/>
      <c r="T102" s="581"/>
      <c r="U102" s="575"/>
      <c r="V102" s="575"/>
      <c r="W102" s="583"/>
      <c r="X102" s="575"/>
      <c r="Y102" s="583"/>
      <c r="Z102" s="583"/>
      <c r="AA102" s="1110">
        <f>6.2*0.2+0.27*2.6+0.27*2.6+0.27*2.6+0.27*2.6+0.5*2.6+0.35*2.6+1.83*1.2+0.86*2.6</f>
        <v>10.690000000000001</v>
      </c>
      <c r="AB102" s="1096">
        <f>3.5*1.15+0.25*9.4</f>
        <v>6.375</v>
      </c>
      <c r="AC102" s="583"/>
      <c r="AD102" s="583"/>
      <c r="AE102" s="583"/>
      <c r="AF102" s="583"/>
      <c r="AG102" s="949"/>
      <c r="AH102" s="842"/>
      <c r="AI102" s="1065">
        <f t="shared" si="19"/>
        <v>17.07</v>
      </c>
      <c r="AJ102" s="843"/>
      <c r="AK102" s="949">
        <v>0</v>
      </c>
      <c r="AL102" s="581">
        <f t="shared" si="20"/>
        <v>17.07</v>
      </c>
      <c r="AM102" s="750" t="s">
        <v>1663</v>
      </c>
      <c r="AN102" s="743">
        <f t="shared" si="21"/>
        <v>28.68</v>
      </c>
    </row>
    <row r="103" spans="1:40" s="560" customFormat="1">
      <c r="A103" s="604" t="s">
        <v>877</v>
      </c>
      <c r="B103" s="604" t="s">
        <v>1228</v>
      </c>
      <c r="C103" s="1041" t="s">
        <v>36</v>
      </c>
      <c r="D103" s="741"/>
      <c r="E103" s="1011"/>
      <c r="F103" s="581"/>
      <c r="G103" s="581"/>
      <c r="H103" s="581"/>
      <c r="I103" s="1034">
        <f>2.6*0.28+2.6*0.28</f>
        <v>1.4560000000000002</v>
      </c>
      <c r="J103" s="949"/>
      <c r="K103" s="949"/>
      <c r="L103" s="575"/>
      <c r="M103" s="581"/>
      <c r="N103" s="575"/>
      <c r="O103" s="809"/>
      <c r="P103" s="575"/>
      <c r="Q103" s="583"/>
      <c r="R103" s="583"/>
      <c r="S103" s="575"/>
      <c r="T103" s="581"/>
      <c r="U103" s="575"/>
      <c r="V103" s="575"/>
      <c r="W103" s="583"/>
      <c r="X103" s="575"/>
      <c r="Y103" s="583"/>
      <c r="Z103" s="583"/>
      <c r="AA103" s="581"/>
      <c r="AB103" s="583"/>
      <c r="AC103" s="583"/>
      <c r="AD103" s="583"/>
      <c r="AE103" s="583"/>
      <c r="AF103" s="583"/>
      <c r="AG103" s="949"/>
      <c r="AH103" s="842"/>
      <c r="AI103" s="1065">
        <f t="shared" si="19"/>
        <v>1.46</v>
      </c>
      <c r="AJ103" s="843"/>
      <c r="AK103" s="949">
        <v>0</v>
      </c>
      <c r="AL103" s="581">
        <f t="shared" si="20"/>
        <v>1.46</v>
      </c>
      <c r="AM103" s="750" t="s">
        <v>1666</v>
      </c>
      <c r="AN103" s="743">
        <f t="shared" si="21"/>
        <v>11.489999999999998</v>
      </c>
    </row>
    <row r="104" spans="1:40" s="560" customFormat="1">
      <c r="A104" s="604" t="s">
        <v>878</v>
      </c>
      <c r="B104" s="604" t="s">
        <v>1229</v>
      </c>
      <c r="C104" s="1041" t="s">
        <v>36</v>
      </c>
      <c r="D104" s="741"/>
      <c r="E104" s="1011"/>
      <c r="F104" s="581"/>
      <c r="G104" s="581"/>
      <c r="H104" s="581"/>
      <c r="I104" s="1034">
        <f>1.95*0.25+2.6*0.42+3.4*0.33+5.64*0.34</f>
        <v>4.6191000000000004</v>
      </c>
      <c r="J104" s="949"/>
      <c r="K104" s="949"/>
      <c r="L104" s="575"/>
      <c r="M104" s="581"/>
      <c r="N104" s="575"/>
      <c r="O104" s="809"/>
      <c r="P104" s="575"/>
      <c r="Q104" s="583"/>
      <c r="R104" s="583"/>
      <c r="S104" s="575"/>
      <c r="T104" s="581"/>
      <c r="U104" s="575"/>
      <c r="V104" s="575"/>
      <c r="W104" s="583"/>
      <c r="X104" s="575"/>
      <c r="Y104" s="583"/>
      <c r="Z104" s="583"/>
      <c r="AA104" s="581"/>
      <c r="AB104" s="583"/>
      <c r="AC104" s="583"/>
      <c r="AD104" s="583"/>
      <c r="AE104" s="583"/>
      <c r="AF104" s="583"/>
      <c r="AG104" s="949"/>
      <c r="AH104" s="842"/>
      <c r="AI104" s="1065">
        <f t="shared" si="19"/>
        <v>4.62</v>
      </c>
      <c r="AJ104" s="843"/>
      <c r="AK104" s="949">
        <v>0</v>
      </c>
      <c r="AL104" s="581">
        <f t="shared" si="20"/>
        <v>4.62</v>
      </c>
      <c r="AM104" s="750" t="s">
        <v>1667</v>
      </c>
      <c r="AN104" s="743">
        <f t="shared" si="21"/>
        <v>20.25</v>
      </c>
    </row>
    <row r="105" spans="1:40" s="560" customFormat="1">
      <c r="A105" s="604" t="s">
        <v>880</v>
      </c>
      <c r="B105" s="604" t="s">
        <v>1231</v>
      </c>
      <c r="C105" s="1041" t="s">
        <v>37</v>
      </c>
      <c r="D105" s="741"/>
      <c r="E105" s="1011"/>
      <c r="F105" s="581"/>
      <c r="G105" s="581"/>
      <c r="H105" s="581"/>
      <c r="I105" s="949"/>
      <c r="J105" s="949"/>
      <c r="K105" s="949"/>
      <c r="L105" s="575"/>
      <c r="M105" s="581"/>
      <c r="N105" s="575"/>
      <c r="O105" s="809"/>
      <c r="Q105" s="583"/>
      <c r="R105" s="583"/>
      <c r="S105" s="575"/>
      <c r="T105" s="581"/>
      <c r="U105" s="575"/>
      <c r="V105" s="575"/>
      <c r="W105" s="583"/>
      <c r="X105" s="575"/>
      <c r="Y105" s="1096">
        <f>3.4*0.27+1.7*0.27+2.4*0.27+3.6*0.27</f>
        <v>2.9969999999999999</v>
      </c>
      <c r="Z105" s="1096">
        <f>2.4*0.15+3.2*0.27+3.4*0.27+7.4*0.7</f>
        <v>7.3220000000000001</v>
      </c>
      <c r="AA105" s="581"/>
      <c r="AB105" s="583"/>
      <c r="AC105" s="583"/>
      <c r="AD105" s="583"/>
      <c r="AE105" s="583"/>
      <c r="AF105" s="583"/>
      <c r="AG105" s="741"/>
      <c r="AH105" s="842"/>
      <c r="AI105" s="1065">
        <f t="shared" si="19"/>
        <v>10.32</v>
      </c>
      <c r="AJ105" s="843"/>
      <c r="AK105" s="949">
        <v>0</v>
      </c>
      <c r="AL105" s="581">
        <f t="shared" si="20"/>
        <v>10.32</v>
      </c>
      <c r="AM105" s="750" t="s">
        <v>1669</v>
      </c>
      <c r="AN105" s="743">
        <f t="shared" si="21"/>
        <v>38.380000000000003</v>
      </c>
    </row>
    <row r="106" spans="1:40" s="560" customFormat="1">
      <c r="A106" s="604" t="s">
        <v>881</v>
      </c>
      <c r="B106" s="604" t="s">
        <v>1232</v>
      </c>
      <c r="C106" s="1041" t="s">
        <v>37</v>
      </c>
      <c r="D106" s="741"/>
      <c r="E106" s="1011"/>
      <c r="F106" s="1035">
        <f>2.25+2.6</f>
        <v>4.8499999999999996</v>
      </c>
      <c r="G106" s="1035">
        <f>8+7.6</f>
        <v>15.6</v>
      </c>
      <c r="H106" s="581"/>
      <c r="I106" s="1034">
        <f>2.4+3.9+5.3+5.3</f>
        <v>16.899999999999999</v>
      </c>
      <c r="J106" s="949"/>
      <c r="K106" s="949"/>
      <c r="L106" s="575"/>
      <c r="M106" s="581"/>
      <c r="N106" s="575"/>
      <c r="O106" s="809"/>
      <c r="P106" s="575"/>
      <c r="Q106" s="583"/>
      <c r="R106" s="583"/>
      <c r="S106" s="575"/>
      <c r="T106" s="581"/>
      <c r="U106" s="575"/>
      <c r="V106" s="575"/>
      <c r="W106" s="1096">
        <v>15.2</v>
      </c>
      <c r="X106" s="575"/>
      <c r="Y106" s="583"/>
      <c r="Z106" s="583"/>
      <c r="AA106" s="1110">
        <f>14.25</f>
        <v>14.25</v>
      </c>
      <c r="AB106" s="1096">
        <f>9.4</f>
        <v>9.4</v>
      </c>
      <c r="AC106" s="583"/>
      <c r="AD106" s="583"/>
      <c r="AE106" s="583"/>
      <c r="AF106" s="583"/>
      <c r="AG106" s="949"/>
      <c r="AH106" s="842"/>
      <c r="AI106" s="1065">
        <f t="shared" si="19"/>
        <v>76.2</v>
      </c>
      <c r="AJ106" s="843"/>
      <c r="AK106" s="949">
        <v>0</v>
      </c>
      <c r="AL106" s="581">
        <f t="shared" si="20"/>
        <v>76.2</v>
      </c>
      <c r="AM106" s="750" t="s">
        <v>1670</v>
      </c>
      <c r="AN106" s="743">
        <f t="shared" si="21"/>
        <v>96.279999999999987</v>
      </c>
    </row>
    <row r="107" spans="1:40" s="560" customFormat="1">
      <c r="A107" s="607" t="s">
        <v>473</v>
      </c>
      <c r="B107" s="607" t="s">
        <v>1233</v>
      </c>
      <c r="C107" s="845"/>
      <c r="D107" s="741"/>
      <c r="E107" s="1011"/>
      <c r="F107" s="581"/>
      <c r="G107" s="581"/>
      <c r="H107" s="581"/>
      <c r="I107" s="949"/>
      <c r="J107" s="949"/>
      <c r="K107" s="949"/>
      <c r="L107" s="575"/>
      <c r="M107" s="581"/>
      <c r="N107" s="575"/>
      <c r="O107" s="809"/>
      <c r="P107" s="575"/>
      <c r="Q107" s="583"/>
      <c r="R107" s="583"/>
      <c r="S107" s="575"/>
      <c r="T107" s="581"/>
      <c r="U107" s="575"/>
      <c r="V107" s="575"/>
      <c r="W107" s="583"/>
      <c r="X107" s="575"/>
      <c r="Y107" s="583"/>
      <c r="Z107" s="583"/>
      <c r="AA107" s="581"/>
      <c r="AB107" s="583"/>
      <c r="AC107" s="583"/>
      <c r="AD107" s="583"/>
      <c r="AE107" s="583"/>
      <c r="AF107" s="583"/>
      <c r="AG107" s="949"/>
      <c r="AH107" s="842"/>
      <c r="AI107" s="738">
        <f t="shared" si="19"/>
        <v>0</v>
      </c>
      <c r="AJ107" s="843"/>
      <c r="AK107" s="949">
        <v>0</v>
      </c>
      <c r="AL107" s="581">
        <f t="shared" si="20"/>
        <v>0</v>
      </c>
      <c r="AM107" s="750"/>
      <c r="AN107" s="743">
        <f t="shared" si="21"/>
        <v>0</v>
      </c>
    </row>
    <row r="108" spans="1:40" s="560" customFormat="1">
      <c r="A108" s="604" t="s">
        <v>882</v>
      </c>
      <c r="B108" s="604" t="s">
        <v>1234</v>
      </c>
      <c r="C108" s="1041" t="s">
        <v>36</v>
      </c>
      <c r="D108" s="741"/>
      <c r="E108" s="1011"/>
      <c r="F108" s="581"/>
      <c r="H108" s="581"/>
      <c r="I108" s="949"/>
      <c r="J108" s="949"/>
      <c r="K108" s="949"/>
      <c r="L108" s="575"/>
      <c r="M108" s="581"/>
      <c r="N108" s="575"/>
      <c r="O108" s="809"/>
      <c r="P108" s="575"/>
      <c r="Q108" s="583"/>
      <c r="R108" s="583"/>
      <c r="S108" s="575"/>
      <c r="T108" s="581"/>
      <c r="U108" s="575"/>
      <c r="V108" s="575"/>
      <c r="W108" s="583"/>
      <c r="X108" s="575"/>
      <c r="Y108" s="583"/>
      <c r="Z108" s="583"/>
      <c r="AA108" s="1110">
        <f>7.2*0.6</f>
        <v>4.32</v>
      </c>
      <c r="AB108" s="1096">
        <f>2.85*0.6+2.85*0.6+2.85*0.4+2.85*0.6-0.43</f>
        <v>5.8400000000000007</v>
      </c>
      <c r="AC108" s="583"/>
      <c r="AD108" s="583"/>
      <c r="AE108" s="583"/>
      <c r="AF108" s="583"/>
      <c r="AG108" s="949"/>
      <c r="AH108" s="842"/>
      <c r="AI108" s="1065">
        <f t="shared" si="19"/>
        <v>10.16</v>
      </c>
      <c r="AJ108" s="843"/>
      <c r="AK108" s="949">
        <v>0</v>
      </c>
      <c r="AL108" s="581">
        <f t="shared" si="20"/>
        <v>10.16</v>
      </c>
      <c r="AM108" s="750" t="s">
        <v>1671</v>
      </c>
      <c r="AN108" s="743">
        <f t="shared" si="21"/>
        <v>28.080000000000002</v>
      </c>
    </row>
    <row r="109" spans="1:40" s="560" customFormat="1">
      <c r="A109" s="607" t="s">
        <v>883</v>
      </c>
      <c r="B109" s="607" t="s">
        <v>1235</v>
      </c>
      <c r="C109" s="845"/>
      <c r="D109" s="741"/>
      <c r="E109" s="1011"/>
      <c r="F109" s="581"/>
      <c r="G109" s="581"/>
      <c r="H109" s="581"/>
      <c r="I109" s="949"/>
      <c r="J109" s="949"/>
      <c r="K109" s="949"/>
      <c r="L109" s="575"/>
      <c r="M109" s="581"/>
      <c r="N109" s="575"/>
      <c r="O109" s="809"/>
      <c r="P109" s="575"/>
      <c r="Q109" s="583"/>
      <c r="R109" s="583"/>
      <c r="S109" s="575"/>
      <c r="T109" s="581"/>
      <c r="U109" s="575"/>
      <c r="V109" s="575"/>
      <c r="W109" s="583"/>
      <c r="X109" s="575"/>
      <c r="Y109" s="583"/>
      <c r="Z109" s="583"/>
      <c r="AA109" s="581"/>
      <c r="AB109" s="583"/>
      <c r="AC109" s="583"/>
      <c r="AD109" s="583"/>
      <c r="AE109" s="583"/>
      <c r="AF109" s="583"/>
      <c r="AG109" s="949"/>
      <c r="AH109" s="842"/>
      <c r="AI109" s="738">
        <f t="shared" si="19"/>
        <v>0</v>
      </c>
      <c r="AJ109" s="843"/>
      <c r="AK109" s="949">
        <v>0</v>
      </c>
      <c r="AL109" s="581">
        <f t="shared" si="20"/>
        <v>0</v>
      </c>
      <c r="AM109" s="750"/>
      <c r="AN109" s="743">
        <f t="shared" si="21"/>
        <v>0</v>
      </c>
    </row>
    <row r="110" spans="1:40" s="560" customFormat="1">
      <c r="A110" s="604" t="s">
        <v>884</v>
      </c>
      <c r="B110" s="604" t="s">
        <v>1236</v>
      </c>
      <c r="C110" s="1041" t="s">
        <v>36</v>
      </c>
      <c r="D110" s="741"/>
      <c r="E110" s="1011"/>
      <c r="F110" s="581"/>
      <c r="G110" s="581"/>
      <c r="H110" s="581"/>
      <c r="I110" s="949"/>
      <c r="J110" s="949"/>
      <c r="K110" s="949"/>
      <c r="L110" s="575"/>
      <c r="M110" s="581"/>
      <c r="N110" s="575"/>
      <c r="O110" s="809"/>
      <c r="P110" s="575"/>
      <c r="Q110" s="583"/>
      <c r="R110" s="583"/>
      <c r="S110" s="575"/>
      <c r="T110" s="581"/>
      <c r="U110" s="575"/>
      <c r="V110" s="575"/>
      <c r="W110" s="583"/>
      <c r="X110" s="575"/>
      <c r="Y110" s="583"/>
      <c r="Z110" s="583"/>
      <c r="AA110" s="581"/>
      <c r="AB110" s="583"/>
      <c r="AC110" s="583"/>
      <c r="AD110" s="583"/>
      <c r="AE110" s="583"/>
      <c r="AF110" s="583"/>
      <c r="AG110" s="1092">
        <v>33.03</v>
      </c>
      <c r="AH110" s="842"/>
      <c r="AI110" s="1065">
        <f t="shared" si="19"/>
        <v>33.03</v>
      </c>
      <c r="AJ110" s="843"/>
      <c r="AK110" s="949">
        <v>0</v>
      </c>
      <c r="AL110" s="581">
        <f t="shared" si="20"/>
        <v>33.03</v>
      </c>
      <c r="AM110" s="750" t="s">
        <v>1672</v>
      </c>
      <c r="AN110" s="743">
        <f t="shared" si="21"/>
        <v>0</v>
      </c>
    </row>
    <row r="111" spans="1:40" s="560" customFormat="1">
      <c r="A111" s="492" t="s">
        <v>504</v>
      </c>
      <c r="B111" s="608" t="s">
        <v>1283</v>
      </c>
      <c r="C111" s="845"/>
      <c r="D111" s="741"/>
      <c r="E111" s="1011"/>
      <c r="F111" s="581"/>
      <c r="G111" s="581"/>
      <c r="H111" s="581"/>
      <c r="I111" s="949"/>
      <c r="J111" s="949"/>
      <c r="K111" s="949"/>
      <c r="L111" s="575"/>
      <c r="M111" s="581"/>
      <c r="N111" s="575"/>
      <c r="O111" s="809"/>
      <c r="P111" s="575"/>
      <c r="Q111" s="583"/>
      <c r="R111" s="583"/>
      <c r="S111" s="575"/>
      <c r="T111" s="581"/>
      <c r="U111" s="575"/>
      <c r="V111" s="575"/>
      <c r="W111" s="583"/>
      <c r="X111" s="575"/>
      <c r="Y111" s="583"/>
      <c r="Z111" s="583"/>
      <c r="AA111" s="581"/>
      <c r="AB111" s="583"/>
      <c r="AC111" s="583"/>
      <c r="AD111" s="583"/>
      <c r="AE111" s="583"/>
      <c r="AF111" s="583"/>
      <c r="AG111" s="949"/>
      <c r="AH111" s="842"/>
      <c r="AI111" s="738">
        <f t="shared" ref="AI111:AI128" si="22">ROUND((SUM(E111:AH111)),2)</f>
        <v>0</v>
      </c>
      <c r="AJ111" s="843"/>
      <c r="AK111" s="949">
        <v>0</v>
      </c>
      <c r="AL111" s="581">
        <f t="shared" si="20"/>
        <v>0</v>
      </c>
      <c r="AM111" s="750"/>
      <c r="AN111" s="743">
        <f t="shared" si="21"/>
        <v>0</v>
      </c>
    </row>
    <row r="112" spans="1:40" s="560" customFormat="1">
      <c r="A112" s="607" t="s">
        <v>505</v>
      </c>
      <c r="B112" s="607" t="s">
        <v>1222</v>
      </c>
      <c r="C112" s="845"/>
      <c r="D112" s="741"/>
      <c r="E112" s="1011"/>
      <c r="F112" s="581"/>
      <c r="G112" s="581"/>
      <c r="H112" s="581"/>
      <c r="I112" s="949"/>
      <c r="J112" s="949"/>
      <c r="K112" s="949"/>
      <c r="L112" s="575"/>
      <c r="M112" s="581"/>
      <c r="N112" s="575"/>
      <c r="O112" s="809"/>
      <c r="P112" s="575"/>
      <c r="Q112" s="583"/>
      <c r="R112" s="583"/>
      <c r="S112" s="575"/>
      <c r="T112" s="581"/>
      <c r="U112" s="575"/>
      <c r="V112" s="575"/>
      <c r="W112" s="583"/>
      <c r="X112" s="575"/>
      <c r="Y112" s="583"/>
      <c r="Z112" s="583"/>
      <c r="AA112" s="581"/>
      <c r="AB112" s="583"/>
      <c r="AC112" s="583"/>
      <c r="AD112" s="583"/>
      <c r="AE112" s="583"/>
      <c r="AF112" s="583"/>
      <c r="AG112" s="949"/>
      <c r="AH112" s="842"/>
      <c r="AI112" s="738">
        <f t="shared" si="22"/>
        <v>0</v>
      </c>
      <c r="AJ112" s="843"/>
      <c r="AK112" s="949">
        <v>0</v>
      </c>
      <c r="AL112" s="581">
        <f t="shared" si="20"/>
        <v>0</v>
      </c>
      <c r="AM112" s="750"/>
      <c r="AN112" s="743">
        <f t="shared" si="21"/>
        <v>0</v>
      </c>
    </row>
    <row r="113" spans="1:40" s="560" customFormat="1">
      <c r="A113" s="604" t="s">
        <v>506</v>
      </c>
      <c r="B113" s="604" t="s">
        <v>1223</v>
      </c>
      <c r="C113" s="1041" t="s">
        <v>36</v>
      </c>
      <c r="D113" s="741"/>
      <c r="E113" s="1011"/>
      <c r="F113" s="581"/>
      <c r="G113" s="581"/>
      <c r="H113" s="581"/>
      <c r="I113" s="949"/>
      <c r="J113" s="949"/>
      <c r="K113" s="949"/>
      <c r="L113" s="1096">
        <f>1.35*1.35</f>
        <v>1.8225000000000002</v>
      </c>
      <c r="M113" s="581"/>
      <c r="N113" s="575"/>
      <c r="O113" s="809"/>
      <c r="P113" s="575"/>
      <c r="Q113" s="583"/>
      <c r="R113" s="583"/>
      <c r="S113" s="575"/>
      <c r="T113" s="581"/>
      <c r="U113" s="583"/>
      <c r="V113" s="583"/>
      <c r="W113" s="583"/>
      <c r="X113" s="583"/>
      <c r="Y113" s="583"/>
      <c r="Z113" s="583"/>
      <c r="AA113" s="581"/>
      <c r="AB113" s="583"/>
      <c r="AC113" s="583"/>
      <c r="AD113" s="583"/>
      <c r="AE113" s="583"/>
      <c r="AF113" s="583"/>
      <c r="AG113" s="949"/>
      <c r="AH113" s="842"/>
      <c r="AI113" s="1065">
        <f t="shared" si="22"/>
        <v>1.82</v>
      </c>
      <c r="AJ113" s="843"/>
      <c r="AK113" s="949">
        <v>0</v>
      </c>
      <c r="AL113" s="581">
        <f t="shared" si="20"/>
        <v>1.82</v>
      </c>
      <c r="AM113" s="750" t="s">
        <v>1689</v>
      </c>
      <c r="AN113" s="743">
        <f t="shared" si="21"/>
        <v>54.839999999999996</v>
      </c>
    </row>
    <row r="114" spans="1:40" s="560" customFormat="1">
      <c r="A114" s="604" t="s">
        <v>507</v>
      </c>
      <c r="B114" s="604" t="s">
        <v>1224</v>
      </c>
      <c r="C114" s="1041" t="s">
        <v>36</v>
      </c>
      <c r="D114" s="741"/>
      <c r="E114" s="1011"/>
      <c r="F114" s="581"/>
      <c r="G114" s="581"/>
      <c r="H114" s="581"/>
      <c r="I114" s="949"/>
      <c r="J114" s="949"/>
      <c r="K114" s="949"/>
      <c r="L114" s="1096">
        <f>1.55*1.5+1*1.21+1.21*2.34</f>
        <v>6.3664000000000005</v>
      </c>
      <c r="M114" s="581"/>
      <c r="N114" s="1096">
        <f>1.64*0.7</f>
        <v>1.1479999999999999</v>
      </c>
      <c r="O114" s="809"/>
      <c r="P114" s="575"/>
      <c r="Q114" s="583"/>
      <c r="R114" s="583"/>
      <c r="S114" s="575"/>
      <c r="T114" s="581"/>
      <c r="U114" s="575"/>
      <c r="V114" s="575"/>
      <c r="W114" s="583"/>
      <c r="X114" s="575"/>
      <c r="Y114" s="583"/>
      <c r="Z114" s="583"/>
      <c r="AA114" s="581"/>
      <c r="AB114" s="583"/>
      <c r="AC114" s="583"/>
      <c r="AD114" s="583"/>
      <c r="AE114" s="583"/>
      <c r="AF114" s="583"/>
      <c r="AG114" s="949"/>
      <c r="AH114" s="842"/>
      <c r="AI114" s="1065">
        <f t="shared" si="22"/>
        <v>7.51</v>
      </c>
      <c r="AJ114" s="843"/>
      <c r="AK114" s="949">
        <v>0</v>
      </c>
      <c r="AL114" s="581">
        <f t="shared" si="20"/>
        <v>7.51</v>
      </c>
      <c r="AM114" s="750" t="s">
        <v>1690</v>
      </c>
      <c r="AN114" s="743">
        <f t="shared" si="21"/>
        <v>0.66000000000000014</v>
      </c>
    </row>
    <row r="115" spans="1:40" s="560" customFormat="1">
      <c r="A115" s="607" t="s">
        <v>508</v>
      </c>
      <c r="B115" s="607" t="s">
        <v>1225</v>
      </c>
      <c r="C115" s="845"/>
      <c r="D115" s="741"/>
      <c r="E115" s="1011"/>
      <c r="F115" s="581"/>
      <c r="G115" s="581"/>
      <c r="H115" s="581"/>
      <c r="I115" s="949"/>
      <c r="J115" s="949"/>
      <c r="K115" s="949"/>
      <c r="L115" s="575"/>
      <c r="M115" s="581"/>
      <c r="N115" s="575"/>
      <c r="O115" s="809"/>
      <c r="P115" s="575"/>
      <c r="Q115" s="583"/>
      <c r="R115" s="583"/>
      <c r="S115" s="575"/>
      <c r="T115" s="581"/>
      <c r="U115" s="575"/>
      <c r="V115" s="575"/>
      <c r="W115" s="583"/>
      <c r="X115" s="575"/>
      <c r="Y115" s="583"/>
      <c r="Z115" s="583"/>
      <c r="AA115" s="581"/>
      <c r="AB115" s="583"/>
      <c r="AC115" s="583"/>
      <c r="AD115" s="583"/>
      <c r="AE115" s="583"/>
      <c r="AF115" s="583"/>
      <c r="AG115" s="949"/>
      <c r="AH115" s="842"/>
      <c r="AI115" s="738">
        <f t="shared" si="22"/>
        <v>0</v>
      </c>
      <c r="AJ115" s="843"/>
      <c r="AK115" s="949">
        <v>0</v>
      </c>
      <c r="AL115" s="581">
        <f t="shared" si="20"/>
        <v>0</v>
      </c>
      <c r="AM115" s="750"/>
      <c r="AN115" s="743">
        <f t="shared" si="21"/>
        <v>0</v>
      </c>
    </row>
    <row r="116" spans="1:40" s="560" customFormat="1">
      <c r="A116" s="604" t="s">
        <v>509</v>
      </c>
      <c r="B116" s="604" t="s">
        <v>1226</v>
      </c>
      <c r="C116" s="1041" t="s">
        <v>36</v>
      </c>
      <c r="D116" s="741"/>
      <c r="E116" s="1011"/>
      <c r="F116" s="581"/>
      <c r="G116" s="581"/>
      <c r="H116" s="581"/>
      <c r="I116" s="949"/>
      <c r="J116" s="949"/>
      <c r="K116" s="949"/>
      <c r="L116" s="575"/>
      <c r="M116" s="1110">
        <f>2.2*2.7</f>
        <v>5.9400000000000013</v>
      </c>
      <c r="N116" s="575"/>
      <c r="O116" s="809"/>
      <c r="P116" s="1096">
        <f>2.25*2.7</f>
        <v>6.0750000000000002</v>
      </c>
      <c r="Q116" s="1096">
        <f>1.19*2.6+0.68*2.6+0.95*0.8+0.4*1.31+2.7*1.3+5.54*0.27+2.62*0.27</f>
        <v>11.859200000000001</v>
      </c>
      <c r="R116" s="1096">
        <f>1.8*2.6+3*2+2.6*2.6+0.68*2.6</f>
        <v>19.208000000000002</v>
      </c>
      <c r="S116" s="1096">
        <f>2.2*2.6+2.2*2.6</f>
        <v>11.440000000000001</v>
      </c>
      <c r="T116" s="1110">
        <f>3.3*1.85+1.75*2.1+1.35*1.15+1.75*2.1</f>
        <v>15.0075</v>
      </c>
      <c r="U116" s="575"/>
      <c r="V116" s="575"/>
      <c r="W116" s="583"/>
      <c r="X116" s="575"/>
      <c r="Y116" s="583"/>
      <c r="Z116" s="583"/>
      <c r="AA116" s="581"/>
      <c r="AB116" s="583"/>
      <c r="AC116" s="583"/>
      <c r="AD116" s="583"/>
      <c r="AE116" s="583"/>
      <c r="AF116" s="583"/>
      <c r="AG116" s="949"/>
      <c r="AH116" s="842"/>
      <c r="AI116" s="1065">
        <f t="shared" si="22"/>
        <v>69.53</v>
      </c>
      <c r="AJ116" s="843"/>
      <c r="AK116" s="949">
        <v>0</v>
      </c>
      <c r="AL116" s="581">
        <f t="shared" si="20"/>
        <v>69.53</v>
      </c>
      <c r="AM116" s="750" t="s">
        <v>1691</v>
      </c>
      <c r="AN116" s="743">
        <f t="shared" si="21"/>
        <v>8.1500000000000057</v>
      </c>
    </row>
    <row r="117" spans="1:40" s="560" customFormat="1">
      <c r="A117" s="604" t="s">
        <v>922</v>
      </c>
      <c r="B117" s="604" t="s">
        <v>1228</v>
      </c>
      <c r="C117" s="1041" t="s">
        <v>36</v>
      </c>
      <c r="D117" s="741"/>
      <c r="E117" s="1011"/>
      <c r="F117" s="581"/>
      <c r="G117" s="581"/>
      <c r="H117" s="581"/>
      <c r="I117" s="949"/>
      <c r="J117" s="949"/>
      <c r="K117" s="949"/>
      <c r="L117" s="575"/>
      <c r="M117" s="581"/>
      <c r="N117" s="575"/>
      <c r="O117" s="809"/>
      <c r="P117" s="575"/>
      <c r="Q117" s="1096">
        <f>0.25*2.6</f>
        <v>0.65</v>
      </c>
      <c r="R117" s="1096">
        <f>2.6*0.28</f>
        <v>0.72800000000000009</v>
      </c>
      <c r="S117" s="1096">
        <f>5.64*0.25</f>
        <v>1.41</v>
      </c>
      <c r="T117" s="1110">
        <f>0.28*2.6</f>
        <v>0.72800000000000009</v>
      </c>
      <c r="U117" s="575"/>
      <c r="V117" s="575"/>
      <c r="W117" s="583"/>
      <c r="X117" s="575"/>
      <c r="Y117" s="583"/>
      <c r="Z117" s="583"/>
      <c r="AA117" s="581"/>
      <c r="AB117" s="583"/>
      <c r="AC117" s="583"/>
      <c r="AD117" s="583"/>
      <c r="AE117" s="583"/>
      <c r="AF117" s="583"/>
      <c r="AG117" s="949"/>
      <c r="AH117" s="842"/>
      <c r="AI117" s="1065">
        <f t="shared" si="22"/>
        <v>3.52</v>
      </c>
      <c r="AJ117" s="843"/>
      <c r="AK117" s="949">
        <v>0</v>
      </c>
      <c r="AL117" s="581">
        <f t="shared" si="20"/>
        <v>3.52</v>
      </c>
      <c r="AM117" s="750" t="s">
        <v>1693</v>
      </c>
      <c r="AN117" s="743">
        <f t="shared" si="21"/>
        <v>8.48</v>
      </c>
    </row>
    <row r="118" spans="1:40" s="560" customFormat="1">
      <c r="A118" s="604" t="s">
        <v>923</v>
      </c>
      <c r="B118" s="604" t="s">
        <v>1229</v>
      </c>
      <c r="C118" s="1041" t="s">
        <v>36</v>
      </c>
      <c r="D118" s="741"/>
      <c r="E118" s="1011"/>
      <c r="F118" s="581"/>
      <c r="G118" s="581"/>
      <c r="H118" s="581"/>
      <c r="I118" s="949"/>
      <c r="J118" s="949"/>
      <c r="K118" s="949"/>
      <c r="L118" s="575"/>
      <c r="M118" s="1110">
        <f>2.7*0.2</f>
        <v>0.54</v>
      </c>
      <c r="N118" s="575"/>
      <c r="O118" s="809"/>
      <c r="P118" s="1096">
        <f>2.7*0.2</f>
        <v>0.54</v>
      </c>
      <c r="Q118" s="1096">
        <f>2.75*0.25</f>
        <v>0.6875</v>
      </c>
      <c r="R118" s="1096">
        <f>2.68*0.2+4.45*0.3</f>
        <v>1.871</v>
      </c>
      <c r="S118" s="1096">
        <f>0.27*2.6</f>
        <v>0.70200000000000007</v>
      </c>
      <c r="T118" s="581"/>
      <c r="U118" s="575"/>
      <c r="V118" s="575"/>
      <c r="W118" s="583"/>
      <c r="X118" s="575"/>
      <c r="Y118" s="583"/>
      <c r="Z118" s="583"/>
      <c r="AA118" s="581"/>
      <c r="AB118" s="583"/>
      <c r="AC118" s="583"/>
      <c r="AD118" s="583"/>
      <c r="AE118" s="583"/>
      <c r="AF118" s="583"/>
      <c r="AG118" s="949"/>
      <c r="AH118" s="842"/>
      <c r="AI118" s="1065">
        <f t="shared" si="22"/>
        <v>4.34</v>
      </c>
      <c r="AJ118" s="843"/>
      <c r="AK118" s="949">
        <v>0</v>
      </c>
      <c r="AL118" s="581">
        <f t="shared" si="20"/>
        <v>4.34</v>
      </c>
      <c r="AM118" s="750" t="s">
        <v>1694</v>
      </c>
      <c r="AN118" s="743">
        <f t="shared" si="21"/>
        <v>15.629999999999999</v>
      </c>
    </row>
    <row r="119" spans="1:40" s="560" customFormat="1">
      <c r="A119" s="604" t="s">
        <v>925</v>
      </c>
      <c r="B119" s="604" t="s">
        <v>1231</v>
      </c>
      <c r="C119" s="1041" t="s">
        <v>37</v>
      </c>
      <c r="D119" s="741"/>
      <c r="E119" s="1011"/>
      <c r="F119" s="581"/>
      <c r="G119" s="581"/>
      <c r="H119" s="581"/>
      <c r="I119" s="949"/>
      <c r="J119" s="949"/>
      <c r="K119" s="949"/>
      <c r="L119" s="575"/>
      <c r="M119" s="581"/>
      <c r="N119" s="575"/>
      <c r="O119" s="809"/>
      <c r="P119" s="1096">
        <f>5.9+2.7</f>
        <v>8.6000000000000014</v>
      </c>
      <c r="Q119" s="1096">
        <f>3.3</f>
        <v>3.3</v>
      </c>
      <c r="R119" s="1096">
        <f>0.9+3.1</f>
        <v>4</v>
      </c>
      <c r="S119" s="583"/>
      <c r="T119" s="1110">
        <f>5.54+3</f>
        <v>8.5399999999999991</v>
      </c>
      <c r="U119" s="575"/>
      <c r="V119" s="575"/>
      <c r="W119" s="583"/>
      <c r="X119" s="575"/>
      <c r="Z119" s="583"/>
      <c r="AA119" s="581"/>
      <c r="AB119" s="583"/>
      <c r="AC119" s="583"/>
      <c r="AD119" s="583"/>
      <c r="AE119" s="583"/>
      <c r="AF119" s="583"/>
      <c r="AG119" s="949"/>
      <c r="AH119" s="842"/>
      <c r="AI119" s="1065">
        <f t="shared" si="22"/>
        <v>24.44</v>
      </c>
      <c r="AJ119" s="843"/>
      <c r="AK119" s="949">
        <v>0</v>
      </c>
      <c r="AL119" s="581">
        <f t="shared" si="20"/>
        <v>24.44</v>
      </c>
      <c r="AM119" s="750" t="s">
        <v>1696</v>
      </c>
      <c r="AN119" s="743">
        <f t="shared" si="21"/>
        <v>11.459999999999997</v>
      </c>
    </row>
    <row r="120" spans="1:40" s="560" customFormat="1">
      <c r="A120" s="604" t="s">
        <v>926</v>
      </c>
      <c r="B120" s="604" t="s">
        <v>1232</v>
      </c>
      <c r="C120" s="1041" t="s">
        <v>37</v>
      </c>
      <c r="D120" s="741"/>
      <c r="E120" s="1011"/>
      <c r="F120" s="581"/>
      <c r="G120" s="581"/>
      <c r="H120" s="581"/>
      <c r="I120" s="949"/>
      <c r="J120" s="949"/>
      <c r="K120" s="949"/>
      <c r="L120" s="575"/>
      <c r="M120" s="581"/>
      <c r="N120" s="575"/>
      <c r="O120" s="809"/>
      <c r="P120" s="575"/>
      <c r="Q120" s="583"/>
      <c r="R120" s="1096">
        <f>5.85+2.6</f>
        <v>8.4499999999999993</v>
      </c>
      <c r="S120" s="1096">
        <v>14.3</v>
      </c>
      <c r="T120" s="1110">
        <v>5.25</v>
      </c>
      <c r="U120" s="575"/>
      <c r="V120" s="575"/>
      <c r="W120" s="583"/>
      <c r="X120" s="575"/>
      <c r="Y120" s="583"/>
      <c r="Z120" s="583"/>
      <c r="AA120" s="581"/>
      <c r="AB120" s="583"/>
      <c r="AC120" s="583"/>
      <c r="AD120" s="583"/>
      <c r="AE120" s="583"/>
      <c r="AF120" s="583"/>
      <c r="AG120" s="949"/>
      <c r="AH120" s="842"/>
      <c r="AI120" s="1065">
        <f t="shared" si="22"/>
        <v>28</v>
      </c>
      <c r="AJ120" s="843"/>
      <c r="AK120" s="949">
        <v>0</v>
      </c>
      <c r="AL120" s="581">
        <f t="shared" si="20"/>
        <v>28</v>
      </c>
      <c r="AM120" s="750" t="s">
        <v>1697</v>
      </c>
      <c r="AN120" s="743">
        <f t="shared" si="21"/>
        <v>123.28</v>
      </c>
    </row>
    <row r="121" spans="1:40" s="560" customFormat="1">
      <c r="A121" s="607" t="s">
        <v>510</v>
      </c>
      <c r="B121" s="607" t="s">
        <v>1233</v>
      </c>
      <c r="C121" s="845"/>
      <c r="D121" s="741"/>
      <c r="E121" s="1011"/>
      <c r="F121" s="581"/>
      <c r="G121" s="581"/>
      <c r="H121" s="581"/>
      <c r="I121" s="949"/>
      <c r="J121" s="949"/>
      <c r="K121" s="949"/>
      <c r="L121" s="575"/>
      <c r="M121" s="581"/>
      <c r="N121" s="575"/>
      <c r="O121" s="809"/>
      <c r="P121" s="575"/>
      <c r="Q121" s="583"/>
      <c r="R121" s="583"/>
      <c r="S121" s="575"/>
      <c r="T121" s="581"/>
      <c r="U121" s="575"/>
      <c r="V121" s="575"/>
      <c r="W121" s="583"/>
      <c r="X121" s="575"/>
      <c r="Y121" s="583"/>
      <c r="Z121" s="583"/>
      <c r="AA121" s="581"/>
      <c r="AB121" s="583"/>
      <c r="AC121" s="583"/>
      <c r="AD121" s="583"/>
      <c r="AE121" s="583"/>
      <c r="AF121" s="583"/>
      <c r="AG121" s="949"/>
      <c r="AH121" s="842"/>
      <c r="AI121" s="738">
        <f t="shared" si="22"/>
        <v>0</v>
      </c>
      <c r="AJ121" s="843"/>
      <c r="AK121" s="949">
        <v>0</v>
      </c>
      <c r="AL121" s="581">
        <f t="shared" si="20"/>
        <v>0</v>
      </c>
      <c r="AM121" s="750"/>
      <c r="AN121" s="743">
        <f t="shared" si="21"/>
        <v>0</v>
      </c>
    </row>
    <row r="122" spans="1:40" s="560" customFormat="1">
      <c r="A122" s="604" t="s">
        <v>511</v>
      </c>
      <c r="B122" s="604" t="s">
        <v>1234</v>
      </c>
      <c r="C122" s="1041" t="s">
        <v>36</v>
      </c>
      <c r="D122" s="741"/>
      <c r="E122" s="1109">
        <f>2.75*2.75+2.9*2.6+2.9*0.65</f>
        <v>16.987500000000001</v>
      </c>
      <c r="F122" s="581"/>
      <c r="G122" s="581"/>
      <c r="H122" s="581"/>
      <c r="I122" s="949"/>
      <c r="J122" s="949"/>
      <c r="K122" s="949"/>
      <c r="L122" s="575"/>
      <c r="M122" s="581"/>
      <c r="N122" s="575"/>
      <c r="O122" s="809"/>
      <c r="P122" s="575"/>
      <c r="Q122" s="583"/>
      <c r="R122" s="583"/>
      <c r="S122" s="575"/>
      <c r="T122" s="581"/>
      <c r="U122" s="575"/>
      <c r="V122" s="575"/>
      <c r="W122" s="583"/>
      <c r="X122" s="575"/>
      <c r="Y122" s="583"/>
      <c r="Z122" s="583"/>
      <c r="AA122" s="1110">
        <v>9.1300000000000008</v>
      </c>
      <c r="AB122" s="583"/>
      <c r="AC122" s="583"/>
      <c r="AD122" s="583"/>
      <c r="AE122" s="583"/>
      <c r="AF122" s="583"/>
      <c r="AG122" s="949"/>
      <c r="AH122" s="843"/>
      <c r="AI122" s="1065">
        <f t="shared" si="22"/>
        <v>26.12</v>
      </c>
      <c r="AJ122" s="843"/>
      <c r="AK122" s="949">
        <v>0</v>
      </c>
      <c r="AL122" s="581">
        <f t="shared" si="20"/>
        <v>26.12</v>
      </c>
      <c r="AM122" s="750" t="s">
        <v>1698</v>
      </c>
      <c r="AN122" s="743">
        <f t="shared" si="21"/>
        <v>7.8300000000000018</v>
      </c>
    </row>
    <row r="123" spans="1:40" s="782" customFormat="1">
      <c r="A123" s="492" t="s">
        <v>512</v>
      </c>
      <c r="B123" s="608" t="s">
        <v>1284</v>
      </c>
      <c r="C123" s="845"/>
      <c r="D123" s="741"/>
      <c r="E123" s="1011"/>
      <c r="F123" s="581"/>
      <c r="G123" s="581"/>
      <c r="H123" s="581"/>
      <c r="I123" s="949"/>
      <c r="J123" s="949"/>
      <c r="K123" s="949"/>
      <c r="L123" s="575"/>
      <c r="M123" s="581"/>
      <c r="N123" s="575"/>
      <c r="O123" s="809"/>
      <c r="P123" s="575"/>
      <c r="Q123" s="583"/>
      <c r="R123" s="583"/>
      <c r="S123" s="575"/>
      <c r="T123" s="581"/>
      <c r="U123" s="575"/>
      <c r="V123" s="575"/>
      <c r="W123" s="583"/>
      <c r="X123" s="575"/>
      <c r="Y123" s="583"/>
      <c r="Z123" s="583"/>
      <c r="AA123" s="581"/>
      <c r="AB123" s="583"/>
      <c r="AC123" s="583"/>
      <c r="AD123" s="583"/>
      <c r="AE123" s="583"/>
      <c r="AF123" s="583"/>
      <c r="AG123" s="949"/>
      <c r="AH123" s="842"/>
      <c r="AI123" s="738">
        <f t="shared" si="22"/>
        <v>0</v>
      </c>
      <c r="AJ123" s="843"/>
      <c r="AK123" s="777">
        <v>0</v>
      </c>
      <c r="AL123" s="778">
        <f t="shared" ref="AL123:AL128" si="23">AI123+AK123</f>
        <v>0</v>
      </c>
      <c r="AM123" s="901"/>
      <c r="AN123" s="781">
        <f t="shared" ref="AN123:AN128" si="24">AM123-AL123</f>
        <v>0</v>
      </c>
    </row>
    <row r="124" spans="1:40" s="560" customFormat="1">
      <c r="A124" s="607" t="s">
        <v>513</v>
      </c>
      <c r="B124" s="607" t="s">
        <v>1222</v>
      </c>
      <c r="C124" s="845"/>
      <c r="D124" s="741"/>
      <c r="E124" s="1011"/>
      <c r="F124" s="581"/>
      <c r="G124" s="581"/>
      <c r="H124" s="581"/>
      <c r="I124" s="949"/>
      <c r="J124" s="949"/>
      <c r="K124" s="949"/>
      <c r="L124" s="575"/>
      <c r="M124" s="581"/>
      <c r="N124" s="575"/>
      <c r="O124" s="809"/>
      <c r="P124" s="575"/>
      <c r="Q124" s="583"/>
      <c r="R124" s="583"/>
      <c r="S124" s="575"/>
      <c r="T124" s="581"/>
      <c r="U124" s="575"/>
      <c r="V124" s="575"/>
      <c r="W124" s="583"/>
      <c r="X124" s="575"/>
      <c r="Y124" s="583"/>
      <c r="Z124" s="583"/>
      <c r="AA124" s="581"/>
      <c r="AB124" s="583"/>
      <c r="AC124" s="583"/>
      <c r="AD124" s="583"/>
      <c r="AE124" s="583"/>
      <c r="AF124" s="583"/>
      <c r="AG124" s="949"/>
      <c r="AH124" s="842"/>
      <c r="AI124" s="738">
        <f t="shared" si="22"/>
        <v>0</v>
      </c>
      <c r="AJ124" s="843"/>
      <c r="AK124" s="949">
        <v>0</v>
      </c>
      <c r="AL124" s="581">
        <f t="shared" si="23"/>
        <v>0</v>
      </c>
      <c r="AM124" s="750"/>
      <c r="AN124" s="743">
        <f t="shared" si="24"/>
        <v>0</v>
      </c>
    </row>
    <row r="125" spans="1:40" s="560" customFormat="1">
      <c r="A125" s="604" t="s">
        <v>514</v>
      </c>
      <c r="B125" s="604" t="s">
        <v>1285</v>
      </c>
      <c r="C125" s="1041" t="s">
        <v>36</v>
      </c>
      <c r="D125" s="741"/>
      <c r="E125" s="1011"/>
      <c r="F125" s="581"/>
      <c r="G125" s="581"/>
      <c r="H125" s="581"/>
      <c r="I125" s="949"/>
      <c r="J125" s="949"/>
      <c r="K125" s="949"/>
      <c r="L125" s="583"/>
      <c r="M125" s="581"/>
      <c r="N125" s="583"/>
      <c r="O125" s="797"/>
      <c r="P125" s="583"/>
      <c r="Q125" s="1096">
        <f>2.7*1.1+1.4*0.77</f>
        <v>4.048</v>
      </c>
      <c r="R125" s="1096">
        <f>1.55*1.45+1.55*2.75</f>
        <v>6.51</v>
      </c>
      <c r="S125" s="1096">
        <f>1.7*2.4+1.3*2.8</f>
        <v>7.72</v>
      </c>
      <c r="T125" s="1110">
        <f>0.9*2.4+1.3*2.8</f>
        <v>5.8</v>
      </c>
      <c r="U125" s="575"/>
      <c r="V125" s="575"/>
      <c r="W125" s="583"/>
      <c r="X125" s="575"/>
      <c r="Y125" s="583"/>
      <c r="Z125" s="583"/>
      <c r="AA125" s="1110">
        <f>1.5*1.65+1.5*1.75</f>
        <v>5.0999999999999996</v>
      </c>
      <c r="AB125" s="1096">
        <f>1.62*1.85+1.62*2.8</f>
        <v>7.5329999999999995</v>
      </c>
      <c r="AC125" s="583"/>
      <c r="AD125" s="1096">
        <f>0.65*1.85+0.65*2.8</f>
        <v>3.0225</v>
      </c>
      <c r="AE125" s="1096">
        <f>0.65*1.85+0.65*2.8</f>
        <v>3.0225</v>
      </c>
      <c r="AF125" s="583"/>
      <c r="AG125" s="949"/>
      <c r="AH125" s="842"/>
      <c r="AI125" s="1065">
        <f t="shared" si="22"/>
        <v>42.76</v>
      </c>
      <c r="AJ125" s="843"/>
      <c r="AK125" s="949">
        <v>0</v>
      </c>
      <c r="AL125" s="581">
        <f t="shared" si="23"/>
        <v>42.76</v>
      </c>
      <c r="AM125" s="750" t="s">
        <v>1714</v>
      </c>
      <c r="AN125" s="743">
        <f t="shared" si="24"/>
        <v>197.22</v>
      </c>
    </row>
    <row r="126" spans="1:40" s="560" customFormat="1">
      <c r="A126" s="607" t="s">
        <v>963</v>
      </c>
      <c r="B126" s="607" t="s">
        <v>1225</v>
      </c>
      <c r="C126" s="845"/>
      <c r="D126" s="741"/>
      <c r="E126" s="1011"/>
      <c r="F126" s="581"/>
      <c r="G126" s="581"/>
      <c r="H126" s="581"/>
      <c r="I126" s="949"/>
      <c r="J126" s="949"/>
      <c r="K126" s="949"/>
      <c r="L126" s="575"/>
      <c r="M126" s="581"/>
      <c r="N126" s="575"/>
      <c r="O126" s="809"/>
      <c r="P126" s="575"/>
      <c r="Q126" s="583"/>
      <c r="R126" s="583"/>
      <c r="S126" s="575"/>
      <c r="T126" s="581"/>
      <c r="U126" s="575"/>
      <c r="V126" s="575"/>
      <c r="W126" s="583"/>
      <c r="X126" s="575"/>
      <c r="Y126" s="583"/>
      <c r="Z126" s="583"/>
      <c r="AA126" s="581"/>
      <c r="AB126" s="583"/>
      <c r="AC126" s="583"/>
      <c r="AD126" s="583"/>
      <c r="AE126" s="583"/>
      <c r="AF126" s="583"/>
      <c r="AG126" s="949"/>
      <c r="AH126" s="842"/>
      <c r="AI126" s="738">
        <f t="shared" si="22"/>
        <v>0</v>
      </c>
      <c r="AJ126" s="843"/>
      <c r="AK126" s="949">
        <v>0</v>
      </c>
      <c r="AL126" s="581">
        <f t="shared" si="23"/>
        <v>0</v>
      </c>
      <c r="AM126" s="750"/>
      <c r="AN126" s="743">
        <f t="shared" si="24"/>
        <v>0</v>
      </c>
    </row>
    <row r="127" spans="1:40" s="560" customFormat="1">
      <c r="A127" s="604" t="s">
        <v>964</v>
      </c>
      <c r="B127" s="604" t="s">
        <v>1286</v>
      </c>
      <c r="C127" s="1041" t="s">
        <v>36</v>
      </c>
      <c r="D127" s="741"/>
      <c r="E127" s="1011"/>
      <c r="F127" s="581"/>
      <c r="G127" s="581"/>
      <c r="H127" s="581"/>
      <c r="I127" s="949"/>
      <c r="L127" s="949"/>
      <c r="M127" s="581"/>
      <c r="N127" s="575"/>
      <c r="O127" s="809"/>
      <c r="P127" s="575"/>
      <c r="Q127" s="583"/>
      <c r="R127" s="583"/>
      <c r="S127" s="575"/>
      <c r="T127" s="581"/>
      <c r="U127" s="575"/>
      <c r="V127" s="575"/>
      <c r="W127" s="583"/>
      <c r="X127" s="575"/>
      <c r="AA127" s="581"/>
      <c r="AB127" s="583"/>
      <c r="AC127" s="583"/>
      <c r="AD127" s="583"/>
      <c r="AE127" s="583"/>
      <c r="AF127" s="583"/>
      <c r="AG127" s="949"/>
      <c r="AH127" s="753"/>
      <c r="AI127" s="738">
        <f t="shared" si="22"/>
        <v>0</v>
      </c>
      <c r="AJ127" s="843"/>
      <c r="AK127" s="949">
        <v>0</v>
      </c>
      <c r="AL127" s="581">
        <f t="shared" si="23"/>
        <v>0</v>
      </c>
      <c r="AM127" s="750" t="s">
        <v>1715</v>
      </c>
      <c r="AN127" s="743">
        <f t="shared" si="24"/>
        <v>117.85</v>
      </c>
    </row>
    <row r="128" spans="1:40" s="560" customFormat="1" ht="13.8" thickBot="1">
      <c r="A128" s="604" t="s">
        <v>965</v>
      </c>
      <c r="B128" s="604" t="s">
        <v>1287</v>
      </c>
      <c r="C128" s="1041" t="s">
        <v>36</v>
      </c>
      <c r="D128" s="741"/>
      <c r="E128" s="1011"/>
      <c r="F128" s="581"/>
      <c r="G128" s="581"/>
      <c r="H128" s="581"/>
      <c r="I128" s="949"/>
      <c r="J128" s="581"/>
      <c r="K128" s="581"/>
      <c r="L128" s="581"/>
      <c r="M128" s="581"/>
      <c r="N128" s="575"/>
      <c r="O128" s="809"/>
      <c r="P128" s="575"/>
      <c r="Q128" s="583"/>
      <c r="R128" s="583"/>
      <c r="S128" s="575"/>
      <c r="T128" s="581"/>
      <c r="U128" s="575"/>
      <c r="V128" s="575"/>
      <c r="W128" s="583"/>
      <c r="X128" s="575"/>
      <c r="Y128" s="1122">
        <f>2.74*6.25+9.25*0.1</f>
        <v>18.05</v>
      </c>
      <c r="Z128" s="1123">
        <f>3.25*2.7+0.3*3+0.3*3+0.52*2+0.52*2+1*2</f>
        <v>14.655000000000001</v>
      </c>
      <c r="AA128" s="1110">
        <f>0.27*3+0.55*2.8+0.65*2.8+0.27*3</f>
        <v>4.9800000000000004</v>
      </c>
      <c r="AB128" s="583"/>
      <c r="AC128" s="583"/>
      <c r="AD128" s="583"/>
      <c r="AE128" s="583"/>
      <c r="AF128" s="583"/>
      <c r="AG128" s="949"/>
      <c r="AH128" s="753"/>
      <c r="AI128" s="1065">
        <f t="shared" si="22"/>
        <v>37.69</v>
      </c>
      <c r="AJ128" s="843"/>
      <c r="AK128" s="949">
        <v>0</v>
      </c>
      <c r="AL128" s="581">
        <f t="shared" si="23"/>
        <v>37.69</v>
      </c>
      <c r="AM128" s="750" t="s">
        <v>1716</v>
      </c>
      <c r="AN128" s="743">
        <f t="shared" si="24"/>
        <v>28.25</v>
      </c>
    </row>
    <row r="129" spans="1:40" s="897" customFormat="1">
      <c r="A129" s="606" t="s">
        <v>474</v>
      </c>
      <c r="B129" s="606" t="s">
        <v>1313</v>
      </c>
      <c r="C129" s="845"/>
      <c r="D129" s="741"/>
      <c r="E129" s="1011"/>
      <c r="F129" s="581"/>
      <c r="G129" s="581"/>
      <c r="H129" s="581"/>
      <c r="I129" s="949"/>
      <c r="J129" s="949"/>
      <c r="K129" s="949"/>
      <c r="L129" s="575"/>
      <c r="M129" s="581"/>
      <c r="N129" s="575"/>
      <c r="O129" s="809"/>
      <c r="P129" s="575"/>
      <c r="Q129" s="583"/>
      <c r="R129" s="583"/>
      <c r="S129" s="575"/>
      <c r="T129" s="581"/>
      <c r="U129" s="575"/>
      <c r="V129" s="575"/>
      <c r="W129" s="583"/>
      <c r="X129" s="575"/>
      <c r="Y129" s="583"/>
      <c r="Z129" s="583"/>
      <c r="AA129" s="581"/>
      <c r="AB129" s="583"/>
      <c r="AC129" s="583"/>
      <c r="AD129" s="583"/>
      <c r="AE129" s="583"/>
      <c r="AF129" s="583"/>
      <c r="AG129" s="949"/>
      <c r="AH129" s="842"/>
      <c r="AI129" s="738">
        <f t="shared" ref="AI129:AI134" si="25">ROUND((SUM(E129:AH129)),2)</f>
        <v>0</v>
      </c>
      <c r="AJ129" s="843"/>
      <c r="AK129" s="890">
        <v>0</v>
      </c>
      <c r="AL129" s="889">
        <f t="shared" ref="AL129:AL137" si="26">AI129+AK129</f>
        <v>0</v>
      </c>
      <c r="AM129" s="902"/>
      <c r="AN129" s="896">
        <f t="shared" ref="AN129:AN137" si="27">AM129-AL129</f>
        <v>0</v>
      </c>
    </row>
    <row r="130" spans="1:40" s="560" customFormat="1">
      <c r="A130" s="492" t="s">
        <v>479</v>
      </c>
      <c r="B130" s="608" t="s">
        <v>1326</v>
      </c>
      <c r="C130" s="845"/>
      <c r="D130" s="741"/>
      <c r="E130" s="1011"/>
      <c r="F130" s="581"/>
      <c r="G130" s="581"/>
      <c r="H130" s="581"/>
      <c r="I130" s="949"/>
      <c r="J130" s="949"/>
      <c r="K130" s="949"/>
      <c r="L130" s="575"/>
      <c r="M130" s="581"/>
      <c r="N130" s="575"/>
      <c r="O130" s="809"/>
      <c r="P130" s="575"/>
      <c r="Q130" s="583"/>
      <c r="R130" s="583"/>
      <c r="S130" s="575"/>
      <c r="T130" s="581"/>
      <c r="U130" s="575"/>
      <c r="V130" s="575"/>
      <c r="W130" s="583"/>
      <c r="X130" s="575"/>
      <c r="Y130" s="583"/>
      <c r="Z130" s="583"/>
      <c r="AA130" s="581"/>
      <c r="AB130" s="583"/>
      <c r="AC130" s="583"/>
      <c r="AD130" s="583"/>
      <c r="AE130" s="583"/>
      <c r="AF130" s="583"/>
      <c r="AG130" s="949"/>
      <c r="AH130" s="842"/>
      <c r="AI130" s="738">
        <f t="shared" si="25"/>
        <v>0</v>
      </c>
      <c r="AJ130" s="843"/>
      <c r="AK130" s="949">
        <v>0</v>
      </c>
      <c r="AL130" s="581">
        <f t="shared" si="26"/>
        <v>0</v>
      </c>
      <c r="AM130" s="750"/>
      <c r="AN130" s="743">
        <f t="shared" si="27"/>
        <v>0</v>
      </c>
    </row>
    <row r="131" spans="1:40" s="560" customFormat="1">
      <c r="A131" s="607" t="s">
        <v>1017</v>
      </c>
      <c r="B131" s="607" t="s">
        <v>1336</v>
      </c>
      <c r="C131" s="1041" t="s">
        <v>1437</v>
      </c>
      <c r="D131" s="741"/>
      <c r="E131" s="1011"/>
      <c r="F131" s="581"/>
      <c r="G131" s="581"/>
      <c r="H131" s="581"/>
      <c r="I131" s="949"/>
      <c r="J131" s="949"/>
      <c r="K131" s="949"/>
      <c r="L131" s="575"/>
      <c r="M131" s="581"/>
      <c r="N131" s="575"/>
      <c r="O131" s="809"/>
      <c r="P131" s="575"/>
      <c r="Q131" s="583"/>
      <c r="R131" s="583"/>
      <c r="S131" s="575"/>
      <c r="T131" s="581"/>
      <c r="U131" s="575"/>
      <c r="V131" s="575"/>
      <c r="W131" s="583"/>
      <c r="X131" s="575"/>
      <c r="Y131" s="583"/>
      <c r="Z131" s="583"/>
      <c r="AA131" s="581"/>
      <c r="AB131" s="583"/>
      <c r="AC131" s="583"/>
      <c r="AD131" s="583"/>
      <c r="AE131" s="583"/>
      <c r="AF131" s="583"/>
      <c r="AG131" s="1092">
        <v>6</v>
      </c>
      <c r="AH131" s="842"/>
      <c r="AI131" s="1065">
        <f t="shared" si="25"/>
        <v>6</v>
      </c>
      <c r="AJ131" s="843"/>
      <c r="AK131" s="949">
        <v>0</v>
      </c>
      <c r="AL131" s="581">
        <f t="shared" si="26"/>
        <v>6</v>
      </c>
      <c r="AM131" s="750" t="s">
        <v>1603</v>
      </c>
      <c r="AN131" s="743">
        <f t="shared" si="27"/>
        <v>0</v>
      </c>
    </row>
    <row r="132" spans="1:40" s="560" customFormat="1">
      <c r="A132" s="492" t="s">
        <v>483</v>
      </c>
      <c r="B132" s="608" t="s">
        <v>1337</v>
      </c>
      <c r="C132" s="845"/>
      <c r="D132" s="741"/>
      <c r="E132" s="1011"/>
      <c r="F132" s="581"/>
      <c r="G132" s="581"/>
      <c r="H132" s="581"/>
      <c r="I132" s="949"/>
      <c r="J132" s="949"/>
      <c r="K132" s="949"/>
      <c r="L132" s="575"/>
      <c r="M132" s="581"/>
      <c r="N132" s="575"/>
      <c r="O132" s="809"/>
      <c r="P132" s="575"/>
      <c r="Q132" s="583"/>
      <c r="R132" s="583"/>
      <c r="S132" s="575"/>
      <c r="T132" s="581"/>
      <c r="U132" s="575"/>
      <c r="V132" s="575"/>
      <c r="W132" s="583"/>
      <c r="X132" s="575"/>
      <c r="Y132" s="583"/>
      <c r="Z132" s="583"/>
      <c r="AA132" s="581"/>
      <c r="AB132" s="583"/>
      <c r="AC132" s="583"/>
      <c r="AD132" s="583"/>
      <c r="AE132" s="583"/>
      <c r="AF132" s="583"/>
      <c r="AG132" s="949"/>
      <c r="AH132" s="842"/>
      <c r="AI132" s="738">
        <f t="shared" si="25"/>
        <v>0</v>
      </c>
      <c r="AJ132" s="843"/>
      <c r="AK132" s="949">
        <v>0</v>
      </c>
      <c r="AL132" s="581">
        <f t="shared" si="26"/>
        <v>0</v>
      </c>
      <c r="AM132" s="750"/>
      <c r="AN132" s="743">
        <f t="shared" si="27"/>
        <v>0</v>
      </c>
    </row>
    <row r="133" spans="1:40" s="560" customFormat="1">
      <c r="A133" s="607" t="s">
        <v>484</v>
      </c>
      <c r="B133" s="607" t="s">
        <v>1338</v>
      </c>
      <c r="C133" s="1041" t="s">
        <v>39</v>
      </c>
      <c r="D133" s="741"/>
      <c r="E133" s="1011"/>
      <c r="F133" s="581"/>
      <c r="G133" s="581"/>
      <c r="H133" s="581"/>
      <c r="I133" s="949"/>
      <c r="J133" s="949"/>
      <c r="K133" s="949"/>
      <c r="L133" s="575"/>
      <c r="M133" s="581"/>
      <c r="N133" s="575"/>
      <c r="O133" s="809"/>
      <c r="P133" s="575"/>
      <c r="Q133" s="583"/>
      <c r="R133" s="1096">
        <f>2*2*2.5</f>
        <v>10</v>
      </c>
      <c r="S133" s="575"/>
      <c r="T133" s="581"/>
      <c r="U133" s="575"/>
      <c r="V133" s="575"/>
      <c r="W133" s="583"/>
      <c r="X133" s="575"/>
      <c r="Y133" s="583"/>
      <c r="Z133" s="583"/>
      <c r="AA133" s="581"/>
      <c r="AB133" s="583"/>
      <c r="AC133" s="583"/>
      <c r="AD133" s="583"/>
      <c r="AE133" s="583"/>
      <c r="AF133" s="583"/>
      <c r="AG133" s="949"/>
      <c r="AH133" s="842"/>
      <c r="AI133" s="1065">
        <f t="shared" si="25"/>
        <v>10</v>
      </c>
      <c r="AJ133" s="843"/>
      <c r="AK133" s="949">
        <v>0</v>
      </c>
      <c r="AL133" s="581">
        <f t="shared" si="26"/>
        <v>10</v>
      </c>
      <c r="AM133" s="750" t="s">
        <v>1732</v>
      </c>
      <c r="AN133" s="743">
        <f t="shared" si="27"/>
        <v>8.0399999999999991</v>
      </c>
    </row>
    <row r="134" spans="1:40" s="560" customFormat="1">
      <c r="A134" s="607" t="s">
        <v>485</v>
      </c>
      <c r="B134" s="607" t="s">
        <v>1339</v>
      </c>
      <c r="C134" s="1041" t="s">
        <v>39</v>
      </c>
      <c r="D134" s="741"/>
      <c r="E134" s="1011"/>
      <c r="F134" s="581"/>
      <c r="G134" s="581"/>
      <c r="H134" s="581"/>
      <c r="I134" s="949"/>
      <c r="J134" s="949"/>
      <c r="K134" s="949"/>
      <c r="L134" s="575"/>
      <c r="M134" s="581"/>
      <c r="N134" s="575"/>
      <c r="O134" s="809"/>
      <c r="P134" s="575"/>
      <c r="Q134" s="583"/>
      <c r="R134" s="1096">
        <v>10</v>
      </c>
      <c r="S134" s="575"/>
      <c r="T134" s="581"/>
      <c r="U134" s="575"/>
      <c r="V134" s="575"/>
      <c r="W134" s="583"/>
      <c r="X134" s="575"/>
      <c r="Y134" s="583"/>
      <c r="Z134" s="583"/>
      <c r="AA134" s="581"/>
      <c r="AB134" s="583"/>
      <c r="AC134" s="583"/>
      <c r="AD134" s="583"/>
      <c r="AE134" s="583"/>
      <c r="AF134" s="583"/>
      <c r="AG134" s="949"/>
      <c r="AH134" s="842"/>
      <c r="AI134" s="1065">
        <f t="shared" si="25"/>
        <v>10</v>
      </c>
      <c r="AJ134" s="843"/>
      <c r="AK134" s="949">
        <v>0</v>
      </c>
      <c r="AL134" s="581">
        <f t="shared" si="26"/>
        <v>10</v>
      </c>
      <c r="AM134" s="750" t="s">
        <v>1732</v>
      </c>
      <c r="AN134" s="743">
        <f t="shared" si="27"/>
        <v>8.0399999999999991</v>
      </c>
    </row>
    <row r="135" spans="1:40" s="560" customFormat="1">
      <c r="A135" s="492" t="s">
        <v>1025</v>
      </c>
      <c r="B135" s="608" t="s">
        <v>1356</v>
      </c>
      <c r="C135" s="1041"/>
      <c r="D135" s="741"/>
      <c r="E135" s="1011"/>
      <c r="F135" s="581"/>
      <c r="G135" s="581"/>
      <c r="H135" s="581"/>
      <c r="I135" s="949"/>
      <c r="J135" s="949"/>
      <c r="K135" s="949"/>
      <c r="L135" s="575"/>
      <c r="M135" s="581"/>
      <c r="N135" s="575"/>
      <c r="O135" s="809"/>
      <c r="P135" s="575"/>
      <c r="Q135" s="583"/>
      <c r="R135" s="583"/>
      <c r="S135" s="575"/>
      <c r="T135" s="581"/>
      <c r="U135" s="575"/>
      <c r="V135" s="575"/>
      <c r="W135" s="583"/>
      <c r="X135" s="575"/>
      <c r="Y135" s="583"/>
      <c r="Z135" s="583"/>
      <c r="AA135" s="581"/>
      <c r="AB135" s="583"/>
      <c r="AC135" s="583"/>
      <c r="AD135" s="583"/>
      <c r="AE135" s="583"/>
      <c r="AF135" s="583"/>
      <c r="AG135" s="949"/>
      <c r="AH135" s="842"/>
      <c r="AI135" s="738">
        <f t="shared" ref="AI135:AI138" si="28">ROUND((SUM(E135:AH135)),2)</f>
        <v>0</v>
      </c>
      <c r="AJ135" s="843"/>
      <c r="AK135" s="949">
        <v>0</v>
      </c>
      <c r="AL135" s="581">
        <f t="shared" si="26"/>
        <v>0</v>
      </c>
      <c r="AM135" s="750"/>
      <c r="AN135" s="743">
        <f t="shared" si="27"/>
        <v>0</v>
      </c>
    </row>
    <row r="136" spans="1:40" s="560" customFormat="1">
      <c r="A136" s="607" t="s">
        <v>1028</v>
      </c>
      <c r="B136" s="607" t="s">
        <v>1359</v>
      </c>
      <c r="C136" s="1041" t="s">
        <v>36</v>
      </c>
      <c r="D136" s="741"/>
      <c r="E136" s="1011"/>
      <c r="F136" s="581"/>
      <c r="G136" s="581"/>
      <c r="H136" s="581"/>
      <c r="I136" s="949"/>
      <c r="J136" s="949"/>
      <c r="K136" s="949"/>
      <c r="L136" s="575"/>
      <c r="M136" s="581"/>
      <c r="N136" s="575"/>
      <c r="O136" s="809"/>
      <c r="P136" s="575"/>
      <c r="Q136" s="583"/>
      <c r="R136" s="583"/>
      <c r="S136" s="575"/>
      <c r="T136" s="581"/>
      <c r="U136" s="575"/>
      <c r="V136" s="575"/>
      <c r="W136" s="583"/>
      <c r="X136" s="575"/>
      <c r="Y136" s="583"/>
      <c r="Z136" s="583"/>
      <c r="AA136" s="581"/>
      <c r="AB136" s="583"/>
      <c r="AC136" s="583"/>
      <c r="AD136" s="583"/>
      <c r="AE136" s="1096">
        <f>2.2*0.25*3+3.85*0.25*3</f>
        <v>4.5375000000000005</v>
      </c>
      <c r="AF136" s="583"/>
      <c r="AG136" s="949"/>
      <c r="AH136" s="842"/>
      <c r="AI136" s="1065">
        <f t="shared" si="28"/>
        <v>4.54</v>
      </c>
      <c r="AJ136" s="843"/>
      <c r="AK136" s="949">
        <v>0</v>
      </c>
      <c r="AL136" s="581">
        <f t="shared" si="26"/>
        <v>4.54</v>
      </c>
      <c r="AM136" s="750" t="s">
        <v>1740</v>
      </c>
      <c r="AN136" s="743">
        <f t="shared" si="27"/>
        <v>30.660000000000004</v>
      </c>
    </row>
    <row r="137" spans="1:40" s="560" customFormat="1">
      <c r="A137" s="607" t="s">
        <v>1029</v>
      </c>
      <c r="B137" s="607" t="s">
        <v>1360</v>
      </c>
      <c r="C137" s="1041" t="s">
        <v>39</v>
      </c>
      <c r="D137" s="741"/>
      <c r="E137" s="1011"/>
      <c r="F137" s="581"/>
      <c r="G137" s="581"/>
      <c r="H137" s="581"/>
      <c r="I137" s="949"/>
      <c r="J137" s="949"/>
      <c r="K137" s="949"/>
      <c r="L137" s="575"/>
      <c r="M137" s="581"/>
      <c r="N137" s="575"/>
      <c r="O137" s="809"/>
      <c r="P137" s="575"/>
      <c r="Q137" s="583"/>
      <c r="R137" s="583"/>
      <c r="S137" s="575"/>
      <c r="T137" s="581"/>
      <c r="U137" s="575"/>
      <c r="V137" s="575"/>
      <c r="W137" s="583"/>
      <c r="X137" s="575"/>
      <c r="Y137" s="583"/>
      <c r="Z137" s="583"/>
      <c r="AA137" s="581"/>
      <c r="AB137" s="583"/>
      <c r="AC137" s="583"/>
      <c r="AD137" s="583"/>
      <c r="AE137" s="1096">
        <f>2.2*0.25*0.25+3.85*0.25*0.25</f>
        <v>0.37812500000000004</v>
      </c>
      <c r="AF137" s="583"/>
      <c r="AG137" s="949"/>
      <c r="AH137" s="842"/>
      <c r="AI137" s="1065">
        <f t="shared" si="28"/>
        <v>0.38</v>
      </c>
      <c r="AJ137" s="843"/>
      <c r="AK137" s="949">
        <v>0</v>
      </c>
      <c r="AL137" s="581">
        <f t="shared" si="26"/>
        <v>0.38</v>
      </c>
      <c r="AM137" s="750" t="s">
        <v>1741</v>
      </c>
      <c r="AN137" s="743">
        <f t="shared" si="27"/>
        <v>0.94000000000000006</v>
      </c>
    </row>
    <row r="138" spans="1:40" s="560" customFormat="1" ht="13.8" thickBot="1">
      <c r="A138" s="607" t="s">
        <v>1030</v>
      </c>
      <c r="B138" s="607" t="s">
        <v>1361</v>
      </c>
      <c r="C138" s="1041" t="s">
        <v>47</v>
      </c>
      <c r="D138" s="741"/>
      <c r="E138" s="1011"/>
      <c r="F138" s="581"/>
      <c r="G138" s="581"/>
      <c r="H138" s="581"/>
      <c r="I138" s="949"/>
      <c r="J138" s="949"/>
      <c r="K138" s="949"/>
      <c r="L138" s="575"/>
      <c r="M138" s="581"/>
      <c r="N138" s="575"/>
      <c r="O138" s="809"/>
      <c r="P138" s="575"/>
      <c r="Q138" s="583"/>
      <c r="R138" s="583"/>
      <c r="S138" s="575"/>
      <c r="T138" s="581"/>
      <c r="U138" s="575"/>
      <c r="V138" s="575"/>
      <c r="W138" s="583"/>
      <c r="X138" s="575"/>
      <c r="Y138" s="583"/>
      <c r="Z138" s="583"/>
      <c r="AA138" s="581"/>
      <c r="AB138" s="583"/>
      <c r="AC138" s="583"/>
      <c r="AD138" s="583"/>
      <c r="AE138" s="1096">
        <f>2*9*0.99</f>
        <v>17.82</v>
      </c>
      <c r="AF138" s="583"/>
      <c r="AG138" s="949"/>
      <c r="AH138" s="842"/>
      <c r="AI138" s="1065">
        <f t="shared" si="28"/>
        <v>17.82</v>
      </c>
      <c r="AJ138" s="843"/>
      <c r="AK138" s="949">
        <v>0</v>
      </c>
      <c r="AL138" s="581">
        <f t="shared" ref="AL138" si="29">AI138+AK138</f>
        <v>17.82</v>
      </c>
      <c r="AM138" s="750" t="s">
        <v>1742</v>
      </c>
      <c r="AN138" s="743">
        <f t="shared" ref="AN138" si="30">AM138-AL138</f>
        <v>96.580000000000013</v>
      </c>
    </row>
    <row r="139" spans="1:40" ht="13.8" thickBot="1">
      <c r="A139" s="622"/>
      <c r="B139" s="623" t="s">
        <v>1</v>
      </c>
      <c r="C139" s="592"/>
      <c r="D139" s="847"/>
      <c r="E139" s="847"/>
      <c r="F139" s="847"/>
      <c r="G139" s="848"/>
      <c r="H139" s="848"/>
      <c r="I139" s="847"/>
      <c r="J139" s="848"/>
      <c r="K139" s="848"/>
      <c r="L139" s="844"/>
      <c r="M139" s="847"/>
      <c r="N139" s="844"/>
      <c r="O139" s="851"/>
      <c r="P139" s="844"/>
      <c r="Q139" s="1119"/>
      <c r="R139" s="1119"/>
      <c r="S139" s="844"/>
      <c r="T139" s="847"/>
      <c r="U139" s="844"/>
      <c r="V139" s="844"/>
      <c r="W139" s="1119"/>
      <c r="X139" s="844"/>
      <c r="Y139" s="1119"/>
      <c r="Z139" s="1119"/>
      <c r="AA139" s="847"/>
      <c r="AB139" s="1119"/>
      <c r="AC139" s="1119"/>
      <c r="AD139" s="1119"/>
      <c r="AE139" s="1119"/>
      <c r="AF139" s="1119"/>
      <c r="AG139" s="1119"/>
      <c r="AH139" s="844"/>
      <c r="AI139" s="738">
        <f t="shared" ref="AI139" si="31">ROUND((SUM(D139:AH139)),2)</f>
        <v>0</v>
      </c>
      <c r="AJ139" s="843"/>
      <c r="AK139" s="745"/>
      <c r="AL139" s="745"/>
      <c r="AM139" s="751">
        <f>AL139/10</f>
        <v>0</v>
      </c>
      <c r="AN139" s="743">
        <f t="shared" ref="AN139" si="32">AM139-AL139</f>
        <v>0</v>
      </c>
    </row>
    <row r="140" spans="1:40">
      <c r="A140" s="618" t="s">
        <v>287</v>
      </c>
    </row>
    <row r="142" spans="1:40">
      <c r="B142" s="624" t="s">
        <v>1787</v>
      </c>
      <c r="C142" s="596"/>
    </row>
    <row r="143" spans="1:40">
      <c r="B143" s="624" t="s">
        <v>288</v>
      </c>
      <c r="C143" s="596"/>
    </row>
    <row r="144" spans="1:40">
      <c r="B144" s="624"/>
      <c r="C144" s="596"/>
      <c r="L144" s="754"/>
      <c r="M144" s="754"/>
      <c r="N144" s="754"/>
      <c r="O144" s="852"/>
      <c r="P144" s="754"/>
      <c r="Q144" s="745"/>
      <c r="R144" s="859"/>
      <c r="S144" s="754"/>
      <c r="T144" s="754"/>
      <c r="U144" s="754"/>
      <c r="V144" s="754"/>
      <c r="W144" s="745"/>
      <c r="X144" s="754"/>
      <c r="Y144" s="859"/>
      <c r="Z144" s="745"/>
      <c r="AA144" s="745"/>
      <c r="AB144" s="745"/>
      <c r="AC144" s="745"/>
      <c r="AD144" s="859"/>
      <c r="AE144" s="745"/>
      <c r="AF144" s="859"/>
      <c r="AG144" s="1121"/>
      <c r="AH144" s="754"/>
      <c r="AI144" s="745"/>
      <c r="AJ144" s="745"/>
      <c r="AK144" s="745">
        <v>416.4</v>
      </c>
    </row>
    <row r="145" spans="1:38">
      <c r="B145" s="624"/>
      <c r="C145" s="596"/>
      <c r="L145" s="588" t="e">
        <f>#REF!-#REF!</f>
        <v>#REF!</v>
      </c>
      <c r="M145" s="588"/>
      <c r="N145" s="588"/>
      <c r="O145" s="779"/>
      <c r="P145" s="588"/>
      <c r="Q145" s="949"/>
      <c r="R145" s="777"/>
      <c r="S145" s="588"/>
      <c r="T145" s="588"/>
      <c r="U145" s="588"/>
      <c r="V145" s="588"/>
      <c r="W145" s="949"/>
      <c r="X145" s="588"/>
      <c r="Y145" s="777"/>
      <c r="Z145" s="949"/>
      <c r="AA145" s="949"/>
      <c r="AB145" s="949"/>
      <c r="AC145" s="949"/>
      <c r="AD145" s="777"/>
      <c r="AE145" s="949"/>
      <c r="AF145" s="777"/>
      <c r="AG145" s="825"/>
      <c r="AH145" s="588"/>
      <c r="AI145" s="949" t="e">
        <f>SUM(L145:L145)</f>
        <v>#REF!</v>
      </c>
      <c r="AJ145" s="949"/>
      <c r="AK145" s="949" t="e">
        <f>AK144-AI145</f>
        <v>#REF!</v>
      </c>
      <c r="AL145" s="557" t="s">
        <v>1810</v>
      </c>
    </row>
    <row r="146" spans="1:38">
      <c r="B146" s="624"/>
      <c r="C146" s="596"/>
    </row>
    <row r="160" spans="1:38" s="559" customFormat="1">
      <c r="A160" s="618"/>
      <c r="B160" s="618"/>
      <c r="D160" s="787"/>
      <c r="E160" s="557"/>
      <c r="F160" s="557"/>
      <c r="G160" s="557"/>
      <c r="H160" s="557"/>
      <c r="I160" s="557"/>
      <c r="J160" s="557"/>
      <c r="K160" s="787"/>
      <c r="L160" s="558"/>
      <c r="M160" s="558"/>
      <c r="N160" s="558"/>
      <c r="O160" s="808"/>
      <c r="P160" s="558"/>
      <c r="Q160" s="557"/>
      <c r="R160" s="787"/>
      <c r="S160" s="558"/>
      <c r="T160" s="558"/>
      <c r="U160" s="558"/>
      <c r="V160" s="558"/>
      <c r="W160" s="557"/>
      <c r="X160" s="558"/>
      <c r="Y160" s="787"/>
      <c r="Z160" s="557"/>
      <c r="AA160" s="557"/>
      <c r="AB160" s="557"/>
      <c r="AC160" s="557"/>
      <c r="AD160" s="787"/>
      <c r="AE160" s="557"/>
      <c r="AF160" s="787"/>
      <c r="AG160" s="1120"/>
      <c r="AH160" s="558"/>
      <c r="AI160" s="557"/>
      <c r="AJ160" s="557"/>
      <c r="AK160" s="557"/>
      <c r="AL160" s="557"/>
    </row>
  </sheetData>
  <mergeCells count="6">
    <mergeCell ref="A1:K1"/>
    <mergeCell ref="A2:K2"/>
    <mergeCell ref="B4:K4"/>
    <mergeCell ref="B5:K5"/>
    <mergeCell ref="A9:A10"/>
    <mergeCell ref="B9:B10"/>
  </mergeCells>
  <pageMargins left="0.7" right="0.7" top="0.75" bottom="0.75" header="0.3" footer="0.3"/>
  <pageSetup paperSize="9" scale="24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F21:G21"/>
  <sheetViews>
    <sheetView workbookViewId="0"/>
  </sheetViews>
  <sheetFormatPr baseColWidth="10" defaultRowHeight="13.2"/>
  <sheetData>
    <row r="21" spans="6:7">
      <c r="F21" s="940" t="s">
        <v>1967</v>
      </c>
      <c r="G21" s="804" t="s">
        <v>1881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M582"/>
  <sheetViews>
    <sheetView workbookViewId="0">
      <selection sqref="A1:K1"/>
    </sheetView>
  </sheetViews>
  <sheetFormatPr baseColWidth="10" defaultColWidth="11.44140625" defaultRowHeight="13.2"/>
  <cols>
    <col min="1" max="1" width="12.33203125" style="618" customWidth="1"/>
    <col min="2" max="2" width="99.33203125" style="616" customWidth="1"/>
    <col min="3" max="3" width="5" style="559" customWidth="1"/>
    <col min="4" max="4" width="7" style="557" customWidth="1"/>
    <col min="5" max="5" width="9.109375" style="557" customWidth="1"/>
    <col min="6" max="6" width="7" style="557" customWidth="1"/>
    <col min="7" max="7" width="7" style="787" customWidth="1"/>
    <col min="8" max="11" width="7" style="557" customWidth="1"/>
    <col min="12" max="13" width="7" style="558" customWidth="1"/>
    <col min="14" max="14" width="7" style="808" customWidth="1"/>
    <col min="15" max="20" width="7" style="558" customWidth="1"/>
    <col min="21" max="21" width="7" style="808" customWidth="1"/>
    <col min="22" max="22" width="7" style="558" customWidth="1"/>
    <col min="23" max="23" width="10.88671875" style="558" customWidth="1"/>
    <col min="24" max="24" width="9.44140625" style="558" customWidth="1"/>
    <col min="25" max="27" width="7" style="558" customWidth="1"/>
    <col min="28" max="28" width="7" style="808" customWidth="1"/>
    <col min="29" max="31" width="7" style="558" customWidth="1"/>
    <col min="32" max="32" width="7" style="814" customWidth="1"/>
    <col min="33" max="33" width="7" style="558" customWidth="1"/>
    <col min="34" max="34" width="7" style="558" hidden="1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</row>
    <row r="2" spans="1:39">
      <c r="A2" s="1539" t="s">
        <v>1788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</row>
    <row r="3" spans="1:39">
      <c r="A3" s="615"/>
    </row>
    <row r="4" spans="1:39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</row>
    <row r="5" spans="1:39" ht="12.75" customHeight="1">
      <c r="A5" s="617"/>
      <c r="B5" s="1541" t="e">
        <f>#REF!</f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</row>
    <row r="6" spans="1:39" ht="13.5" customHeight="1">
      <c r="B6" s="619"/>
      <c r="C6" s="561"/>
    </row>
    <row r="7" spans="1:39" ht="13.5" customHeight="1">
      <c r="B7" s="619"/>
      <c r="C7" s="561"/>
    </row>
    <row r="8" spans="1:39" ht="13.5" customHeight="1" thickBot="1">
      <c r="B8" s="619"/>
      <c r="C8" s="561"/>
      <c r="D8" s="1568"/>
      <c r="E8" s="1568"/>
      <c r="F8" s="1568"/>
      <c r="G8" s="1568"/>
      <c r="H8" s="1568"/>
      <c r="I8" s="1568"/>
      <c r="J8" s="1568"/>
      <c r="K8" s="1568"/>
      <c r="L8" s="1568"/>
      <c r="M8" s="1568"/>
      <c r="N8" s="1568"/>
      <c r="O8" s="1568"/>
      <c r="P8" s="1568"/>
      <c r="Q8" s="1568"/>
      <c r="R8" s="1568"/>
      <c r="S8" s="1568"/>
      <c r="T8" s="1568"/>
      <c r="U8" s="1568"/>
      <c r="V8" s="1568"/>
      <c r="W8" s="1568"/>
      <c r="X8" s="1568"/>
      <c r="Y8" s="1568"/>
      <c r="Z8" s="1568"/>
      <c r="AA8" s="1568"/>
      <c r="AB8" s="1568"/>
      <c r="AC8" s="1568"/>
      <c r="AD8" s="1568"/>
      <c r="AE8" s="1568"/>
      <c r="AF8" s="1568"/>
      <c r="AG8" s="1568"/>
      <c r="AH8" s="1568"/>
      <c r="AI8" s="1568"/>
    </row>
    <row r="9" spans="1:39" ht="13.8" thickBot="1">
      <c r="A9" s="1543" t="s">
        <v>284</v>
      </c>
      <c r="B9" s="1543" t="s">
        <v>19</v>
      </c>
      <c r="C9" s="562"/>
      <c r="D9" s="563">
        <v>1</v>
      </c>
      <c r="E9" s="563">
        <f>+D9+1</f>
        <v>2</v>
      </c>
      <c r="F9" s="563">
        <f t="shared" ref="F9:AH9" si="0">+E9+1</f>
        <v>3</v>
      </c>
      <c r="G9" s="788">
        <f t="shared" si="0"/>
        <v>4</v>
      </c>
      <c r="H9" s="563">
        <f t="shared" si="0"/>
        <v>5</v>
      </c>
      <c r="I9" s="563">
        <f t="shared" si="0"/>
        <v>6</v>
      </c>
      <c r="J9" s="563">
        <f t="shared" si="0"/>
        <v>7</v>
      </c>
      <c r="K9" s="563">
        <f t="shared" si="0"/>
        <v>8</v>
      </c>
      <c r="L9" s="563">
        <f t="shared" si="0"/>
        <v>9</v>
      </c>
      <c r="M9" s="563">
        <f t="shared" si="0"/>
        <v>10</v>
      </c>
      <c r="N9" s="788">
        <f t="shared" si="0"/>
        <v>11</v>
      </c>
      <c r="O9" s="563">
        <f t="shared" si="0"/>
        <v>12</v>
      </c>
      <c r="P9" s="563">
        <f t="shared" si="0"/>
        <v>13</v>
      </c>
      <c r="Q9" s="563">
        <f t="shared" si="0"/>
        <v>14</v>
      </c>
      <c r="R9" s="563">
        <f t="shared" si="0"/>
        <v>15</v>
      </c>
      <c r="S9" s="563">
        <f t="shared" si="0"/>
        <v>16</v>
      </c>
      <c r="T9" s="563">
        <f t="shared" si="0"/>
        <v>17</v>
      </c>
      <c r="U9" s="788">
        <f t="shared" si="0"/>
        <v>18</v>
      </c>
      <c r="V9" s="563">
        <f t="shared" si="0"/>
        <v>19</v>
      </c>
      <c r="W9" s="563">
        <f t="shared" si="0"/>
        <v>20</v>
      </c>
      <c r="X9" s="563">
        <f t="shared" si="0"/>
        <v>21</v>
      </c>
      <c r="Y9" s="563">
        <f t="shared" si="0"/>
        <v>22</v>
      </c>
      <c r="Z9" s="563">
        <f t="shared" si="0"/>
        <v>23</v>
      </c>
      <c r="AA9" s="563">
        <f t="shared" si="0"/>
        <v>24</v>
      </c>
      <c r="AB9" s="788">
        <f t="shared" si="0"/>
        <v>25</v>
      </c>
      <c r="AC9" s="563">
        <f t="shared" si="0"/>
        <v>26</v>
      </c>
      <c r="AD9" s="563">
        <f t="shared" si="0"/>
        <v>27</v>
      </c>
      <c r="AE9" s="563">
        <f t="shared" si="0"/>
        <v>28</v>
      </c>
      <c r="AF9" s="815">
        <f t="shared" si="0"/>
        <v>29</v>
      </c>
      <c r="AG9" s="563">
        <f t="shared" si="0"/>
        <v>30</v>
      </c>
      <c r="AH9" s="563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44"/>
      <c r="B10" s="1544"/>
      <c r="C10" s="567" t="s">
        <v>285</v>
      </c>
      <c r="D10" s="568" t="s">
        <v>291</v>
      </c>
      <c r="E10" s="568" t="s">
        <v>291</v>
      </c>
      <c r="F10" s="568" t="s">
        <v>291</v>
      </c>
      <c r="G10" s="789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568" t="s">
        <v>291</v>
      </c>
      <c r="N10" s="789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568" t="s">
        <v>291</v>
      </c>
      <c r="U10" s="789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568" t="s">
        <v>291</v>
      </c>
      <c r="AB10" s="789" t="s">
        <v>291</v>
      </c>
      <c r="AC10" s="568" t="s">
        <v>291</v>
      </c>
      <c r="AD10" s="568" t="s">
        <v>291</v>
      </c>
      <c r="AE10" s="568" t="s">
        <v>291</v>
      </c>
      <c r="AF10" s="816" t="s">
        <v>291</v>
      </c>
      <c r="AG10" s="568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579" customFormat="1">
      <c r="A11" s="767" t="s">
        <v>32</v>
      </c>
      <c r="B11" s="768" t="s">
        <v>1118</v>
      </c>
      <c r="C11" s="625"/>
      <c r="D11" s="571"/>
      <c r="E11" s="572"/>
      <c r="F11" s="572"/>
      <c r="G11" s="790"/>
      <c r="H11" s="572"/>
      <c r="I11" s="573"/>
      <c r="J11" s="573"/>
      <c r="K11" s="573"/>
      <c r="L11" s="575"/>
      <c r="M11" s="575"/>
      <c r="N11" s="809"/>
      <c r="O11" s="575"/>
      <c r="P11" s="575"/>
      <c r="Q11" s="575"/>
      <c r="R11" s="575"/>
      <c r="S11" s="575"/>
      <c r="T11" s="575"/>
      <c r="U11" s="809"/>
      <c r="V11" s="575"/>
      <c r="W11" s="575"/>
      <c r="X11" s="575"/>
      <c r="Y11" s="575"/>
      <c r="Z11" s="575"/>
      <c r="AA11" s="575"/>
      <c r="AB11" s="809"/>
      <c r="AC11" s="575"/>
      <c r="AD11" s="575"/>
      <c r="AE11" s="575"/>
      <c r="AF11" s="817"/>
      <c r="AG11" s="575"/>
      <c r="AH11" s="575"/>
      <c r="AI11" s="738">
        <f t="shared" ref="AI11:AI23" si="1">ROUND((SUM(D11:AG11)),2)</f>
        <v>0</v>
      </c>
      <c r="AJ11" s="582"/>
      <c r="AK11" s="581"/>
      <c r="AL11" s="747"/>
      <c r="AM11" s="744"/>
    </row>
    <row r="12" spans="1:39" s="560" customFormat="1">
      <c r="A12" s="769" t="s">
        <v>34</v>
      </c>
      <c r="B12" s="770" t="s">
        <v>1119</v>
      </c>
      <c r="C12" s="590"/>
      <c r="D12" s="580"/>
      <c r="E12" s="581"/>
      <c r="F12" s="581"/>
      <c r="G12" s="778"/>
      <c r="H12" s="581"/>
      <c r="I12" s="582"/>
      <c r="J12" s="582"/>
      <c r="K12" s="582"/>
      <c r="L12" s="575"/>
      <c r="M12" s="575"/>
      <c r="N12" s="809"/>
      <c r="O12" s="575"/>
      <c r="P12" s="575"/>
      <c r="Q12" s="575"/>
      <c r="R12" s="575"/>
      <c r="S12" s="575"/>
      <c r="T12" s="575"/>
      <c r="U12" s="809"/>
      <c r="V12" s="575"/>
      <c r="W12" s="575"/>
      <c r="X12" s="575"/>
      <c r="Y12" s="575"/>
      <c r="Z12" s="575"/>
      <c r="AA12" s="575"/>
      <c r="AB12" s="809"/>
      <c r="AC12" s="575"/>
      <c r="AD12" s="575"/>
      <c r="AE12" s="575"/>
      <c r="AF12" s="817"/>
      <c r="AG12" s="575"/>
      <c r="AH12" s="575"/>
      <c r="AI12" s="738">
        <f t="shared" si="1"/>
        <v>0</v>
      </c>
      <c r="AJ12" s="582"/>
      <c r="AK12" s="581"/>
      <c r="AL12" s="746"/>
      <c r="AM12" s="741"/>
    </row>
    <row r="13" spans="1:39" s="560" customFormat="1" ht="13.8">
      <c r="A13" s="772" t="s">
        <v>523</v>
      </c>
      <c r="B13" s="773" t="s">
        <v>1120</v>
      </c>
      <c r="C13" s="585" t="s">
        <v>63</v>
      </c>
      <c r="D13" s="580">
        <v>0.1</v>
      </c>
      <c r="E13" s="581">
        <v>0.1</v>
      </c>
      <c r="F13" s="581">
        <v>0.05</v>
      </c>
      <c r="G13" s="778"/>
      <c r="H13" s="581">
        <v>0.1</v>
      </c>
      <c r="I13" s="581">
        <v>0.1</v>
      </c>
      <c r="J13" s="581"/>
      <c r="K13" s="581"/>
      <c r="L13" s="810">
        <v>0.1</v>
      </c>
      <c r="M13" s="810">
        <v>0.05</v>
      </c>
      <c r="N13" s="809"/>
      <c r="O13" s="810">
        <v>0.1</v>
      </c>
      <c r="P13" s="810"/>
      <c r="Q13" s="810"/>
      <c r="R13" s="810"/>
      <c r="S13" s="810"/>
      <c r="T13" s="810"/>
      <c r="U13" s="809"/>
      <c r="V13" s="575"/>
      <c r="W13" s="575"/>
      <c r="X13" s="575"/>
      <c r="Y13" s="575"/>
      <c r="Z13" s="575"/>
      <c r="AA13" s="575"/>
      <c r="AB13" s="809"/>
      <c r="AC13" s="575"/>
      <c r="AD13" s="575"/>
      <c r="AE13" s="575"/>
      <c r="AF13" s="817"/>
      <c r="AG13" s="575"/>
      <c r="AH13" s="575"/>
      <c r="AI13" s="839">
        <f t="shared" si="1"/>
        <v>0.7</v>
      </c>
      <c r="AJ13" s="582">
        <v>0</v>
      </c>
      <c r="AK13" s="581">
        <f>AI13+AJ13</f>
        <v>0.7</v>
      </c>
      <c r="AL13" s="746" t="s">
        <v>1441</v>
      </c>
      <c r="AM13" s="743">
        <f>AL13-AK13</f>
        <v>0.30000000000000004</v>
      </c>
    </row>
    <row r="14" spans="1:39" s="560" customFormat="1" ht="13.8">
      <c r="A14" s="769" t="s">
        <v>531</v>
      </c>
      <c r="B14" s="771" t="s">
        <v>1128</v>
      </c>
      <c r="C14" s="585"/>
      <c r="D14" s="580"/>
      <c r="E14" s="581"/>
      <c r="F14" s="581"/>
      <c r="G14" s="778"/>
      <c r="H14" s="581"/>
      <c r="I14" s="582"/>
      <c r="J14" s="582"/>
      <c r="K14" s="582"/>
      <c r="L14" s="575"/>
      <c r="M14" s="575"/>
      <c r="N14" s="809"/>
      <c r="O14" s="575"/>
      <c r="P14" s="575" t="s">
        <v>1836</v>
      </c>
      <c r="Q14" s="575" t="s">
        <v>1836</v>
      </c>
      <c r="R14" s="575" t="s">
        <v>1836</v>
      </c>
      <c r="S14" s="575"/>
      <c r="T14" s="575"/>
      <c r="U14" s="809"/>
      <c r="V14" s="809" t="s">
        <v>1836</v>
      </c>
      <c r="W14" s="809" t="s">
        <v>1836</v>
      </c>
      <c r="X14" s="809" t="s">
        <v>1836</v>
      </c>
      <c r="Y14" s="809"/>
      <c r="Z14" s="809" t="s">
        <v>1836</v>
      </c>
      <c r="AA14" s="809" t="s">
        <v>1836</v>
      </c>
      <c r="AB14" s="809"/>
      <c r="AC14" s="809" t="s">
        <v>1836</v>
      </c>
      <c r="AD14" s="575"/>
      <c r="AE14" s="809" t="s">
        <v>1836</v>
      </c>
      <c r="AF14" s="817"/>
      <c r="AG14" s="575"/>
      <c r="AH14" s="575"/>
      <c r="AI14" s="738">
        <f t="shared" si="1"/>
        <v>0</v>
      </c>
      <c r="AJ14" s="582">
        <v>0</v>
      </c>
      <c r="AK14" s="581">
        <f t="shared" ref="AK14:AK23" si="2">AI14+AJ14</f>
        <v>0</v>
      </c>
      <c r="AL14" s="746"/>
      <c r="AM14" s="743">
        <f t="shared" ref="AM14:AM23" si="3">AL14-AK14</f>
        <v>0</v>
      </c>
    </row>
    <row r="15" spans="1:39" s="579" customFormat="1" ht="13.8">
      <c r="A15" s="772" t="s">
        <v>532</v>
      </c>
      <c r="B15" s="733" t="s">
        <v>1129</v>
      </c>
      <c r="C15" s="585" t="s">
        <v>63</v>
      </c>
      <c r="D15" s="586"/>
      <c r="E15" s="587"/>
      <c r="F15" s="587"/>
      <c r="G15" s="783"/>
      <c r="H15" s="807">
        <v>0.12</v>
      </c>
      <c r="I15" s="588"/>
      <c r="J15" s="588"/>
      <c r="K15" s="588"/>
      <c r="L15" s="575"/>
      <c r="M15" s="575"/>
      <c r="N15" s="809"/>
      <c r="O15" s="575"/>
      <c r="P15" s="575"/>
      <c r="Q15" s="575"/>
      <c r="R15" s="575"/>
      <c r="S15" s="575"/>
      <c r="T15" s="575"/>
      <c r="U15" s="809"/>
      <c r="V15" s="575"/>
      <c r="W15" s="575"/>
      <c r="X15" s="575"/>
      <c r="Y15" s="575"/>
      <c r="Z15" s="575"/>
      <c r="AA15" s="575"/>
      <c r="AB15" s="809"/>
      <c r="AC15" s="575"/>
      <c r="AD15" s="575"/>
      <c r="AE15" s="575"/>
      <c r="AF15" s="817"/>
      <c r="AG15" s="575"/>
      <c r="AH15" s="575"/>
      <c r="AI15" s="839">
        <f t="shared" si="1"/>
        <v>0.12</v>
      </c>
      <c r="AJ15" s="582">
        <v>0</v>
      </c>
      <c r="AK15" s="581">
        <f t="shared" si="2"/>
        <v>0.12</v>
      </c>
      <c r="AL15" s="747" t="s">
        <v>1441</v>
      </c>
      <c r="AM15" s="743">
        <f t="shared" si="3"/>
        <v>0.88</v>
      </c>
    </row>
    <row r="16" spans="1:39" s="560" customFormat="1" ht="13.8">
      <c r="A16" s="772" t="s">
        <v>533</v>
      </c>
      <c r="B16" s="733" t="s">
        <v>1130</v>
      </c>
      <c r="C16" s="585" t="s">
        <v>63</v>
      </c>
      <c r="D16" s="580"/>
      <c r="E16" s="581"/>
      <c r="F16" s="581"/>
      <c r="G16" s="778"/>
      <c r="H16" s="581"/>
      <c r="I16" s="582"/>
      <c r="J16" s="582"/>
      <c r="K16" s="582"/>
      <c r="L16" s="810">
        <v>0.1</v>
      </c>
      <c r="M16" s="575"/>
      <c r="N16" s="809"/>
      <c r="O16" s="575"/>
      <c r="P16" s="575"/>
      <c r="Q16" s="575"/>
      <c r="R16" s="575"/>
      <c r="S16" s="575"/>
      <c r="T16" s="575"/>
      <c r="U16" s="809"/>
      <c r="V16" s="575"/>
      <c r="W16" s="575"/>
      <c r="X16" s="575"/>
      <c r="Y16" s="575"/>
      <c r="Z16" s="575"/>
      <c r="AA16" s="575"/>
      <c r="AB16" s="809"/>
      <c r="AC16" s="575"/>
      <c r="AD16" s="575"/>
      <c r="AE16" s="575"/>
      <c r="AF16" s="817"/>
      <c r="AG16" s="575"/>
      <c r="AH16" s="575"/>
      <c r="AI16" s="839">
        <f t="shared" si="1"/>
        <v>0.1</v>
      </c>
      <c r="AJ16" s="582">
        <v>0</v>
      </c>
      <c r="AK16" s="581">
        <f t="shared" si="2"/>
        <v>0.1</v>
      </c>
      <c r="AL16" s="746" t="s">
        <v>1441</v>
      </c>
      <c r="AM16" s="743">
        <f t="shared" si="3"/>
        <v>0.9</v>
      </c>
    </row>
    <row r="17" spans="1:39" s="560" customFormat="1" ht="13.8">
      <c r="A17" s="769" t="s">
        <v>534</v>
      </c>
      <c r="B17" s="771" t="s">
        <v>1131</v>
      </c>
      <c r="C17" s="585"/>
      <c r="D17" s="580"/>
      <c r="E17" s="581"/>
      <c r="F17" s="581"/>
      <c r="G17" s="778"/>
      <c r="H17" s="581"/>
      <c r="I17" s="582"/>
      <c r="J17" s="582"/>
      <c r="K17" s="582"/>
      <c r="L17" s="575"/>
      <c r="M17" s="575"/>
      <c r="N17" s="809"/>
      <c r="O17" s="575"/>
      <c r="P17" s="575"/>
      <c r="Q17" s="575"/>
      <c r="R17" s="575"/>
      <c r="S17" s="575"/>
      <c r="T17" s="575"/>
      <c r="U17" s="809"/>
      <c r="V17" s="575"/>
      <c r="W17" s="575"/>
      <c r="X17" s="575"/>
      <c r="Y17" s="575"/>
      <c r="Z17" s="575"/>
      <c r="AA17" s="575"/>
      <c r="AB17" s="809"/>
      <c r="AC17" s="575"/>
      <c r="AD17" s="575"/>
      <c r="AE17" s="575"/>
      <c r="AF17" s="817"/>
      <c r="AG17" s="575"/>
      <c r="AH17" s="575"/>
      <c r="AI17" s="738">
        <f t="shared" si="1"/>
        <v>0</v>
      </c>
      <c r="AJ17" s="582">
        <v>0</v>
      </c>
      <c r="AK17" s="581">
        <f t="shared" si="2"/>
        <v>0</v>
      </c>
      <c r="AL17" s="746"/>
      <c r="AM17" s="743">
        <f t="shared" si="3"/>
        <v>0</v>
      </c>
    </row>
    <row r="18" spans="1:39" s="560" customFormat="1" ht="13.8">
      <c r="A18" s="772" t="s">
        <v>536</v>
      </c>
      <c r="B18" s="733" t="s">
        <v>1833</v>
      </c>
      <c r="C18" s="585" t="s">
        <v>36</v>
      </c>
      <c r="D18" s="580"/>
      <c r="E18" s="581"/>
      <c r="F18" s="581"/>
      <c r="G18" s="778"/>
      <c r="H18" s="581"/>
      <c r="I18" s="582"/>
      <c r="J18" s="582"/>
      <c r="K18" s="582"/>
      <c r="L18" s="575"/>
      <c r="M18" s="575"/>
      <c r="N18" s="809"/>
      <c r="O18" s="575"/>
      <c r="P18" s="575"/>
      <c r="Q18" s="575"/>
      <c r="R18" s="575"/>
      <c r="S18" s="575"/>
      <c r="T18" s="575"/>
      <c r="U18" s="809"/>
      <c r="V18" s="575"/>
      <c r="W18" s="575">
        <f>11.52*7.28</f>
        <v>83.865600000000001</v>
      </c>
      <c r="X18" s="810">
        <f>8*((3.733*3.0745)/(2))+3.0884*2.4294+4.98*3.09</f>
        <v>68.799592959999998</v>
      </c>
      <c r="Y18" s="575"/>
      <c r="Z18" s="575"/>
      <c r="AA18" s="575"/>
      <c r="AB18" s="809"/>
      <c r="AC18" s="575"/>
      <c r="AD18" s="575"/>
      <c r="AE18" s="575"/>
      <c r="AF18" s="817"/>
      <c r="AG18" s="575"/>
      <c r="AH18" s="575"/>
      <c r="AI18" s="839">
        <f t="shared" si="1"/>
        <v>152.66999999999999</v>
      </c>
      <c r="AJ18" s="582">
        <v>154.35</v>
      </c>
      <c r="AK18" s="581">
        <f>AI18+AJ18</f>
        <v>307.02</v>
      </c>
      <c r="AL18" s="746" t="s">
        <v>1442</v>
      </c>
      <c r="AM18" s="743">
        <f>AL18-AK18</f>
        <v>349.78</v>
      </c>
    </row>
    <row r="19" spans="1:39" s="560" customFormat="1" ht="13.8">
      <c r="A19" s="769" t="s">
        <v>537</v>
      </c>
      <c r="B19" s="771" t="s">
        <v>1133</v>
      </c>
      <c r="C19" s="585"/>
      <c r="D19" s="580"/>
      <c r="E19" s="581"/>
      <c r="F19" s="581"/>
      <c r="G19" s="778"/>
      <c r="H19" s="581"/>
      <c r="I19" s="582"/>
      <c r="J19" s="582"/>
      <c r="K19" s="582"/>
      <c r="L19" s="575"/>
      <c r="M19" s="575"/>
      <c r="N19" s="809"/>
      <c r="O19" s="575"/>
      <c r="P19" s="575"/>
      <c r="Q19" s="575"/>
      <c r="R19" s="575"/>
      <c r="S19" s="575"/>
      <c r="T19" s="575"/>
      <c r="U19" s="809"/>
      <c r="V19" s="575"/>
      <c r="W19" s="575"/>
      <c r="X19" s="575"/>
      <c r="Y19" s="575"/>
      <c r="Z19" s="575"/>
      <c r="AA19" s="575"/>
      <c r="AB19" s="809"/>
      <c r="AC19" s="575"/>
      <c r="AD19" s="575"/>
      <c r="AE19" s="575"/>
      <c r="AF19" s="817"/>
      <c r="AG19" s="575"/>
      <c r="AH19" s="575"/>
      <c r="AI19" s="738">
        <f t="shared" si="1"/>
        <v>0</v>
      </c>
      <c r="AJ19" s="582">
        <v>0</v>
      </c>
      <c r="AK19" s="581">
        <f t="shared" si="2"/>
        <v>0</v>
      </c>
      <c r="AL19" s="746"/>
      <c r="AM19" s="743">
        <f t="shared" si="3"/>
        <v>0</v>
      </c>
    </row>
    <row r="20" spans="1:39" s="560" customFormat="1" ht="13.8">
      <c r="A20" s="772" t="s">
        <v>539</v>
      </c>
      <c r="B20" s="733" t="s">
        <v>1135</v>
      </c>
      <c r="C20" s="585" t="s">
        <v>35</v>
      </c>
      <c r="D20" s="589"/>
      <c r="E20" s="582"/>
      <c r="F20" s="582"/>
      <c r="G20" s="777"/>
      <c r="H20" s="581"/>
      <c r="I20" s="777">
        <v>15</v>
      </c>
      <c r="J20" s="582"/>
      <c r="K20" s="582"/>
      <c r="L20" s="575"/>
      <c r="M20" s="575"/>
      <c r="N20" s="809"/>
      <c r="O20" s="575"/>
      <c r="P20" s="575"/>
      <c r="Q20" s="575"/>
      <c r="R20" s="575"/>
      <c r="S20" s="575"/>
      <c r="T20" s="575"/>
      <c r="U20" s="809"/>
      <c r="V20" s="575"/>
      <c r="W20" s="575"/>
      <c r="X20" s="575"/>
      <c r="Y20" s="575"/>
      <c r="Z20" s="575"/>
      <c r="AA20" s="575"/>
      <c r="AB20" s="809"/>
      <c r="AC20" s="575"/>
      <c r="AD20" s="575"/>
      <c r="AE20" s="575"/>
      <c r="AF20" s="817"/>
      <c r="AG20" s="575"/>
      <c r="AH20" s="575"/>
      <c r="AI20" s="839">
        <f t="shared" si="1"/>
        <v>15</v>
      </c>
      <c r="AJ20" s="582">
        <v>0</v>
      </c>
      <c r="AK20" s="581">
        <f t="shared" si="2"/>
        <v>15</v>
      </c>
      <c r="AL20" s="746" t="s">
        <v>1445</v>
      </c>
      <c r="AM20" s="743">
        <f t="shared" si="3"/>
        <v>15</v>
      </c>
    </row>
    <row r="21" spans="1:39" s="560" customFormat="1" ht="13.8">
      <c r="A21" s="772" t="s">
        <v>540</v>
      </c>
      <c r="B21" s="733" t="s">
        <v>1136</v>
      </c>
      <c r="C21" s="585" t="s">
        <v>63</v>
      </c>
      <c r="D21" s="589"/>
      <c r="E21" s="582"/>
      <c r="F21" s="582"/>
      <c r="G21" s="777"/>
      <c r="H21" s="581"/>
      <c r="I21" s="582">
        <v>0.5</v>
      </c>
      <c r="J21" s="582"/>
      <c r="K21" s="582"/>
      <c r="L21" s="575"/>
      <c r="M21" s="575"/>
      <c r="N21" s="809"/>
      <c r="O21" s="575"/>
      <c r="P21" s="575"/>
      <c r="Q21" s="575"/>
      <c r="R21" s="575"/>
      <c r="S21" s="575"/>
      <c r="T21" s="575"/>
      <c r="U21" s="809"/>
      <c r="V21" s="575"/>
      <c r="W21" s="575"/>
      <c r="X21" s="575"/>
      <c r="Y21" s="575"/>
      <c r="Z21" s="575"/>
      <c r="AA21" s="575"/>
      <c r="AB21" s="809"/>
      <c r="AC21" s="575"/>
      <c r="AD21" s="575"/>
      <c r="AE21" s="575"/>
      <c r="AF21" s="817"/>
      <c r="AG21" s="575"/>
      <c r="AH21" s="575"/>
      <c r="AI21" s="839">
        <f t="shared" si="1"/>
        <v>0.5</v>
      </c>
      <c r="AJ21" s="582">
        <v>0</v>
      </c>
      <c r="AK21" s="581">
        <f t="shared" si="2"/>
        <v>0.5</v>
      </c>
      <c r="AL21" s="746" t="s">
        <v>1441</v>
      </c>
      <c r="AM21" s="743">
        <f t="shared" si="3"/>
        <v>0.5</v>
      </c>
    </row>
    <row r="22" spans="1:39" s="782" customFormat="1" ht="13.8">
      <c r="A22" s="772" t="s">
        <v>541</v>
      </c>
      <c r="B22" s="733" t="s">
        <v>1137</v>
      </c>
      <c r="C22" s="734" t="s">
        <v>63</v>
      </c>
      <c r="D22" s="589"/>
      <c r="E22" s="582"/>
      <c r="F22" s="582"/>
      <c r="G22" s="777"/>
      <c r="H22" s="581"/>
      <c r="I22" s="582"/>
      <c r="J22" s="582"/>
      <c r="K22" s="582"/>
      <c r="L22" s="575"/>
      <c r="M22" s="575"/>
      <c r="N22" s="809"/>
      <c r="O22" s="575"/>
      <c r="P22" s="575"/>
      <c r="Q22" s="575"/>
      <c r="R22" s="575"/>
      <c r="S22" s="575"/>
      <c r="T22" s="575"/>
      <c r="U22" s="809"/>
      <c r="V22" s="575"/>
      <c r="W22" s="575"/>
      <c r="X22" s="575"/>
      <c r="Y22" s="575"/>
      <c r="Z22" s="575"/>
      <c r="AA22" s="575"/>
      <c r="AB22" s="809"/>
      <c r="AC22" s="575"/>
      <c r="AD22" s="810">
        <v>0.5</v>
      </c>
      <c r="AE22" s="575"/>
      <c r="AF22" s="817"/>
      <c r="AG22" s="575"/>
      <c r="AH22" s="575"/>
      <c r="AI22" s="839">
        <f t="shared" si="1"/>
        <v>0.5</v>
      </c>
      <c r="AJ22" s="777">
        <v>0</v>
      </c>
      <c r="AK22" s="778">
        <f t="shared" si="2"/>
        <v>0.5</v>
      </c>
      <c r="AL22" s="780" t="s">
        <v>1441</v>
      </c>
      <c r="AM22" s="781">
        <f t="shared" si="3"/>
        <v>0.5</v>
      </c>
    </row>
    <row r="23" spans="1:39" s="560" customFormat="1" ht="13.8">
      <c r="A23" s="769" t="s">
        <v>41</v>
      </c>
      <c r="B23" s="771" t="s">
        <v>1140</v>
      </c>
      <c r="C23" s="585"/>
      <c r="D23" s="580"/>
      <c r="E23" s="581"/>
      <c r="F23" s="581"/>
      <c r="G23" s="778"/>
      <c r="H23" s="581"/>
      <c r="I23" s="582"/>
      <c r="J23" s="582"/>
      <c r="K23" s="582"/>
      <c r="L23" s="575"/>
      <c r="M23" s="575"/>
      <c r="N23" s="809"/>
      <c r="O23" s="575"/>
      <c r="P23" s="575"/>
      <c r="Q23" s="575"/>
      <c r="R23" s="575"/>
      <c r="S23" s="575"/>
      <c r="T23" s="575"/>
      <c r="U23" s="809"/>
      <c r="V23" s="575"/>
      <c r="W23" s="575"/>
      <c r="X23" s="575"/>
      <c r="Y23" s="575"/>
      <c r="Z23" s="575"/>
      <c r="AA23" s="575"/>
      <c r="AB23" s="809"/>
      <c r="AC23" s="575"/>
      <c r="AD23" s="575"/>
      <c r="AE23" s="575"/>
      <c r="AF23" s="817"/>
      <c r="AG23" s="575"/>
      <c r="AH23" s="575"/>
      <c r="AI23" s="738">
        <f t="shared" si="1"/>
        <v>0</v>
      </c>
      <c r="AJ23" s="582">
        <v>0</v>
      </c>
      <c r="AK23" s="581">
        <f t="shared" si="2"/>
        <v>0</v>
      </c>
      <c r="AL23" s="746"/>
      <c r="AM23" s="743">
        <f t="shared" si="3"/>
        <v>0</v>
      </c>
    </row>
    <row r="24" spans="1:39" s="560" customFormat="1" ht="13.8">
      <c r="A24" s="769" t="s">
        <v>43</v>
      </c>
      <c r="B24" s="770" t="s">
        <v>1188</v>
      </c>
      <c r="C24" s="585"/>
      <c r="D24" s="580"/>
      <c r="E24" s="581"/>
      <c r="F24" s="581"/>
      <c r="G24" s="778"/>
      <c r="H24" s="581"/>
      <c r="I24" s="582"/>
      <c r="J24" s="582"/>
      <c r="K24" s="582"/>
      <c r="L24" s="575"/>
      <c r="M24" s="575"/>
      <c r="N24" s="809"/>
      <c r="O24" s="575"/>
      <c r="P24" s="575"/>
      <c r="Q24" s="575"/>
      <c r="R24" s="575"/>
      <c r="S24" s="575"/>
      <c r="T24" s="575"/>
      <c r="U24" s="809"/>
      <c r="V24" s="575"/>
      <c r="W24" s="575"/>
      <c r="X24" s="575"/>
      <c r="Y24" s="575"/>
      <c r="Z24" s="575"/>
      <c r="AA24" s="575"/>
      <c r="AB24" s="809"/>
      <c r="AC24" s="575"/>
      <c r="AD24" s="575"/>
      <c r="AE24" s="575"/>
      <c r="AF24" s="817"/>
      <c r="AG24" s="575"/>
      <c r="AH24" s="575"/>
      <c r="AI24" s="738">
        <f t="shared" ref="AI24:AI36" si="4">ROUND((SUM(D24:AG24)),2)</f>
        <v>0</v>
      </c>
      <c r="AJ24" s="582">
        <v>0</v>
      </c>
      <c r="AK24" s="581">
        <f t="shared" ref="AK24:AK38" si="5">AI24+AJ24</f>
        <v>0</v>
      </c>
      <c r="AL24" s="746"/>
      <c r="AM24" s="743">
        <f t="shared" ref="AM24:AM38" si="6">AL24-AK24</f>
        <v>0</v>
      </c>
    </row>
    <row r="25" spans="1:39" s="560" customFormat="1" ht="13.8">
      <c r="A25" s="604" t="s">
        <v>54</v>
      </c>
      <c r="B25" s="770" t="s">
        <v>1148</v>
      </c>
      <c r="C25" s="585"/>
      <c r="D25" s="580"/>
      <c r="E25" s="581"/>
      <c r="F25" s="581"/>
      <c r="G25" s="778"/>
      <c r="H25" s="581"/>
      <c r="I25" s="582"/>
      <c r="J25" s="582"/>
      <c r="K25" s="582"/>
      <c r="L25" s="575"/>
      <c r="M25" s="575"/>
      <c r="N25" s="809"/>
      <c r="O25" s="575"/>
      <c r="P25" s="575"/>
      <c r="Q25" s="575"/>
      <c r="R25" s="575"/>
      <c r="S25" s="575"/>
      <c r="T25" s="575"/>
      <c r="U25" s="809"/>
      <c r="V25" s="575"/>
      <c r="W25" s="575"/>
      <c r="X25" s="575"/>
      <c r="Y25" s="575"/>
      <c r="Z25" s="575"/>
      <c r="AA25" s="575"/>
      <c r="AB25" s="809"/>
      <c r="AC25" s="575"/>
      <c r="AD25" s="575"/>
      <c r="AE25" s="575"/>
      <c r="AF25" s="817"/>
      <c r="AG25" s="575"/>
      <c r="AH25" s="575"/>
      <c r="AI25" s="738">
        <f t="shared" si="4"/>
        <v>0</v>
      </c>
      <c r="AJ25" s="582">
        <v>0</v>
      </c>
      <c r="AK25" s="581">
        <f t="shared" si="5"/>
        <v>0</v>
      </c>
      <c r="AL25" s="746"/>
      <c r="AM25" s="743">
        <f t="shared" si="6"/>
        <v>0</v>
      </c>
    </row>
    <row r="26" spans="1:39" s="560" customFormat="1" ht="13.8">
      <c r="A26" s="772" t="s">
        <v>597</v>
      </c>
      <c r="B26" s="748" t="s">
        <v>1189</v>
      </c>
      <c r="C26" s="585" t="s">
        <v>36</v>
      </c>
      <c r="D26" s="580"/>
      <c r="E26" s="581"/>
      <c r="F26" s="581"/>
      <c r="G26" s="778"/>
      <c r="H26" s="581"/>
      <c r="I26" s="582"/>
      <c r="J26" s="582"/>
      <c r="K26" s="582"/>
      <c r="L26" s="575"/>
      <c r="M26" s="575"/>
      <c r="N26" s="809"/>
      <c r="O26" s="575"/>
      <c r="P26" s="741">
        <f>14*1.2*1.2</f>
        <v>20.16</v>
      </c>
      <c r="Q26" s="575"/>
      <c r="R26" s="575"/>
      <c r="S26" s="575"/>
      <c r="T26" s="575"/>
      <c r="U26" s="809"/>
      <c r="V26" s="741"/>
      <c r="W26" s="741"/>
      <c r="X26" s="741"/>
      <c r="Y26" s="741"/>
      <c r="Z26" s="741"/>
      <c r="AA26" s="741"/>
      <c r="AB26" s="828"/>
      <c r="AD26" s="741"/>
      <c r="AE26" s="583">
        <f>4*1.78*0.25+2*3.85*0.25+2*1.8*0.25+4*1.78*0.25</f>
        <v>6.3850000000000007</v>
      </c>
      <c r="AF26" s="817"/>
      <c r="AG26" s="575"/>
      <c r="AH26" s="575"/>
      <c r="AI26" s="839">
        <f t="shared" si="4"/>
        <v>26.55</v>
      </c>
      <c r="AJ26" s="582">
        <v>0</v>
      </c>
      <c r="AK26" s="581">
        <f t="shared" si="5"/>
        <v>26.55</v>
      </c>
      <c r="AL26" s="746" t="s">
        <v>1485</v>
      </c>
      <c r="AM26" s="743">
        <f t="shared" si="6"/>
        <v>0</v>
      </c>
    </row>
    <row r="27" spans="1:39" s="560" customFormat="1" ht="13.8">
      <c r="A27" s="772" t="s">
        <v>599</v>
      </c>
      <c r="B27" s="748" t="s">
        <v>1191</v>
      </c>
      <c r="C27" s="585" t="s">
        <v>39</v>
      </c>
      <c r="D27" s="580"/>
      <c r="E27" s="581"/>
      <c r="F27" s="581"/>
      <c r="G27" s="778"/>
      <c r="H27" s="581"/>
      <c r="I27" s="582"/>
      <c r="J27" s="582"/>
      <c r="K27" s="582"/>
      <c r="L27" s="575"/>
      <c r="M27" s="575"/>
      <c r="N27" s="809"/>
      <c r="O27" s="575"/>
      <c r="P27" s="575"/>
      <c r="Q27" s="575"/>
      <c r="R27" s="575"/>
      <c r="S27" s="575"/>
      <c r="T27" s="575"/>
      <c r="U27" s="809"/>
      <c r="V27" s="575"/>
      <c r="W27" s="575"/>
      <c r="X27" s="575"/>
      <c r="Y27" s="575"/>
      <c r="Z27" s="575"/>
      <c r="AA27" s="575"/>
      <c r="AB27" s="809"/>
      <c r="AC27" s="575"/>
      <c r="AD27" s="575"/>
      <c r="AE27" s="575"/>
      <c r="AF27" s="817"/>
      <c r="AG27" s="575"/>
      <c r="AH27" s="575"/>
      <c r="AI27" s="738">
        <f t="shared" si="4"/>
        <v>0</v>
      </c>
      <c r="AJ27" s="582">
        <v>0</v>
      </c>
      <c r="AK27" s="581">
        <f t="shared" si="5"/>
        <v>0</v>
      </c>
      <c r="AL27" s="746" t="s">
        <v>1487</v>
      </c>
      <c r="AM27" s="743">
        <f t="shared" si="6"/>
        <v>2.68</v>
      </c>
    </row>
    <row r="28" spans="1:39" s="560" customFormat="1" ht="13.8">
      <c r="A28" s="769" t="s">
        <v>602</v>
      </c>
      <c r="B28" s="770" t="s">
        <v>1155</v>
      </c>
      <c r="C28" s="585"/>
      <c r="D28" s="580"/>
      <c r="E28" s="581"/>
      <c r="F28" s="581"/>
      <c r="G28" s="778"/>
      <c r="H28" s="581"/>
      <c r="I28" s="582"/>
      <c r="J28" s="582"/>
      <c r="K28" s="582"/>
      <c r="L28" s="575"/>
      <c r="M28" s="575"/>
      <c r="N28" s="809"/>
      <c r="O28" s="575"/>
      <c r="P28" s="575"/>
      <c r="Q28" s="575"/>
      <c r="R28" s="575"/>
      <c r="S28" s="575"/>
      <c r="T28" s="575"/>
      <c r="U28" s="809"/>
      <c r="V28" s="575"/>
      <c r="W28" s="575"/>
      <c r="X28" s="575"/>
      <c r="Y28" s="575"/>
      <c r="Z28" s="575"/>
      <c r="AA28" s="575"/>
      <c r="AB28" s="809"/>
      <c r="AC28" s="575"/>
      <c r="AD28" s="575"/>
      <c r="AE28" s="575"/>
      <c r="AF28" s="817"/>
      <c r="AG28" s="575"/>
      <c r="AH28" s="575"/>
      <c r="AI28" s="738">
        <f t="shared" si="4"/>
        <v>0</v>
      </c>
      <c r="AJ28" s="582">
        <v>0</v>
      </c>
      <c r="AK28" s="581">
        <f t="shared" si="5"/>
        <v>0</v>
      </c>
      <c r="AL28" s="746"/>
      <c r="AM28" s="743">
        <f t="shared" si="6"/>
        <v>0</v>
      </c>
    </row>
    <row r="29" spans="1:39" s="560" customFormat="1" ht="13.8">
      <c r="A29" s="769" t="s">
        <v>603</v>
      </c>
      <c r="B29" s="770" t="s">
        <v>1156</v>
      </c>
      <c r="C29" s="585"/>
      <c r="D29" s="580"/>
      <c r="E29" s="581"/>
      <c r="F29" s="581"/>
      <c r="G29" s="778"/>
      <c r="H29" s="581"/>
      <c r="I29" s="582"/>
      <c r="J29" s="582"/>
      <c r="K29" s="582"/>
      <c r="L29" s="575"/>
      <c r="M29" s="575"/>
      <c r="N29" s="809"/>
      <c r="O29" s="575"/>
      <c r="P29" s="575"/>
      <c r="Q29" s="575"/>
      <c r="R29" s="575"/>
      <c r="S29" s="575"/>
      <c r="T29" s="575"/>
      <c r="U29" s="809"/>
      <c r="V29" s="575"/>
      <c r="W29" s="575"/>
      <c r="X29" s="575"/>
      <c r="Y29" s="575"/>
      <c r="Z29" s="575"/>
      <c r="AA29" s="575"/>
      <c r="AB29" s="809"/>
      <c r="AC29" s="575"/>
      <c r="AD29" s="575"/>
      <c r="AE29" s="575"/>
      <c r="AF29" s="817"/>
      <c r="AG29" s="575"/>
      <c r="AH29" s="575"/>
      <c r="AI29" s="738">
        <f t="shared" si="4"/>
        <v>0</v>
      </c>
      <c r="AJ29" s="582">
        <v>0</v>
      </c>
      <c r="AK29" s="581">
        <f t="shared" si="5"/>
        <v>0</v>
      </c>
      <c r="AL29" s="746"/>
      <c r="AM29" s="743">
        <f t="shared" si="6"/>
        <v>0</v>
      </c>
    </row>
    <row r="30" spans="1:39" s="560" customFormat="1" ht="13.8">
      <c r="A30" s="772" t="s">
        <v>604</v>
      </c>
      <c r="B30" s="748" t="s">
        <v>1192</v>
      </c>
      <c r="C30" s="591" t="s">
        <v>39</v>
      </c>
      <c r="D30" s="580"/>
      <c r="E30" s="581"/>
      <c r="F30" s="581"/>
      <c r="G30" s="778"/>
      <c r="H30" s="581"/>
      <c r="I30" s="582"/>
      <c r="J30" s="582"/>
      <c r="K30" s="582"/>
      <c r="L30" s="575"/>
      <c r="M30" s="575"/>
      <c r="N30" s="809"/>
      <c r="O30" s="575"/>
      <c r="P30" s="575"/>
      <c r="Q30" s="575"/>
      <c r="R30" s="575"/>
      <c r="S30" s="575"/>
      <c r="T30" s="575"/>
      <c r="U30" s="809"/>
      <c r="V30" s="575"/>
      <c r="W30" s="575"/>
      <c r="X30" s="575"/>
      <c r="Y30" s="575"/>
      <c r="Z30" s="575"/>
      <c r="AA30" s="575"/>
      <c r="AB30" s="809"/>
      <c r="AC30" s="575"/>
      <c r="AD30" s="582">
        <f>14*1.2*1.2*0.4</f>
        <v>8.0640000000000001</v>
      </c>
      <c r="AF30" s="817"/>
      <c r="AG30" s="575"/>
      <c r="AH30" s="575"/>
      <c r="AI30" s="839">
        <f t="shared" si="4"/>
        <v>8.06</v>
      </c>
      <c r="AJ30" s="582">
        <v>0</v>
      </c>
      <c r="AK30" s="581">
        <f t="shared" si="5"/>
        <v>8.06</v>
      </c>
      <c r="AL30" s="746" t="s">
        <v>1489</v>
      </c>
      <c r="AM30" s="743">
        <f t="shared" si="6"/>
        <v>0</v>
      </c>
    </row>
    <row r="31" spans="1:39" s="560" customFormat="1" ht="13.8">
      <c r="A31" s="772" t="s">
        <v>605</v>
      </c>
      <c r="B31" s="748" t="s">
        <v>1158</v>
      </c>
      <c r="C31" s="585" t="s">
        <v>47</v>
      </c>
      <c r="D31" s="580"/>
      <c r="E31" s="581"/>
      <c r="F31" s="581"/>
      <c r="G31" s="778"/>
      <c r="H31" s="581"/>
      <c r="I31" s="582"/>
      <c r="J31" s="582"/>
      <c r="K31" s="582"/>
      <c r="L31" s="575"/>
      <c r="M31" s="575"/>
      <c r="N31" s="809"/>
      <c r="O31" s="575"/>
      <c r="P31" s="575"/>
      <c r="Q31" s="575"/>
      <c r="R31" s="575"/>
      <c r="S31" s="575"/>
      <c r="T31" s="575"/>
      <c r="U31" s="809"/>
      <c r="V31" s="575"/>
      <c r="W31" s="575"/>
      <c r="X31" s="575"/>
      <c r="Y31" s="575"/>
      <c r="Z31" s="575"/>
      <c r="AA31" s="575"/>
      <c r="AB31" s="809"/>
      <c r="AC31" s="813">
        <v>337.22</v>
      </c>
      <c r="AD31" s="741"/>
      <c r="AE31" s="575"/>
      <c r="AF31" s="817"/>
      <c r="AG31" s="575"/>
      <c r="AH31" s="575"/>
      <c r="AI31" s="839">
        <f>ROUND((SUM(D31:AG31)),2)</f>
        <v>337.22</v>
      </c>
      <c r="AJ31" s="582">
        <v>0</v>
      </c>
      <c r="AK31" s="581">
        <f t="shared" si="5"/>
        <v>337.22</v>
      </c>
      <c r="AL31" s="746" t="s">
        <v>1490</v>
      </c>
      <c r="AM31" s="743">
        <f t="shared" si="6"/>
        <v>0</v>
      </c>
    </row>
    <row r="32" spans="1:39" s="560" customFormat="1" ht="13.8">
      <c r="A32" s="769" t="s">
        <v>606</v>
      </c>
      <c r="B32" s="770" t="s">
        <v>1159</v>
      </c>
      <c r="C32" s="591"/>
      <c r="D32" s="580"/>
      <c r="E32" s="581"/>
      <c r="F32" s="581"/>
      <c r="G32" s="778"/>
      <c r="H32" s="581"/>
      <c r="I32" s="582"/>
      <c r="J32" s="582"/>
      <c r="K32" s="582"/>
      <c r="L32" s="575"/>
      <c r="M32" s="575"/>
      <c r="N32" s="809"/>
      <c r="O32" s="575"/>
      <c r="P32" s="575"/>
      <c r="Q32" s="575"/>
      <c r="R32" s="575"/>
      <c r="S32" s="575"/>
      <c r="T32" s="575"/>
      <c r="U32" s="809"/>
      <c r="V32" s="575"/>
      <c r="W32" s="575"/>
      <c r="X32" s="575"/>
      <c r="Y32" s="575"/>
      <c r="Z32" s="575"/>
      <c r="AA32" s="575"/>
      <c r="AB32" s="809"/>
      <c r="AC32" s="575"/>
      <c r="AD32" s="575"/>
      <c r="AE32" s="575"/>
      <c r="AF32" s="817"/>
      <c r="AG32" s="575"/>
      <c r="AH32" s="575"/>
      <c r="AI32" s="738">
        <f t="shared" si="4"/>
        <v>0</v>
      </c>
      <c r="AJ32" s="582">
        <v>0</v>
      </c>
      <c r="AK32" s="581">
        <f t="shared" si="5"/>
        <v>0</v>
      </c>
      <c r="AL32" s="746"/>
      <c r="AM32" s="743">
        <f t="shared" si="6"/>
        <v>0</v>
      </c>
    </row>
    <row r="33" spans="1:39" s="560" customFormat="1" ht="13.8">
      <c r="A33" s="772" t="s">
        <v>609</v>
      </c>
      <c r="B33" s="748" t="s">
        <v>1162</v>
      </c>
      <c r="C33" s="585" t="s">
        <v>47</v>
      </c>
      <c r="D33" s="580"/>
      <c r="E33" s="581"/>
      <c r="F33" s="581"/>
      <c r="G33" s="778"/>
      <c r="H33" s="581"/>
      <c r="I33" s="582"/>
      <c r="J33" s="582"/>
      <c r="K33" s="582"/>
      <c r="L33" s="575"/>
      <c r="M33" s="575"/>
      <c r="N33" s="809"/>
      <c r="O33" s="575"/>
      <c r="P33" s="575"/>
      <c r="Q33" s="575"/>
      <c r="R33" s="575"/>
      <c r="S33" s="575"/>
      <c r="T33" s="575"/>
      <c r="U33" s="809"/>
      <c r="V33" s="575"/>
      <c r="W33" s="575"/>
      <c r="X33" s="575"/>
      <c r="Y33" s="575"/>
      <c r="Z33" s="575"/>
      <c r="AA33" s="575"/>
      <c r="AB33" s="809"/>
      <c r="AC33" s="575"/>
      <c r="AD33" s="575"/>
      <c r="AE33" s="575"/>
      <c r="AF33" s="817"/>
      <c r="AG33" s="583">
        <v>322.07</v>
      </c>
      <c r="AH33" s="575"/>
      <c r="AI33" s="839">
        <f t="shared" si="4"/>
        <v>322.07</v>
      </c>
      <c r="AJ33" s="582">
        <v>0</v>
      </c>
      <c r="AK33" s="581">
        <f t="shared" si="5"/>
        <v>322.07</v>
      </c>
      <c r="AL33" s="746" t="s">
        <v>1493</v>
      </c>
      <c r="AM33" s="743">
        <f t="shared" si="6"/>
        <v>0</v>
      </c>
    </row>
    <row r="34" spans="1:39" s="560" customFormat="1" ht="13.8">
      <c r="A34" s="769" t="s">
        <v>610</v>
      </c>
      <c r="B34" s="770" t="s">
        <v>1163</v>
      </c>
      <c r="C34" s="585"/>
      <c r="D34" s="580"/>
      <c r="E34" s="581"/>
      <c r="F34" s="581"/>
      <c r="G34" s="778"/>
      <c r="H34" s="581"/>
      <c r="I34" s="582"/>
      <c r="J34" s="582"/>
      <c r="K34" s="582"/>
      <c r="L34" s="575"/>
      <c r="M34" s="575"/>
      <c r="N34" s="809"/>
      <c r="O34" s="575"/>
      <c r="P34" s="575"/>
      <c r="Q34" s="575"/>
      <c r="R34" s="575"/>
      <c r="S34" s="575"/>
      <c r="T34" s="575"/>
      <c r="U34" s="809"/>
      <c r="V34" s="575"/>
      <c r="W34" s="575"/>
      <c r="X34" s="575"/>
      <c r="Y34" s="575"/>
      <c r="Z34" s="575"/>
      <c r="AA34" s="575"/>
      <c r="AB34" s="809"/>
      <c r="AC34" s="575"/>
      <c r="AD34" s="575"/>
      <c r="AE34" s="575"/>
      <c r="AF34" s="817"/>
      <c r="AG34" s="575"/>
      <c r="AH34" s="575"/>
      <c r="AI34" s="738">
        <f t="shared" si="4"/>
        <v>0</v>
      </c>
      <c r="AJ34" s="582">
        <v>0</v>
      </c>
      <c r="AK34" s="581">
        <f t="shared" si="5"/>
        <v>0</v>
      </c>
      <c r="AL34" s="746"/>
      <c r="AM34" s="743">
        <f t="shared" si="6"/>
        <v>0</v>
      </c>
    </row>
    <row r="35" spans="1:39" s="560" customFormat="1" ht="13.8">
      <c r="A35" s="772" t="s">
        <v>613</v>
      </c>
      <c r="B35" s="748" t="s">
        <v>1166</v>
      </c>
      <c r="C35" s="585" t="s">
        <v>47</v>
      </c>
      <c r="D35" s="580"/>
      <c r="E35" s="581"/>
      <c r="F35" s="581"/>
      <c r="G35" s="778"/>
      <c r="H35" s="581"/>
      <c r="I35" s="582"/>
      <c r="J35" s="582"/>
      <c r="K35" s="582"/>
      <c r="L35" s="575"/>
      <c r="M35" s="575"/>
      <c r="N35" s="809"/>
      <c r="O35" s="575"/>
      <c r="P35" s="575"/>
      <c r="Q35" s="575"/>
      <c r="R35" s="575"/>
      <c r="S35" s="575"/>
      <c r="T35" s="575"/>
      <c r="U35" s="809"/>
      <c r="V35" s="575"/>
      <c r="W35" s="575"/>
      <c r="X35" s="575"/>
      <c r="Y35" s="575"/>
      <c r="Z35" s="575"/>
      <c r="AA35" s="575"/>
      <c r="AB35" s="809"/>
      <c r="AC35" s="575"/>
      <c r="AD35" s="560">
        <f>215.2425*12</f>
        <v>2582.91</v>
      </c>
      <c r="AE35" s="810"/>
      <c r="AF35" s="819"/>
      <c r="AG35" s="575"/>
      <c r="AH35" s="575"/>
      <c r="AI35" s="839">
        <f t="shared" si="4"/>
        <v>2582.91</v>
      </c>
      <c r="AJ35" s="582">
        <v>0</v>
      </c>
      <c r="AK35" s="581">
        <f t="shared" si="5"/>
        <v>2582.91</v>
      </c>
      <c r="AL35" s="746" t="s">
        <v>1496</v>
      </c>
      <c r="AM35" s="743">
        <f t="shared" si="6"/>
        <v>0</v>
      </c>
    </row>
    <row r="36" spans="1:39" s="560" customFormat="1" ht="13.8">
      <c r="A36" s="769" t="s">
        <v>51</v>
      </c>
      <c r="B36" s="770" t="s">
        <v>1195</v>
      </c>
      <c r="C36" s="585"/>
      <c r="D36" s="580"/>
      <c r="E36" s="581"/>
      <c r="F36" s="581"/>
      <c r="G36" s="778"/>
      <c r="H36" s="581"/>
      <c r="I36" s="582"/>
      <c r="J36" s="582"/>
      <c r="K36" s="582"/>
      <c r="L36" s="575"/>
      <c r="M36" s="575"/>
      <c r="N36" s="809"/>
      <c r="O36" s="575"/>
      <c r="P36" s="575"/>
      <c r="Q36" s="575"/>
      <c r="R36" s="575"/>
      <c r="S36" s="575"/>
      <c r="T36" s="575"/>
      <c r="U36" s="809"/>
      <c r="V36" s="575"/>
      <c r="W36" s="575"/>
      <c r="X36" s="575"/>
      <c r="Y36" s="575"/>
      <c r="Z36" s="575"/>
      <c r="AA36" s="575"/>
      <c r="AB36" s="809"/>
      <c r="AC36" s="575"/>
      <c r="AD36" s="575"/>
      <c r="AE36" s="575"/>
      <c r="AF36" s="817"/>
      <c r="AG36" s="575"/>
      <c r="AH36" s="575"/>
      <c r="AI36" s="738">
        <f t="shared" si="4"/>
        <v>0</v>
      </c>
      <c r="AJ36" s="582">
        <v>0</v>
      </c>
      <c r="AK36" s="581">
        <f t="shared" si="5"/>
        <v>0</v>
      </c>
      <c r="AL36" s="746"/>
      <c r="AM36" s="743">
        <f t="shared" si="6"/>
        <v>0</v>
      </c>
    </row>
    <row r="37" spans="1:39" s="560" customFormat="1" ht="13.8">
      <c r="A37" s="769" t="s">
        <v>56</v>
      </c>
      <c r="B37" s="770" t="s">
        <v>1148</v>
      </c>
      <c r="C37" s="585"/>
      <c r="D37" s="580"/>
      <c r="E37" s="581"/>
      <c r="F37" s="581"/>
      <c r="G37" s="778"/>
      <c r="H37" s="581"/>
      <c r="I37" s="582"/>
      <c r="J37" s="582"/>
      <c r="K37" s="582"/>
      <c r="L37" s="575"/>
      <c r="M37" s="575"/>
      <c r="N37" s="809"/>
      <c r="O37" s="575"/>
      <c r="P37" s="575"/>
      <c r="Q37" s="575"/>
      <c r="R37" s="575"/>
      <c r="S37" s="575"/>
      <c r="T37" s="575"/>
      <c r="U37" s="809"/>
      <c r="V37" s="575"/>
      <c r="W37" s="575"/>
      <c r="X37" s="575"/>
      <c r="Y37" s="575"/>
      <c r="Z37" s="575"/>
      <c r="AA37" s="575"/>
      <c r="AB37" s="809"/>
      <c r="AC37" s="575"/>
      <c r="AD37" s="575"/>
      <c r="AE37" s="575"/>
      <c r="AF37" s="817"/>
      <c r="AG37" s="575"/>
      <c r="AH37" s="575"/>
      <c r="AI37" s="738">
        <f t="shared" ref="AI37:AI91" si="7">ROUND((SUM(D37:AG37)),2)</f>
        <v>0</v>
      </c>
      <c r="AJ37" s="582">
        <v>0</v>
      </c>
      <c r="AK37" s="581">
        <f t="shared" si="5"/>
        <v>0</v>
      </c>
      <c r="AL37" s="746"/>
      <c r="AM37" s="743">
        <f t="shared" si="6"/>
        <v>0</v>
      </c>
    </row>
    <row r="38" spans="1:39" s="579" customFormat="1">
      <c r="A38" s="772" t="s">
        <v>642</v>
      </c>
      <c r="B38" s="748" t="s">
        <v>1189</v>
      </c>
      <c r="C38" s="590" t="s">
        <v>36</v>
      </c>
      <c r="D38" s="586"/>
      <c r="E38" s="587"/>
      <c r="F38" s="587"/>
      <c r="G38" s="783"/>
      <c r="H38" s="587"/>
      <c r="I38" s="588"/>
      <c r="J38" s="588"/>
      <c r="K38" s="588"/>
      <c r="L38" s="575"/>
      <c r="M38" s="575"/>
      <c r="N38" s="809"/>
      <c r="O38" s="575"/>
      <c r="P38" s="575"/>
      <c r="Q38" s="575"/>
      <c r="R38" s="575"/>
      <c r="S38" s="575"/>
      <c r="T38" s="575"/>
      <c r="U38" s="809"/>
      <c r="V38" s="809">
        <f>11*1.2*1.2</f>
        <v>15.839999999999998</v>
      </c>
      <c r="W38" s="575"/>
      <c r="X38" s="575"/>
      <c r="Y38" s="575"/>
      <c r="Z38" s="575"/>
      <c r="AA38" s="575"/>
      <c r="AB38" s="809"/>
      <c r="AC38" s="575"/>
      <c r="AD38" s="810">
        <f>2*7.71*0.25+3*4.5*0.25</f>
        <v>7.23</v>
      </c>
      <c r="AE38" s="575"/>
      <c r="AF38" s="817"/>
      <c r="AG38" s="575"/>
      <c r="AH38" s="575"/>
      <c r="AI38" s="839">
        <f t="shared" si="7"/>
        <v>23.07</v>
      </c>
      <c r="AJ38" s="582">
        <v>0</v>
      </c>
      <c r="AK38" s="581">
        <f t="shared" si="5"/>
        <v>23.07</v>
      </c>
      <c r="AL38" s="747" t="s">
        <v>1516</v>
      </c>
      <c r="AM38" s="743">
        <f t="shared" si="6"/>
        <v>0</v>
      </c>
    </row>
    <row r="39" spans="1:39" s="560" customFormat="1" ht="13.8">
      <c r="A39" s="775" t="s">
        <v>647</v>
      </c>
      <c r="B39" s="776" t="s">
        <v>1155</v>
      </c>
      <c r="C39" s="628"/>
      <c r="D39" s="580"/>
      <c r="E39" s="581"/>
      <c r="F39" s="581"/>
      <c r="G39" s="778"/>
      <c r="H39" s="581"/>
      <c r="I39" s="582"/>
      <c r="J39" s="582"/>
      <c r="K39" s="582"/>
      <c r="L39" s="575"/>
      <c r="M39" s="575"/>
      <c r="N39" s="809"/>
      <c r="O39" s="575"/>
      <c r="P39" s="575"/>
      <c r="Q39" s="575"/>
      <c r="R39" s="575"/>
      <c r="S39" s="575"/>
      <c r="T39" s="575"/>
      <c r="U39" s="809"/>
      <c r="V39" s="575"/>
      <c r="W39" s="575"/>
      <c r="X39" s="575"/>
      <c r="Y39" s="575"/>
      <c r="Z39" s="575"/>
      <c r="AA39" s="575"/>
      <c r="AB39" s="809"/>
      <c r="AC39" s="575"/>
      <c r="AD39" s="575"/>
      <c r="AE39" s="575"/>
      <c r="AF39" s="817"/>
      <c r="AG39" s="575"/>
      <c r="AH39" s="575"/>
      <c r="AI39" s="738">
        <f t="shared" si="7"/>
        <v>0</v>
      </c>
      <c r="AJ39" s="582">
        <v>0</v>
      </c>
      <c r="AK39" s="581">
        <f t="shared" ref="AK39:AK94" si="8">AI39+AJ39</f>
        <v>0</v>
      </c>
      <c r="AL39" s="746"/>
      <c r="AM39" s="743">
        <f t="shared" ref="AM39:AM94" si="9">AL39-AK39</f>
        <v>0</v>
      </c>
    </row>
    <row r="40" spans="1:39" s="560" customFormat="1" ht="13.8">
      <c r="A40" s="775" t="s">
        <v>648</v>
      </c>
      <c r="B40" s="776" t="s">
        <v>1156</v>
      </c>
      <c r="C40" s="628"/>
      <c r="D40" s="580"/>
      <c r="E40" s="581"/>
      <c r="F40" s="581"/>
      <c r="G40" s="778"/>
      <c r="H40" s="581"/>
      <c r="I40" s="582"/>
      <c r="J40" s="582"/>
      <c r="K40" s="582"/>
      <c r="L40" s="575"/>
      <c r="M40" s="575"/>
      <c r="N40" s="809"/>
      <c r="O40" s="575"/>
      <c r="P40" s="575"/>
      <c r="Q40" s="575"/>
      <c r="R40" s="575"/>
      <c r="S40" s="575"/>
      <c r="T40" s="575"/>
      <c r="U40" s="809"/>
      <c r="V40" s="575"/>
      <c r="W40" s="575"/>
      <c r="X40" s="575"/>
      <c r="Y40" s="575"/>
      <c r="Z40" s="575"/>
      <c r="AA40" s="575"/>
      <c r="AB40" s="809"/>
      <c r="AC40" s="575"/>
      <c r="AD40" s="575"/>
      <c r="AE40" s="575"/>
      <c r="AF40" s="817"/>
      <c r="AG40" s="575"/>
      <c r="AH40" s="575"/>
      <c r="AI40" s="738">
        <f t="shared" si="7"/>
        <v>0</v>
      </c>
      <c r="AJ40" s="582">
        <v>0</v>
      </c>
      <c r="AK40" s="581">
        <f t="shared" si="8"/>
        <v>0</v>
      </c>
      <c r="AL40" s="746"/>
      <c r="AM40" s="743">
        <f t="shared" si="9"/>
        <v>0</v>
      </c>
    </row>
    <row r="41" spans="1:39" s="560" customFormat="1" ht="13.8">
      <c r="A41" s="774" t="s">
        <v>649</v>
      </c>
      <c r="B41" s="749" t="s">
        <v>1192</v>
      </c>
      <c r="C41" s="628" t="s">
        <v>39</v>
      </c>
      <c r="D41" s="580"/>
      <c r="E41" s="581"/>
      <c r="F41" s="581"/>
      <c r="G41" s="778"/>
      <c r="H41" s="581"/>
      <c r="I41" s="582"/>
      <c r="J41" s="582"/>
      <c r="K41" s="582"/>
      <c r="L41" s="575"/>
      <c r="M41" s="575"/>
      <c r="N41" s="809"/>
      <c r="O41" s="575"/>
      <c r="P41" s="575"/>
      <c r="Q41" s="575"/>
      <c r="R41" s="575"/>
      <c r="S41" s="575"/>
      <c r="T41" s="575"/>
      <c r="U41" s="809"/>
      <c r="V41" s="575"/>
      <c r="W41" s="575"/>
      <c r="X41" s="575"/>
      <c r="Y41" s="575"/>
      <c r="Z41" s="575"/>
      <c r="AA41" s="575"/>
      <c r="AB41" s="809"/>
      <c r="AC41" s="583">
        <f>11*1.2*1.2*0.4</f>
        <v>6.3359999999999994</v>
      </c>
      <c r="AD41" s="575"/>
      <c r="AE41" s="575"/>
      <c r="AF41" s="817"/>
      <c r="AG41" s="575"/>
      <c r="AH41" s="575"/>
      <c r="AI41" s="839">
        <f t="shared" si="7"/>
        <v>6.34</v>
      </c>
      <c r="AJ41" s="582">
        <v>0</v>
      </c>
      <c r="AK41" s="581">
        <f t="shared" si="8"/>
        <v>6.34</v>
      </c>
      <c r="AL41" s="746" t="s">
        <v>1520</v>
      </c>
      <c r="AM41" s="743">
        <f t="shared" si="9"/>
        <v>0</v>
      </c>
    </row>
    <row r="42" spans="1:39" s="560" customFormat="1" ht="13.8">
      <c r="A42" s="774" t="s">
        <v>650</v>
      </c>
      <c r="B42" s="749" t="s">
        <v>1158</v>
      </c>
      <c r="C42" s="628" t="s">
        <v>47</v>
      </c>
      <c r="D42" s="580"/>
      <c r="E42" s="581"/>
      <c r="F42" s="581"/>
      <c r="G42" s="778"/>
      <c r="H42" s="581"/>
      <c r="I42" s="582"/>
      <c r="J42" s="582"/>
      <c r="K42" s="582"/>
      <c r="L42" s="575"/>
      <c r="M42" s="575"/>
      <c r="N42" s="809"/>
      <c r="O42" s="575"/>
      <c r="P42" s="575"/>
      <c r="Q42" s="575"/>
      <c r="R42" s="575"/>
      <c r="S42" s="575"/>
      <c r="T42" s="575"/>
      <c r="U42" s="809"/>
      <c r="V42" s="575"/>
      <c r="W42" s="575"/>
      <c r="X42" s="575"/>
      <c r="Y42" s="575"/>
      <c r="Z42" s="810">
        <v>264.95999999999998</v>
      </c>
      <c r="AA42" s="575"/>
      <c r="AB42" s="809"/>
      <c r="AC42" s="575"/>
      <c r="AD42" s="575"/>
      <c r="AE42" s="575"/>
      <c r="AF42" s="817"/>
      <c r="AG42" s="575"/>
      <c r="AH42" s="575"/>
      <c r="AI42" s="839">
        <f t="shared" si="7"/>
        <v>264.95999999999998</v>
      </c>
      <c r="AJ42" s="582">
        <v>0</v>
      </c>
      <c r="AK42" s="581">
        <f t="shared" si="8"/>
        <v>264.95999999999998</v>
      </c>
      <c r="AL42" s="746" t="s">
        <v>1521</v>
      </c>
      <c r="AM42" s="743">
        <f t="shared" si="9"/>
        <v>0</v>
      </c>
    </row>
    <row r="43" spans="1:39" s="560" customFormat="1" ht="13.8">
      <c r="A43" s="775" t="s">
        <v>651</v>
      </c>
      <c r="B43" s="776" t="s">
        <v>1159</v>
      </c>
      <c r="C43" s="628"/>
      <c r="D43" s="580"/>
      <c r="E43" s="581"/>
      <c r="F43" s="581"/>
      <c r="G43" s="778"/>
      <c r="H43" s="581"/>
      <c r="I43" s="582"/>
      <c r="J43" s="582"/>
      <c r="K43" s="582"/>
      <c r="L43" s="575"/>
      <c r="M43" s="575"/>
      <c r="N43" s="809"/>
      <c r="O43" s="575"/>
      <c r="P43" s="575"/>
      <c r="Q43" s="575"/>
      <c r="R43" s="575"/>
      <c r="S43" s="575"/>
      <c r="T43" s="575"/>
      <c r="U43" s="809"/>
      <c r="V43" s="575"/>
      <c r="W43" s="575"/>
      <c r="X43" s="575"/>
      <c r="Y43" s="575"/>
      <c r="Z43" s="575"/>
      <c r="AA43" s="575"/>
      <c r="AB43" s="809"/>
      <c r="AC43" s="575"/>
      <c r="AD43" s="575"/>
      <c r="AE43" s="575"/>
      <c r="AF43" s="817"/>
      <c r="AG43" s="575"/>
      <c r="AH43" s="575"/>
      <c r="AI43" s="738">
        <f t="shared" si="7"/>
        <v>0</v>
      </c>
      <c r="AJ43" s="582">
        <v>0</v>
      </c>
      <c r="AK43" s="581">
        <f t="shared" si="8"/>
        <v>0</v>
      </c>
      <c r="AL43" s="746"/>
      <c r="AM43" s="743">
        <f t="shared" si="9"/>
        <v>0</v>
      </c>
    </row>
    <row r="44" spans="1:39" s="560" customFormat="1" ht="13.8">
      <c r="A44" s="774" t="s">
        <v>654</v>
      </c>
      <c r="B44" s="749" t="s">
        <v>1162</v>
      </c>
      <c r="C44" s="628" t="s">
        <v>47</v>
      </c>
      <c r="D44" s="580"/>
      <c r="E44" s="581"/>
      <c r="F44" s="581"/>
      <c r="G44" s="778"/>
      <c r="H44" s="581"/>
      <c r="I44" s="582"/>
      <c r="J44" s="582"/>
      <c r="K44" s="582"/>
      <c r="L44" s="575"/>
      <c r="M44" s="575"/>
      <c r="N44" s="809"/>
      <c r="O44" s="575"/>
      <c r="P44" s="575"/>
      <c r="Q44" s="575"/>
      <c r="R44" s="575"/>
      <c r="S44" s="575"/>
      <c r="T44" s="575"/>
      <c r="U44" s="809"/>
      <c r="V44" s="575"/>
      <c r="W44" s="575"/>
      <c r="X44" s="575"/>
      <c r="Y44" s="575"/>
      <c r="Z44" s="575"/>
      <c r="AA44" s="575"/>
      <c r="AB44" s="809"/>
      <c r="AC44" s="588"/>
      <c r="AD44" s="741"/>
      <c r="AE44" s="583">
        <v>365.33</v>
      </c>
      <c r="AF44" s="817"/>
      <c r="AG44" s="575"/>
      <c r="AH44" s="575"/>
      <c r="AI44" s="839">
        <f t="shared" si="7"/>
        <v>365.33</v>
      </c>
      <c r="AJ44" s="582">
        <v>0</v>
      </c>
      <c r="AK44" s="581">
        <f t="shared" si="8"/>
        <v>365.33</v>
      </c>
      <c r="AL44" s="746" t="s">
        <v>1524</v>
      </c>
      <c r="AM44" s="743">
        <f t="shared" si="9"/>
        <v>0</v>
      </c>
    </row>
    <row r="45" spans="1:39" s="560" customFormat="1" ht="13.8">
      <c r="A45" s="775" t="s">
        <v>655</v>
      </c>
      <c r="B45" s="776" t="s">
        <v>1163</v>
      </c>
      <c r="C45" s="628"/>
      <c r="D45" s="580"/>
      <c r="E45" s="581"/>
      <c r="F45" s="581"/>
      <c r="G45" s="778"/>
      <c r="H45" s="581"/>
      <c r="I45" s="582"/>
      <c r="J45" s="582"/>
      <c r="K45" s="582"/>
      <c r="L45" s="575"/>
      <c r="M45" s="575"/>
      <c r="N45" s="809"/>
      <c r="O45" s="575"/>
      <c r="P45" s="575"/>
      <c r="Q45" s="575"/>
      <c r="R45" s="575"/>
      <c r="S45" s="575"/>
      <c r="T45" s="575"/>
      <c r="U45" s="809"/>
      <c r="V45" s="575"/>
      <c r="W45" s="575"/>
      <c r="X45" s="575"/>
      <c r="Y45" s="575"/>
      <c r="Z45" s="575"/>
      <c r="AA45" s="575"/>
      <c r="AB45" s="809"/>
      <c r="AC45" s="575"/>
      <c r="AD45" s="575"/>
      <c r="AE45" s="575"/>
      <c r="AF45" s="817"/>
      <c r="AG45" s="575"/>
      <c r="AH45" s="575"/>
      <c r="AI45" s="738">
        <f t="shared" si="7"/>
        <v>0</v>
      </c>
      <c r="AJ45" s="582">
        <v>0</v>
      </c>
      <c r="AK45" s="581">
        <f t="shared" si="8"/>
        <v>0</v>
      </c>
      <c r="AL45" s="746"/>
      <c r="AM45" s="743">
        <f t="shared" si="9"/>
        <v>0</v>
      </c>
    </row>
    <row r="46" spans="1:39" s="560" customFormat="1" ht="13.8">
      <c r="A46" s="774" t="s">
        <v>658</v>
      </c>
      <c r="B46" s="749" t="s">
        <v>1166</v>
      </c>
      <c r="C46" s="628" t="s">
        <v>47</v>
      </c>
      <c r="D46" s="580"/>
      <c r="E46" s="581"/>
      <c r="F46" s="581"/>
      <c r="G46" s="778"/>
      <c r="H46" s="581"/>
      <c r="I46" s="582"/>
      <c r="J46" s="582"/>
      <c r="K46" s="582"/>
      <c r="L46" s="575"/>
      <c r="M46" s="575"/>
      <c r="N46" s="809"/>
      <c r="O46" s="575"/>
      <c r="P46" s="575"/>
      <c r="Q46" s="575"/>
      <c r="R46" s="575"/>
      <c r="S46" s="575"/>
      <c r="T46" s="575"/>
      <c r="U46" s="809"/>
      <c r="V46" s="575"/>
      <c r="W46" s="575"/>
      <c r="X46" s="575"/>
      <c r="Y46" s="575"/>
      <c r="Z46" s="583">
        <f>6*175.38</f>
        <v>1052.28</v>
      </c>
      <c r="AA46" s="583">
        <f>5*175.38</f>
        <v>876.9</v>
      </c>
      <c r="AB46" s="809"/>
      <c r="AC46" s="575"/>
      <c r="AD46" s="575"/>
      <c r="AE46" s="575"/>
      <c r="AF46" s="817"/>
      <c r="AG46" s="575"/>
      <c r="AH46" s="575"/>
      <c r="AI46" s="839">
        <f t="shared" si="7"/>
        <v>1929.18</v>
      </c>
      <c r="AJ46" s="582">
        <v>0</v>
      </c>
      <c r="AK46" s="581">
        <f t="shared" si="8"/>
        <v>1929.18</v>
      </c>
      <c r="AL46" s="746" t="s">
        <v>1527</v>
      </c>
      <c r="AM46" s="743">
        <f t="shared" si="9"/>
        <v>0</v>
      </c>
    </row>
    <row r="47" spans="1:39" s="560" customFormat="1" ht="13.8" hidden="1">
      <c r="A47" s="620" t="s">
        <v>659</v>
      </c>
      <c r="B47" s="621" t="s">
        <v>1167</v>
      </c>
      <c r="C47" s="628"/>
      <c r="D47" s="580"/>
      <c r="E47" s="581"/>
      <c r="F47" s="581"/>
      <c r="G47" s="778"/>
      <c r="H47" s="581"/>
      <c r="I47" s="582"/>
      <c r="J47" s="582"/>
      <c r="K47" s="582"/>
      <c r="L47" s="575"/>
      <c r="M47" s="575"/>
      <c r="N47" s="809"/>
      <c r="O47" s="575"/>
      <c r="P47" s="575"/>
      <c r="Q47" s="575"/>
      <c r="R47" s="575"/>
      <c r="S47" s="575"/>
      <c r="T47" s="575"/>
      <c r="U47" s="809"/>
      <c r="V47" s="575"/>
      <c r="W47" s="575"/>
      <c r="X47" s="575"/>
      <c r="Y47" s="575"/>
      <c r="Z47" s="575"/>
      <c r="AA47" s="575"/>
      <c r="AB47" s="809"/>
      <c r="AC47" s="575"/>
      <c r="AD47" s="575"/>
      <c r="AE47" s="575"/>
      <c r="AF47" s="817"/>
      <c r="AG47" s="575"/>
      <c r="AH47" s="575"/>
      <c r="AI47" s="738">
        <f t="shared" si="7"/>
        <v>0</v>
      </c>
      <c r="AJ47" s="582">
        <v>0</v>
      </c>
      <c r="AK47" s="581">
        <f t="shared" si="8"/>
        <v>0</v>
      </c>
      <c r="AL47" s="746"/>
      <c r="AM47" s="743">
        <f t="shared" si="9"/>
        <v>0</v>
      </c>
    </row>
    <row r="48" spans="1:39" s="560" customFormat="1" ht="13.8" hidden="1">
      <c r="A48" s="620" t="s">
        <v>660</v>
      </c>
      <c r="B48" s="621" t="s">
        <v>1168</v>
      </c>
      <c r="C48" s="628" t="s">
        <v>39</v>
      </c>
      <c r="D48" s="580"/>
      <c r="E48" s="581"/>
      <c r="F48" s="581"/>
      <c r="G48" s="778"/>
      <c r="H48" s="581"/>
      <c r="I48" s="582"/>
      <c r="J48" s="582"/>
      <c r="K48" s="582"/>
      <c r="L48" s="575"/>
      <c r="M48" s="575"/>
      <c r="N48" s="809"/>
      <c r="O48" s="575"/>
      <c r="P48" s="575"/>
      <c r="Q48" s="575"/>
      <c r="R48" s="575"/>
      <c r="S48" s="575"/>
      <c r="T48" s="575"/>
      <c r="U48" s="809"/>
      <c r="V48" s="575"/>
      <c r="W48" s="575"/>
      <c r="X48" s="575"/>
      <c r="Y48" s="575"/>
      <c r="Z48" s="575"/>
      <c r="AA48" s="575"/>
      <c r="AB48" s="809"/>
      <c r="AC48" s="575"/>
      <c r="AD48" s="575"/>
      <c r="AE48" s="575"/>
      <c r="AF48" s="817"/>
      <c r="AG48" s="575"/>
      <c r="AH48" s="575"/>
      <c r="AI48" s="738">
        <f t="shared" si="7"/>
        <v>0</v>
      </c>
      <c r="AJ48" s="582">
        <v>0</v>
      </c>
      <c r="AK48" s="581">
        <f t="shared" si="8"/>
        <v>0</v>
      </c>
      <c r="AL48" s="746" t="s">
        <v>1528</v>
      </c>
      <c r="AM48" s="743">
        <f t="shared" si="9"/>
        <v>3.44</v>
      </c>
    </row>
    <row r="49" spans="1:39" s="560" customFormat="1" ht="13.8" hidden="1">
      <c r="A49" s="620" t="s">
        <v>661</v>
      </c>
      <c r="B49" s="621" t="s">
        <v>1169</v>
      </c>
      <c r="C49" s="628" t="s">
        <v>36</v>
      </c>
      <c r="D49" s="580"/>
      <c r="E49" s="581"/>
      <c r="F49" s="581"/>
      <c r="G49" s="778"/>
      <c r="H49" s="581"/>
      <c r="I49" s="582"/>
      <c r="J49" s="582"/>
      <c r="K49" s="582"/>
      <c r="L49" s="575"/>
      <c r="M49" s="575"/>
      <c r="N49" s="809"/>
      <c r="O49" s="575"/>
      <c r="P49" s="575"/>
      <c r="Q49" s="575"/>
      <c r="R49" s="575"/>
      <c r="S49" s="575"/>
      <c r="T49" s="575"/>
      <c r="U49" s="809"/>
      <c r="V49" s="575"/>
      <c r="W49" s="575"/>
      <c r="X49" s="575"/>
      <c r="Y49" s="575"/>
      <c r="Z49" s="575"/>
      <c r="AA49" s="575"/>
      <c r="AB49" s="809"/>
      <c r="AC49" s="575"/>
      <c r="AD49" s="575"/>
      <c r="AE49" s="575"/>
      <c r="AF49" s="817"/>
      <c r="AG49" s="575"/>
      <c r="AH49" s="575"/>
      <c r="AI49" s="738">
        <f t="shared" si="7"/>
        <v>0</v>
      </c>
      <c r="AJ49" s="582">
        <v>0</v>
      </c>
      <c r="AK49" s="581">
        <f t="shared" si="8"/>
        <v>0</v>
      </c>
      <c r="AL49" s="746" t="s">
        <v>1529</v>
      </c>
      <c r="AM49" s="743">
        <f t="shared" si="9"/>
        <v>21.46</v>
      </c>
    </row>
    <row r="50" spans="1:39" s="560" customFormat="1" ht="13.8" hidden="1">
      <c r="A50" s="620" t="s">
        <v>662</v>
      </c>
      <c r="B50" s="621" t="s">
        <v>1170</v>
      </c>
      <c r="C50" s="628" t="s">
        <v>47</v>
      </c>
      <c r="D50" s="580"/>
      <c r="E50" s="581"/>
      <c r="F50" s="581"/>
      <c r="G50" s="778"/>
      <c r="H50" s="581"/>
      <c r="I50" s="582"/>
      <c r="J50" s="582"/>
      <c r="K50" s="582"/>
      <c r="L50" s="575"/>
      <c r="M50" s="575"/>
      <c r="N50" s="809"/>
      <c r="O50" s="575"/>
      <c r="P50" s="575"/>
      <c r="Q50" s="575"/>
      <c r="R50" s="575"/>
      <c r="S50" s="575"/>
      <c r="T50" s="575"/>
      <c r="U50" s="809"/>
      <c r="V50" s="575"/>
      <c r="W50" s="575"/>
      <c r="X50" s="575"/>
      <c r="Y50" s="575"/>
      <c r="Z50" s="575"/>
      <c r="AA50" s="575"/>
      <c r="AB50" s="809"/>
      <c r="AC50" s="575"/>
      <c r="AD50" s="575"/>
      <c r="AE50" s="575"/>
      <c r="AF50" s="817"/>
      <c r="AG50" s="575"/>
      <c r="AH50" s="575"/>
      <c r="AI50" s="738">
        <f t="shared" si="7"/>
        <v>0</v>
      </c>
      <c r="AJ50" s="582">
        <v>0</v>
      </c>
      <c r="AK50" s="581">
        <f t="shared" si="8"/>
        <v>0</v>
      </c>
      <c r="AL50" s="746" t="s">
        <v>1530</v>
      </c>
      <c r="AM50" s="743">
        <f t="shared" si="9"/>
        <v>302.89999999999998</v>
      </c>
    </row>
    <row r="51" spans="1:39" s="560" customFormat="1" ht="13.8" hidden="1">
      <c r="A51" s="620" t="s">
        <v>663</v>
      </c>
      <c r="B51" s="621" t="s">
        <v>1171</v>
      </c>
      <c r="C51" s="628"/>
      <c r="D51" s="580"/>
      <c r="E51" s="581"/>
      <c r="F51" s="581"/>
      <c r="G51" s="778"/>
      <c r="H51" s="581"/>
      <c r="I51" s="582"/>
      <c r="J51" s="582"/>
      <c r="K51" s="582"/>
      <c r="L51" s="575"/>
      <c r="M51" s="575"/>
      <c r="N51" s="809"/>
      <c r="O51" s="575"/>
      <c r="P51" s="575"/>
      <c r="Q51" s="575"/>
      <c r="R51" s="575"/>
      <c r="S51" s="575"/>
      <c r="T51" s="575"/>
      <c r="U51" s="809"/>
      <c r="V51" s="575"/>
      <c r="W51" s="575"/>
      <c r="X51" s="575"/>
      <c r="Y51" s="575"/>
      <c r="Z51" s="575"/>
      <c r="AA51" s="575"/>
      <c r="AB51" s="809"/>
      <c r="AC51" s="575"/>
      <c r="AD51" s="575"/>
      <c r="AE51" s="575"/>
      <c r="AF51" s="817"/>
      <c r="AG51" s="575"/>
      <c r="AH51" s="575"/>
      <c r="AI51" s="738">
        <f t="shared" si="7"/>
        <v>0</v>
      </c>
      <c r="AJ51" s="582">
        <v>0</v>
      </c>
      <c r="AK51" s="581">
        <f t="shared" si="8"/>
        <v>0</v>
      </c>
      <c r="AL51" s="746"/>
      <c r="AM51" s="743">
        <f t="shared" si="9"/>
        <v>0</v>
      </c>
    </row>
    <row r="52" spans="1:39" s="560" customFormat="1" ht="13.8" hidden="1">
      <c r="A52" s="620" t="s">
        <v>664</v>
      </c>
      <c r="B52" s="621" t="s">
        <v>1172</v>
      </c>
      <c r="C52" s="628" t="s">
        <v>39</v>
      </c>
      <c r="D52" s="580"/>
      <c r="E52" s="581"/>
      <c r="F52" s="581"/>
      <c r="G52" s="778"/>
      <c r="H52" s="581"/>
      <c r="I52" s="582"/>
      <c r="J52" s="582"/>
      <c r="K52" s="582"/>
      <c r="L52" s="575"/>
      <c r="M52" s="575"/>
      <c r="N52" s="809"/>
      <c r="O52" s="575"/>
      <c r="P52" s="575"/>
      <c r="Q52" s="575"/>
      <c r="R52" s="575"/>
      <c r="S52" s="575"/>
      <c r="T52" s="575"/>
      <c r="U52" s="809"/>
      <c r="V52" s="575"/>
      <c r="W52" s="575"/>
      <c r="X52" s="575"/>
      <c r="Y52" s="575"/>
      <c r="Z52" s="575"/>
      <c r="AA52" s="575"/>
      <c r="AB52" s="809"/>
      <c r="AC52" s="575"/>
      <c r="AD52" s="575"/>
      <c r="AE52" s="575"/>
      <c r="AF52" s="817"/>
      <c r="AG52" s="575"/>
      <c r="AH52" s="575"/>
      <c r="AI52" s="738">
        <f t="shared" si="7"/>
        <v>0</v>
      </c>
      <c r="AJ52" s="582">
        <v>0</v>
      </c>
      <c r="AK52" s="581">
        <f t="shared" si="8"/>
        <v>0</v>
      </c>
      <c r="AL52" s="746" t="s">
        <v>1531</v>
      </c>
      <c r="AM52" s="743">
        <f t="shared" si="9"/>
        <v>11.56</v>
      </c>
    </row>
    <row r="53" spans="1:39" s="560" customFormat="1" ht="13.8" hidden="1">
      <c r="A53" s="620" t="s">
        <v>665</v>
      </c>
      <c r="B53" s="621" t="s">
        <v>1173</v>
      </c>
      <c r="C53" s="628" t="s">
        <v>36</v>
      </c>
      <c r="D53" s="580"/>
      <c r="E53" s="581"/>
      <c r="F53" s="581"/>
      <c r="G53" s="778"/>
      <c r="H53" s="581"/>
      <c r="I53" s="582"/>
      <c r="J53" s="582"/>
      <c r="K53" s="582"/>
      <c r="L53" s="575"/>
      <c r="M53" s="575"/>
      <c r="N53" s="809"/>
      <c r="O53" s="575"/>
      <c r="P53" s="575"/>
      <c r="Q53" s="575"/>
      <c r="R53" s="575"/>
      <c r="S53" s="575"/>
      <c r="T53" s="575"/>
      <c r="U53" s="809"/>
      <c r="V53" s="575"/>
      <c r="W53" s="575"/>
      <c r="X53" s="575"/>
      <c r="Y53" s="575"/>
      <c r="Z53" s="575"/>
      <c r="AA53" s="575"/>
      <c r="AB53" s="809"/>
      <c r="AC53" s="575"/>
      <c r="AD53" s="575"/>
      <c r="AE53" s="575"/>
      <c r="AF53" s="817"/>
      <c r="AG53" s="575"/>
      <c r="AH53" s="575"/>
      <c r="AI53" s="738">
        <f t="shared" si="7"/>
        <v>0</v>
      </c>
      <c r="AJ53" s="582">
        <v>0</v>
      </c>
      <c r="AK53" s="581">
        <f t="shared" si="8"/>
        <v>0</v>
      </c>
      <c r="AL53" s="746" t="s">
        <v>1532</v>
      </c>
      <c r="AM53" s="743">
        <f t="shared" si="9"/>
        <v>101.84</v>
      </c>
    </row>
    <row r="54" spans="1:39" s="560" customFormat="1" ht="13.8" hidden="1">
      <c r="A54" s="620" t="s">
        <v>666</v>
      </c>
      <c r="B54" s="621" t="s">
        <v>1174</v>
      </c>
      <c r="C54" s="628" t="s">
        <v>47</v>
      </c>
      <c r="D54" s="580"/>
      <c r="E54" s="581"/>
      <c r="F54" s="581"/>
      <c r="G54" s="778"/>
      <c r="H54" s="581"/>
      <c r="I54" s="582"/>
      <c r="J54" s="582"/>
      <c r="K54" s="582"/>
      <c r="L54" s="575"/>
      <c r="M54" s="575"/>
      <c r="N54" s="809"/>
      <c r="O54" s="575"/>
      <c r="P54" s="575"/>
      <c r="Q54" s="575"/>
      <c r="R54" s="575"/>
      <c r="S54" s="575"/>
      <c r="T54" s="575"/>
      <c r="U54" s="809"/>
      <c r="V54" s="575"/>
      <c r="W54" s="575"/>
      <c r="X54" s="575"/>
      <c r="Y54" s="575"/>
      <c r="Z54" s="575"/>
      <c r="AA54" s="575"/>
      <c r="AB54" s="809"/>
      <c r="AC54" s="575"/>
      <c r="AD54" s="575"/>
      <c r="AE54" s="575"/>
      <c r="AF54" s="817"/>
      <c r="AG54" s="575"/>
      <c r="AH54" s="575"/>
      <c r="AI54" s="738">
        <f t="shared" si="7"/>
        <v>0</v>
      </c>
      <c r="AJ54" s="582">
        <v>0</v>
      </c>
      <c r="AK54" s="581">
        <f t="shared" si="8"/>
        <v>0</v>
      </c>
      <c r="AL54" s="746" t="s">
        <v>1533</v>
      </c>
      <c r="AM54" s="743">
        <f t="shared" si="9"/>
        <v>1333.5</v>
      </c>
    </row>
    <row r="55" spans="1:39" s="560" customFormat="1" ht="13.8" hidden="1">
      <c r="A55" s="620" t="s">
        <v>667</v>
      </c>
      <c r="B55" s="621" t="s">
        <v>1175</v>
      </c>
      <c r="C55" s="628"/>
      <c r="D55" s="580"/>
      <c r="E55" s="581"/>
      <c r="F55" s="581"/>
      <c r="G55" s="778"/>
      <c r="H55" s="581"/>
      <c r="I55" s="582"/>
      <c r="J55" s="582"/>
      <c r="K55" s="582"/>
      <c r="L55" s="575"/>
      <c r="M55" s="575"/>
      <c r="N55" s="809"/>
      <c r="O55" s="575"/>
      <c r="P55" s="575"/>
      <c r="Q55" s="575"/>
      <c r="R55" s="575"/>
      <c r="S55" s="575"/>
      <c r="T55" s="575"/>
      <c r="U55" s="809"/>
      <c r="V55" s="575"/>
      <c r="W55" s="575"/>
      <c r="X55" s="575"/>
      <c r="Y55" s="575"/>
      <c r="Z55" s="575"/>
      <c r="AA55" s="575"/>
      <c r="AB55" s="809"/>
      <c r="AC55" s="575"/>
      <c r="AD55" s="575"/>
      <c r="AE55" s="575"/>
      <c r="AF55" s="817"/>
      <c r="AG55" s="575"/>
      <c r="AH55" s="575"/>
      <c r="AI55" s="738">
        <f t="shared" si="7"/>
        <v>0</v>
      </c>
      <c r="AJ55" s="582">
        <v>0</v>
      </c>
      <c r="AK55" s="581">
        <f t="shared" si="8"/>
        <v>0</v>
      </c>
      <c r="AL55" s="746"/>
      <c r="AM55" s="743">
        <f t="shared" si="9"/>
        <v>0</v>
      </c>
    </row>
    <row r="56" spans="1:39" s="560" customFormat="1" ht="13.8" hidden="1">
      <c r="A56" s="620" t="s">
        <v>668</v>
      </c>
      <c r="B56" s="621" t="s">
        <v>1176</v>
      </c>
      <c r="C56" s="628" t="s">
        <v>39</v>
      </c>
      <c r="D56" s="580"/>
      <c r="E56" s="581"/>
      <c r="F56" s="581"/>
      <c r="G56" s="778"/>
      <c r="H56" s="581"/>
      <c r="I56" s="582"/>
      <c r="J56" s="582"/>
      <c r="K56" s="582"/>
      <c r="L56" s="575"/>
      <c r="M56" s="575"/>
      <c r="N56" s="809"/>
      <c r="O56" s="575"/>
      <c r="P56" s="575"/>
      <c r="Q56" s="575"/>
      <c r="R56" s="575"/>
      <c r="S56" s="575"/>
      <c r="T56" s="575"/>
      <c r="U56" s="809"/>
      <c r="V56" s="575"/>
      <c r="W56" s="575"/>
      <c r="X56" s="575"/>
      <c r="Y56" s="575"/>
      <c r="Z56" s="575"/>
      <c r="AA56" s="575"/>
      <c r="AB56" s="809"/>
      <c r="AC56" s="575"/>
      <c r="AD56" s="575"/>
      <c r="AE56" s="575"/>
      <c r="AF56" s="817"/>
      <c r="AG56" s="575"/>
      <c r="AH56" s="575"/>
      <c r="AI56" s="738">
        <f t="shared" si="7"/>
        <v>0</v>
      </c>
      <c r="AJ56" s="582">
        <v>0</v>
      </c>
      <c r="AK56" s="581">
        <f t="shared" si="8"/>
        <v>0</v>
      </c>
      <c r="AL56" s="746" t="s">
        <v>1534</v>
      </c>
      <c r="AM56" s="743">
        <f t="shared" si="9"/>
        <v>13.47</v>
      </c>
    </row>
    <row r="57" spans="1:39" s="560" customFormat="1" ht="13.8" hidden="1">
      <c r="A57" s="620" t="s">
        <v>669</v>
      </c>
      <c r="B57" s="621" t="s">
        <v>1177</v>
      </c>
      <c r="C57" s="628" t="s">
        <v>36</v>
      </c>
      <c r="D57" s="580"/>
      <c r="E57" s="581"/>
      <c r="F57" s="581"/>
      <c r="G57" s="778"/>
      <c r="H57" s="581"/>
      <c r="I57" s="582"/>
      <c r="J57" s="582"/>
      <c r="K57" s="582"/>
      <c r="L57" s="575"/>
      <c r="M57" s="575"/>
      <c r="N57" s="809"/>
      <c r="O57" s="575"/>
      <c r="P57" s="575"/>
      <c r="Q57" s="575"/>
      <c r="R57" s="575"/>
      <c r="S57" s="575"/>
      <c r="T57" s="575"/>
      <c r="U57" s="809"/>
      <c r="V57" s="575"/>
      <c r="W57" s="575"/>
      <c r="X57" s="575"/>
      <c r="Y57" s="575"/>
      <c r="Z57" s="575"/>
      <c r="AA57" s="575"/>
      <c r="AB57" s="809"/>
      <c r="AC57" s="575"/>
      <c r="AD57" s="575"/>
      <c r="AE57" s="575"/>
      <c r="AF57" s="817"/>
      <c r="AG57" s="575"/>
      <c r="AH57" s="575"/>
      <c r="AI57" s="738">
        <f t="shared" si="7"/>
        <v>0</v>
      </c>
      <c r="AJ57" s="582">
        <v>0</v>
      </c>
      <c r="AK57" s="581">
        <f t="shared" si="8"/>
        <v>0</v>
      </c>
      <c r="AL57" s="746" t="s">
        <v>1535</v>
      </c>
      <c r="AM57" s="743">
        <f t="shared" si="9"/>
        <v>153.93</v>
      </c>
    </row>
    <row r="58" spans="1:39" s="560" customFormat="1" ht="13.8" hidden="1">
      <c r="A58" s="620" t="s">
        <v>670</v>
      </c>
      <c r="B58" s="621" t="s">
        <v>1178</v>
      </c>
      <c r="C58" s="628" t="s">
        <v>47</v>
      </c>
      <c r="D58" s="580"/>
      <c r="E58" s="581"/>
      <c r="F58" s="581"/>
      <c r="G58" s="778"/>
      <c r="H58" s="581"/>
      <c r="I58" s="582"/>
      <c r="J58" s="582"/>
      <c r="K58" s="582"/>
      <c r="L58" s="575"/>
      <c r="M58" s="575"/>
      <c r="N58" s="809"/>
      <c r="O58" s="575"/>
      <c r="P58" s="575"/>
      <c r="Q58" s="575"/>
      <c r="R58" s="575"/>
      <c r="S58" s="575"/>
      <c r="T58" s="575"/>
      <c r="U58" s="809"/>
      <c r="V58" s="575"/>
      <c r="W58" s="575"/>
      <c r="X58" s="575"/>
      <c r="Y58" s="575"/>
      <c r="Z58" s="575"/>
      <c r="AA58" s="575"/>
      <c r="AB58" s="809"/>
      <c r="AC58" s="575"/>
      <c r="AD58" s="575"/>
      <c r="AE58" s="575"/>
      <c r="AF58" s="817"/>
      <c r="AG58" s="575"/>
      <c r="AH58" s="575"/>
      <c r="AI58" s="738">
        <f t="shared" si="7"/>
        <v>0</v>
      </c>
      <c r="AJ58" s="582">
        <v>0</v>
      </c>
      <c r="AK58" s="581">
        <f t="shared" si="8"/>
        <v>0</v>
      </c>
      <c r="AL58" s="746" t="s">
        <v>1536</v>
      </c>
      <c r="AM58" s="743">
        <f t="shared" si="9"/>
        <v>1781.46</v>
      </c>
    </row>
    <row r="59" spans="1:39" s="560" customFormat="1" ht="13.8" hidden="1">
      <c r="A59" s="620" t="s">
        <v>671</v>
      </c>
      <c r="B59" s="621" t="s">
        <v>1179</v>
      </c>
      <c r="C59" s="628" t="s">
        <v>1436</v>
      </c>
      <c r="D59" s="580"/>
      <c r="E59" s="581"/>
      <c r="F59" s="581"/>
      <c r="G59" s="778"/>
      <c r="H59" s="581"/>
      <c r="I59" s="582"/>
      <c r="J59" s="582"/>
      <c r="K59" s="582"/>
      <c r="L59" s="575"/>
      <c r="M59" s="575"/>
      <c r="N59" s="809"/>
      <c r="O59" s="575"/>
      <c r="P59" s="575"/>
      <c r="Q59" s="575"/>
      <c r="R59" s="575"/>
      <c r="S59" s="575"/>
      <c r="T59" s="575"/>
      <c r="U59" s="809"/>
      <c r="V59" s="575"/>
      <c r="W59" s="575"/>
      <c r="X59" s="575"/>
      <c r="Y59" s="575"/>
      <c r="Z59" s="575"/>
      <c r="AA59" s="575"/>
      <c r="AB59" s="809"/>
      <c r="AC59" s="575"/>
      <c r="AD59" s="575"/>
      <c r="AE59" s="575"/>
      <c r="AF59" s="817"/>
      <c r="AG59" s="575"/>
      <c r="AH59" s="575"/>
      <c r="AI59" s="738">
        <f t="shared" si="7"/>
        <v>0</v>
      </c>
      <c r="AJ59" s="582">
        <v>0</v>
      </c>
      <c r="AK59" s="581">
        <f t="shared" si="8"/>
        <v>0</v>
      </c>
      <c r="AL59" s="746" t="s">
        <v>1537</v>
      </c>
      <c r="AM59" s="743">
        <f t="shared" si="9"/>
        <v>1146.1400000000001</v>
      </c>
    </row>
    <row r="60" spans="1:39" s="560" customFormat="1" ht="13.8" hidden="1">
      <c r="A60" s="620" t="s">
        <v>672</v>
      </c>
      <c r="B60" s="621" t="s">
        <v>1180</v>
      </c>
      <c r="C60" s="628"/>
      <c r="D60" s="580"/>
      <c r="E60" s="581"/>
      <c r="F60" s="581"/>
      <c r="G60" s="778"/>
      <c r="H60" s="581"/>
      <c r="I60" s="582"/>
      <c r="J60" s="582"/>
      <c r="K60" s="582"/>
      <c r="L60" s="575"/>
      <c r="M60" s="575"/>
      <c r="N60" s="809"/>
      <c r="O60" s="575"/>
      <c r="P60" s="575"/>
      <c r="Q60" s="575"/>
      <c r="R60" s="575"/>
      <c r="S60" s="575"/>
      <c r="T60" s="575"/>
      <c r="U60" s="809"/>
      <c r="V60" s="575"/>
      <c r="W60" s="575"/>
      <c r="X60" s="575"/>
      <c r="Y60" s="575"/>
      <c r="Z60" s="575"/>
      <c r="AA60" s="575"/>
      <c r="AB60" s="809"/>
      <c r="AC60" s="575"/>
      <c r="AD60" s="575"/>
      <c r="AE60" s="575"/>
      <c r="AF60" s="817"/>
      <c r="AG60" s="575"/>
      <c r="AH60" s="575"/>
      <c r="AI60" s="738">
        <f t="shared" si="7"/>
        <v>0</v>
      </c>
      <c r="AJ60" s="582">
        <v>0</v>
      </c>
      <c r="AK60" s="581">
        <f t="shared" si="8"/>
        <v>0</v>
      </c>
      <c r="AL60" s="746"/>
      <c r="AM60" s="743">
        <f t="shared" si="9"/>
        <v>0</v>
      </c>
    </row>
    <row r="61" spans="1:39" s="560" customFormat="1" ht="13.8" hidden="1">
      <c r="A61" s="620" t="s">
        <v>673</v>
      </c>
      <c r="B61" s="621" t="s">
        <v>1181</v>
      </c>
      <c r="C61" s="628" t="s">
        <v>39</v>
      </c>
      <c r="D61" s="580"/>
      <c r="E61" s="581"/>
      <c r="F61" s="581"/>
      <c r="G61" s="778"/>
      <c r="H61" s="581"/>
      <c r="I61" s="582"/>
      <c r="J61" s="582"/>
      <c r="K61" s="582"/>
      <c r="L61" s="575"/>
      <c r="M61" s="575"/>
      <c r="N61" s="809"/>
      <c r="O61" s="575"/>
      <c r="P61" s="575"/>
      <c r="Q61" s="575"/>
      <c r="R61" s="575"/>
      <c r="S61" s="575"/>
      <c r="T61" s="575"/>
      <c r="U61" s="809"/>
      <c r="V61" s="575"/>
      <c r="W61" s="575"/>
      <c r="X61" s="575"/>
      <c r="Y61" s="575"/>
      <c r="Z61" s="575"/>
      <c r="AA61" s="575"/>
      <c r="AB61" s="809"/>
      <c r="AC61" s="575"/>
      <c r="AD61" s="575"/>
      <c r="AE61" s="575"/>
      <c r="AF61" s="817"/>
      <c r="AG61" s="575"/>
      <c r="AH61" s="575"/>
      <c r="AI61" s="738">
        <f t="shared" si="7"/>
        <v>0</v>
      </c>
      <c r="AJ61" s="582">
        <v>0</v>
      </c>
      <c r="AK61" s="581">
        <f t="shared" si="8"/>
        <v>0</v>
      </c>
      <c r="AL61" s="746" t="s">
        <v>1538</v>
      </c>
      <c r="AM61" s="743">
        <f t="shared" si="9"/>
        <v>2.57</v>
      </c>
    </row>
    <row r="62" spans="1:39" s="560" customFormat="1" ht="13.8" hidden="1">
      <c r="A62" s="620" t="s">
        <v>674</v>
      </c>
      <c r="B62" s="621" t="s">
        <v>1182</v>
      </c>
      <c r="C62" s="628" t="s">
        <v>36</v>
      </c>
      <c r="D62" s="580"/>
      <c r="E62" s="581"/>
      <c r="F62" s="581"/>
      <c r="G62" s="778"/>
      <c r="H62" s="581"/>
      <c r="I62" s="582"/>
      <c r="J62" s="582"/>
      <c r="K62" s="582"/>
      <c r="L62" s="575"/>
      <c r="M62" s="575"/>
      <c r="N62" s="809"/>
      <c r="O62" s="575"/>
      <c r="P62" s="575"/>
      <c r="Q62" s="575"/>
      <c r="R62" s="575"/>
      <c r="S62" s="575"/>
      <c r="T62" s="575"/>
      <c r="U62" s="809"/>
      <c r="V62" s="575"/>
      <c r="W62" s="575"/>
      <c r="X62" s="575"/>
      <c r="Y62" s="575"/>
      <c r="Z62" s="575"/>
      <c r="AA62" s="575"/>
      <c r="AB62" s="809"/>
      <c r="AC62" s="575"/>
      <c r="AD62" s="575"/>
      <c r="AE62" s="575"/>
      <c r="AF62" s="817"/>
      <c r="AG62" s="575"/>
      <c r="AH62" s="575"/>
      <c r="AI62" s="738">
        <f t="shared" si="7"/>
        <v>0</v>
      </c>
      <c r="AJ62" s="582">
        <v>0</v>
      </c>
      <c r="AK62" s="581">
        <f t="shared" si="8"/>
        <v>0</v>
      </c>
      <c r="AL62" s="746" t="s">
        <v>1480</v>
      </c>
      <c r="AM62" s="743">
        <f t="shared" si="9"/>
        <v>34.270000000000003</v>
      </c>
    </row>
    <row r="63" spans="1:39" s="560" customFormat="1" ht="13.8" hidden="1">
      <c r="A63" s="620" t="s">
        <v>675</v>
      </c>
      <c r="B63" s="621" t="s">
        <v>1183</v>
      </c>
      <c r="C63" s="628" t="s">
        <v>47</v>
      </c>
      <c r="D63" s="580"/>
      <c r="E63" s="581"/>
      <c r="F63" s="581"/>
      <c r="G63" s="778"/>
      <c r="H63" s="581"/>
      <c r="I63" s="582"/>
      <c r="J63" s="582"/>
      <c r="K63" s="582"/>
      <c r="L63" s="575"/>
      <c r="M63" s="575"/>
      <c r="N63" s="809"/>
      <c r="O63" s="575"/>
      <c r="P63" s="575"/>
      <c r="Q63" s="575"/>
      <c r="R63" s="575"/>
      <c r="S63" s="575"/>
      <c r="T63" s="575"/>
      <c r="U63" s="809"/>
      <c r="V63" s="575"/>
      <c r="W63" s="575"/>
      <c r="X63" s="575"/>
      <c r="Y63" s="575"/>
      <c r="Z63" s="575"/>
      <c r="AA63" s="575"/>
      <c r="AB63" s="809"/>
      <c r="AC63" s="575"/>
      <c r="AD63" s="575"/>
      <c r="AE63" s="575"/>
      <c r="AF63" s="817"/>
      <c r="AG63" s="575"/>
      <c r="AH63" s="575"/>
      <c r="AI63" s="738">
        <f t="shared" si="7"/>
        <v>0</v>
      </c>
      <c r="AJ63" s="582">
        <v>0</v>
      </c>
      <c r="AK63" s="581">
        <f t="shared" si="8"/>
        <v>0</v>
      </c>
      <c r="AL63" s="746" t="s">
        <v>1539</v>
      </c>
      <c r="AM63" s="743">
        <f t="shared" si="9"/>
        <v>178.66</v>
      </c>
    </row>
    <row r="64" spans="1:39" s="560" customFormat="1" ht="13.8" hidden="1">
      <c r="A64" s="620" t="s">
        <v>676</v>
      </c>
      <c r="B64" s="621" t="s">
        <v>1184</v>
      </c>
      <c r="C64" s="628"/>
      <c r="D64" s="580"/>
      <c r="E64" s="581"/>
      <c r="F64" s="581"/>
      <c r="G64" s="778"/>
      <c r="H64" s="581"/>
      <c r="I64" s="582"/>
      <c r="J64" s="582"/>
      <c r="K64" s="582"/>
      <c r="L64" s="575"/>
      <c r="M64" s="575"/>
      <c r="N64" s="809"/>
      <c r="O64" s="575"/>
      <c r="P64" s="575"/>
      <c r="Q64" s="575"/>
      <c r="R64" s="575"/>
      <c r="S64" s="575"/>
      <c r="T64" s="575"/>
      <c r="U64" s="809"/>
      <c r="V64" s="575"/>
      <c r="W64" s="575"/>
      <c r="X64" s="575"/>
      <c r="Y64" s="575"/>
      <c r="Z64" s="575"/>
      <c r="AA64" s="575"/>
      <c r="AB64" s="809"/>
      <c r="AC64" s="575"/>
      <c r="AD64" s="575"/>
      <c r="AE64" s="575"/>
      <c r="AF64" s="817"/>
      <c r="AG64" s="575"/>
      <c r="AH64" s="575"/>
      <c r="AI64" s="738">
        <f t="shared" si="7"/>
        <v>0</v>
      </c>
      <c r="AJ64" s="582">
        <v>0</v>
      </c>
      <c r="AK64" s="581">
        <f t="shared" si="8"/>
        <v>0</v>
      </c>
      <c r="AL64" s="746"/>
      <c r="AM64" s="743">
        <f t="shared" si="9"/>
        <v>0</v>
      </c>
    </row>
    <row r="65" spans="1:39" s="560" customFormat="1" ht="13.8" hidden="1">
      <c r="A65" s="620" t="s">
        <v>677</v>
      </c>
      <c r="B65" s="621" t="s">
        <v>1185</v>
      </c>
      <c r="C65" s="628" t="s">
        <v>37</v>
      </c>
      <c r="D65" s="580"/>
      <c r="E65" s="581"/>
      <c r="F65" s="581"/>
      <c r="G65" s="778"/>
      <c r="H65" s="581"/>
      <c r="I65" s="582"/>
      <c r="J65" s="582"/>
      <c r="K65" s="582"/>
      <c r="L65" s="575"/>
      <c r="M65" s="575"/>
      <c r="N65" s="809"/>
      <c r="O65" s="575"/>
      <c r="P65" s="575"/>
      <c r="Q65" s="575"/>
      <c r="R65" s="575"/>
      <c r="S65" s="575"/>
      <c r="T65" s="575"/>
      <c r="U65" s="809"/>
      <c r="V65" s="575"/>
      <c r="W65" s="575"/>
      <c r="X65" s="575"/>
      <c r="Y65" s="575"/>
      <c r="Z65" s="575"/>
      <c r="AA65" s="575"/>
      <c r="AB65" s="809"/>
      <c r="AC65" s="575"/>
      <c r="AD65" s="575"/>
      <c r="AE65" s="575"/>
      <c r="AF65" s="817"/>
      <c r="AG65" s="575"/>
      <c r="AH65" s="575"/>
      <c r="AI65" s="738">
        <f t="shared" si="7"/>
        <v>0</v>
      </c>
      <c r="AJ65" s="582">
        <v>0</v>
      </c>
      <c r="AK65" s="581">
        <f t="shared" si="8"/>
        <v>0</v>
      </c>
      <c r="AL65" s="746" t="s">
        <v>1540</v>
      </c>
      <c r="AM65" s="743">
        <f t="shared" si="9"/>
        <v>377.52</v>
      </c>
    </row>
    <row r="66" spans="1:39" s="560" customFormat="1" ht="13.8" hidden="1">
      <c r="A66" s="620" t="s">
        <v>678</v>
      </c>
      <c r="B66" s="621" t="s">
        <v>1186</v>
      </c>
      <c r="C66" s="628"/>
      <c r="D66" s="580"/>
      <c r="E66" s="581"/>
      <c r="F66" s="581"/>
      <c r="G66" s="778"/>
      <c r="H66" s="581"/>
      <c r="I66" s="582"/>
      <c r="J66" s="582"/>
      <c r="K66" s="582"/>
      <c r="L66" s="575"/>
      <c r="M66" s="575"/>
      <c r="N66" s="809"/>
      <c r="O66" s="575"/>
      <c r="P66" s="575"/>
      <c r="Q66" s="575"/>
      <c r="R66" s="575"/>
      <c r="S66" s="575"/>
      <c r="T66" s="575"/>
      <c r="U66" s="809"/>
      <c r="V66" s="575"/>
      <c r="W66" s="575"/>
      <c r="X66" s="575"/>
      <c r="Y66" s="575"/>
      <c r="Z66" s="575"/>
      <c r="AA66" s="575"/>
      <c r="AB66" s="809"/>
      <c r="AC66" s="575"/>
      <c r="AD66" s="575"/>
      <c r="AE66" s="575"/>
      <c r="AF66" s="817"/>
      <c r="AG66" s="575"/>
      <c r="AH66" s="575"/>
      <c r="AI66" s="738">
        <f t="shared" si="7"/>
        <v>0</v>
      </c>
      <c r="AJ66" s="582">
        <v>0</v>
      </c>
      <c r="AK66" s="581">
        <f t="shared" si="8"/>
        <v>0</v>
      </c>
      <c r="AL66" s="746"/>
      <c r="AM66" s="743">
        <f t="shared" si="9"/>
        <v>0</v>
      </c>
    </row>
    <row r="67" spans="1:39" s="560" customFormat="1" ht="13.8" hidden="1">
      <c r="A67" s="620" t="s">
        <v>679</v>
      </c>
      <c r="B67" s="621" t="s">
        <v>1187</v>
      </c>
      <c r="C67" s="628" t="s">
        <v>37</v>
      </c>
      <c r="D67" s="580"/>
      <c r="E67" s="581"/>
      <c r="F67" s="581"/>
      <c r="G67" s="778"/>
      <c r="H67" s="581"/>
      <c r="I67" s="582"/>
      <c r="J67" s="582"/>
      <c r="K67" s="582"/>
      <c r="L67" s="575"/>
      <c r="M67" s="575"/>
      <c r="N67" s="809"/>
      <c r="O67" s="575"/>
      <c r="P67" s="575"/>
      <c r="Q67" s="575"/>
      <c r="R67" s="575"/>
      <c r="S67" s="575"/>
      <c r="T67" s="575"/>
      <c r="U67" s="809"/>
      <c r="V67" s="575"/>
      <c r="W67" s="575"/>
      <c r="X67" s="575"/>
      <c r="Y67" s="575"/>
      <c r="Z67" s="575"/>
      <c r="AA67" s="575"/>
      <c r="AB67" s="809"/>
      <c r="AC67" s="575"/>
      <c r="AD67" s="575"/>
      <c r="AE67" s="575"/>
      <c r="AF67" s="817"/>
      <c r="AG67" s="575"/>
      <c r="AH67" s="575"/>
      <c r="AI67" s="738">
        <f t="shared" si="7"/>
        <v>0</v>
      </c>
      <c r="AJ67" s="582">
        <v>0</v>
      </c>
      <c r="AK67" s="581">
        <f t="shared" si="8"/>
        <v>0</v>
      </c>
      <c r="AL67" s="746" t="s">
        <v>1541</v>
      </c>
      <c r="AM67" s="743">
        <f t="shared" si="9"/>
        <v>75.400000000000006</v>
      </c>
    </row>
    <row r="68" spans="1:39" s="560" customFormat="1" ht="13.8" hidden="1">
      <c r="A68" s="620" t="s">
        <v>680</v>
      </c>
      <c r="B68" s="621" t="s">
        <v>224</v>
      </c>
      <c r="C68" s="628" t="s">
        <v>1436</v>
      </c>
      <c r="D68" s="580"/>
      <c r="E68" s="581"/>
      <c r="F68" s="581"/>
      <c r="G68" s="778"/>
      <c r="H68" s="581"/>
      <c r="I68" s="582"/>
      <c r="J68" s="582"/>
      <c r="K68" s="582"/>
      <c r="L68" s="575"/>
      <c r="M68" s="575"/>
      <c r="N68" s="809"/>
      <c r="O68" s="575"/>
      <c r="P68" s="575"/>
      <c r="Q68" s="575"/>
      <c r="R68" s="575"/>
      <c r="S68" s="575"/>
      <c r="T68" s="575"/>
      <c r="U68" s="809"/>
      <c r="V68" s="575"/>
      <c r="W68" s="575"/>
      <c r="X68" s="575"/>
      <c r="Y68" s="575"/>
      <c r="Z68" s="575"/>
      <c r="AA68" s="575"/>
      <c r="AB68" s="809"/>
      <c r="AC68" s="575"/>
      <c r="AD68" s="575"/>
      <c r="AE68" s="575"/>
      <c r="AF68" s="817"/>
      <c r="AG68" s="575"/>
      <c r="AH68" s="575"/>
      <c r="AI68" s="738">
        <f t="shared" si="7"/>
        <v>0</v>
      </c>
      <c r="AJ68" s="582">
        <v>0</v>
      </c>
      <c r="AK68" s="581">
        <f t="shared" si="8"/>
        <v>0</v>
      </c>
      <c r="AL68" s="746" t="s">
        <v>1479</v>
      </c>
      <c r="AM68" s="743">
        <f t="shared" si="9"/>
        <v>15</v>
      </c>
    </row>
    <row r="69" spans="1:39" s="560" customFormat="1" ht="13.8" hidden="1">
      <c r="A69" s="620" t="s">
        <v>502</v>
      </c>
      <c r="B69" s="621" t="s">
        <v>1196</v>
      </c>
      <c r="C69" s="628"/>
      <c r="D69" s="580"/>
      <c r="E69" s="581"/>
      <c r="F69" s="581"/>
      <c r="G69" s="778"/>
      <c r="H69" s="581"/>
      <c r="I69" s="582"/>
      <c r="J69" s="582"/>
      <c r="K69" s="582"/>
      <c r="L69" s="575"/>
      <c r="M69" s="575"/>
      <c r="N69" s="809"/>
      <c r="O69" s="575"/>
      <c r="P69" s="575"/>
      <c r="Q69" s="575"/>
      <c r="R69" s="575"/>
      <c r="S69" s="575"/>
      <c r="T69" s="575"/>
      <c r="U69" s="809"/>
      <c r="V69" s="575"/>
      <c r="W69" s="575"/>
      <c r="X69" s="575"/>
      <c r="Y69" s="575"/>
      <c r="Z69" s="575"/>
      <c r="AA69" s="575"/>
      <c r="AB69" s="809"/>
      <c r="AC69" s="575"/>
      <c r="AD69" s="575"/>
      <c r="AE69" s="575"/>
      <c r="AF69" s="817"/>
      <c r="AG69" s="575"/>
      <c r="AH69" s="575"/>
      <c r="AI69" s="738">
        <f t="shared" si="7"/>
        <v>0</v>
      </c>
      <c r="AJ69" s="582">
        <v>0</v>
      </c>
      <c r="AK69" s="581">
        <f t="shared" si="8"/>
        <v>0</v>
      </c>
      <c r="AL69" s="746"/>
      <c r="AM69" s="743">
        <f t="shared" si="9"/>
        <v>0</v>
      </c>
    </row>
    <row r="70" spans="1:39" s="560" customFormat="1" ht="13.8" hidden="1">
      <c r="A70" s="620" t="s">
        <v>503</v>
      </c>
      <c r="B70" s="621" t="s">
        <v>45</v>
      </c>
      <c r="C70" s="628"/>
      <c r="D70" s="580"/>
      <c r="E70" s="581"/>
      <c r="F70" s="581"/>
      <c r="G70" s="778"/>
      <c r="H70" s="581"/>
      <c r="I70" s="582"/>
      <c r="J70" s="582"/>
      <c r="K70" s="582"/>
      <c r="L70" s="575"/>
      <c r="M70" s="575"/>
      <c r="N70" s="809"/>
      <c r="O70" s="575"/>
      <c r="P70" s="575"/>
      <c r="Q70" s="575"/>
      <c r="R70" s="575"/>
      <c r="S70" s="575"/>
      <c r="T70" s="575"/>
      <c r="U70" s="809"/>
      <c r="V70" s="575"/>
      <c r="W70" s="575"/>
      <c r="X70" s="575"/>
      <c r="Y70" s="575"/>
      <c r="Z70" s="575"/>
      <c r="AA70" s="575"/>
      <c r="AB70" s="809"/>
      <c r="AC70" s="575"/>
      <c r="AD70" s="575"/>
      <c r="AE70" s="575"/>
      <c r="AF70" s="817"/>
      <c r="AG70" s="575"/>
      <c r="AH70" s="575"/>
      <c r="AI70" s="738">
        <f t="shared" si="7"/>
        <v>0</v>
      </c>
      <c r="AJ70" s="582">
        <v>0</v>
      </c>
      <c r="AK70" s="581">
        <f t="shared" si="8"/>
        <v>0</v>
      </c>
      <c r="AL70" s="746"/>
      <c r="AM70" s="743">
        <f t="shared" si="9"/>
        <v>0</v>
      </c>
    </row>
    <row r="71" spans="1:39" s="560" customFormat="1" ht="13.8" hidden="1">
      <c r="A71" s="620" t="s">
        <v>681</v>
      </c>
      <c r="B71" s="621" t="s">
        <v>1142</v>
      </c>
      <c r="C71" s="628" t="s">
        <v>39</v>
      </c>
      <c r="D71" s="580"/>
      <c r="E71" s="581"/>
      <c r="F71" s="581"/>
      <c r="G71" s="778"/>
      <c r="H71" s="581"/>
      <c r="I71" s="582"/>
      <c r="J71" s="582"/>
      <c r="K71" s="582"/>
      <c r="L71" s="575"/>
      <c r="M71" s="575"/>
      <c r="N71" s="809"/>
      <c r="O71" s="575"/>
      <c r="P71" s="575"/>
      <c r="Q71" s="575"/>
      <c r="R71" s="575"/>
      <c r="S71" s="575"/>
      <c r="T71" s="575"/>
      <c r="U71" s="809"/>
      <c r="V71" s="575"/>
      <c r="W71" s="575"/>
      <c r="X71" s="575"/>
      <c r="Y71" s="575"/>
      <c r="Z71" s="575"/>
      <c r="AA71" s="575"/>
      <c r="AB71" s="809"/>
      <c r="AC71" s="575"/>
      <c r="AD71" s="575"/>
      <c r="AE71" s="575"/>
      <c r="AF71" s="817"/>
      <c r="AG71" s="575"/>
      <c r="AH71" s="575"/>
      <c r="AI71" s="738">
        <f t="shared" si="7"/>
        <v>0</v>
      </c>
      <c r="AJ71" s="582">
        <v>0</v>
      </c>
      <c r="AK71" s="581">
        <f t="shared" si="8"/>
        <v>0</v>
      </c>
      <c r="AL71" s="746" t="s">
        <v>1542</v>
      </c>
      <c r="AM71" s="743">
        <f t="shared" si="9"/>
        <v>39.86</v>
      </c>
    </row>
    <row r="72" spans="1:39" s="560" customFormat="1" ht="13.8" hidden="1">
      <c r="A72" s="620" t="s">
        <v>682</v>
      </c>
      <c r="B72" s="621" t="s">
        <v>1143</v>
      </c>
      <c r="C72" s="628" t="s">
        <v>39</v>
      </c>
      <c r="D72" s="580"/>
      <c r="E72" s="581"/>
      <c r="F72" s="581"/>
      <c r="G72" s="778"/>
      <c r="H72" s="581"/>
      <c r="I72" s="582"/>
      <c r="J72" s="582"/>
      <c r="K72" s="582"/>
      <c r="L72" s="575"/>
      <c r="M72" s="575"/>
      <c r="N72" s="809"/>
      <c r="O72" s="575"/>
      <c r="P72" s="575"/>
      <c r="Q72" s="575"/>
      <c r="R72" s="575"/>
      <c r="S72" s="575"/>
      <c r="T72" s="575"/>
      <c r="U72" s="809"/>
      <c r="V72" s="575"/>
      <c r="W72" s="575"/>
      <c r="X72" s="575"/>
      <c r="Y72" s="575"/>
      <c r="Z72" s="575"/>
      <c r="AA72" s="575"/>
      <c r="AB72" s="809"/>
      <c r="AC72" s="575"/>
      <c r="AD72" s="575"/>
      <c r="AE72" s="575"/>
      <c r="AF72" s="817"/>
      <c r="AG72" s="575"/>
      <c r="AH72" s="575"/>
      <c r="AI72" s="738">
        <f t="shared" si="7"/>
        <v>0</v>
      </c>
      <c r="AJ72" s="582">
        <v>0</v>
      </c>
      <c r="AK72" s="581">
        <f t="shared" si="8"/>
        <v>0</v>
      </c>
      <c r="AL72" s="746" t="s">
        <v>1543</v>
      </c>
      <c r="AM72" s="743">
        <f t="shared" si="9"/>
        <v>9.1</v>
      </c>
    </row>
    <row r="73" spans="1:39" s="560" customFormat="1" ht="13.8" hidden="1">
      <c r="A73" s="620" t="s">
        <v>683</v>
      </c>
      <c r="B73" s="621" t="s">
        <v>1144</v>
      </c>
      <c r="C73" s="628" t="s">
        <v>39</v>
      </c>
      <c r="D73" s="580"/>
      <c r="E73" s="581"/>
      <c r="F73" s="581"/>
      <c r="G73" s="778"/>
      <c r="H73" s="581"/>
      <c r="I73" s="582"/>
      <c r="J73" s="582"/>
      <c r="K73" s="582"/>
      <c r="L73" s="575"/>
      <c r="M73" s="575"/>
      <c r="N73" s="809"/>
      <c r="O73" s="575"/>
      <c r="P73" s="575"/>
      <c r="Q73" s="575"/>
      <c r="R73" s="575"/>
      <c r="S73" s="575"/>
      <c r="T73" s="575"/>
      <c r="U73" s="809"/>
      <c r="V73" s="575"/>
      <c r="W73" s="575"/>
      <c r="X73" s="575"/>
      <c r="Y73" s="575"/>
      <c r="Z73" s="575"/>
      <c r="AA73" s="575"/>
      <c r="AB73" s="809"/>
      <c r="AC73" s="575"/>
      <c r="AD73" s="575"/>
      <c r="AE73" s="575"/>
      <c r="AF73" s="817"/>
      <c r="AG73" s="575"/>
      <c r="AH73" s="575"/>
      <c r="AI73" s="738">
        <f t="shared" si="7"/>
        <v>0</v>
      </c>
      <c r="AJ73" s="582">
        <v>0</v>
      </c>
      <c r="AK73" s="581">
        <f t="shared" si="8"/>
        <v>0</v>
      </c>
      <c r="AL73" s="746" t="s">
        <v>1544</v>
      </c>
      <c r="AM73" s="743">
        <f t="shared" si="9"/>
        <v>15.72</v>
      </c>
    </row>
    <row r="74" spans="1:39" s="560" customFormat="1" ht="13.8" hidden="1">
      <c r="A74" s="620" t="s">
        <v>684</v>
      </c>
      <c r="B74" s="621" t="s">
        <v>1145</v>
      </c>
      <c r="C74" s="628" t="s">
        <v>36</v>
      </c>
      <c r="D74" s="580"/>
      <c r="E74" s="581"/>
      <c r="F74" s="581"/>
      <c r="G74" s="778"/>
      <c r="H74" s="581"/>
      <c r="I74" s="582"/>
      <c r="J74" s="582"/>
      <c r="K74" s="582"/>
      <c r="L74" s="575"/>
      <c r="M74" s="575"/>
      <c r="N74" s="809"/>
      <c r="O74" s="575"/>
      <c r="P74" s="575"/>
      <c r="Q74" s="575"/>
      <c r="R74" s="575"/>
      <c r="S74" s="575"/>
      <c r="T74" s="575"/>
      <c r="U74" s="809"/>
      <c r="V74" s="575"/>
      <c r="W74" s="575"/>
      <c r="X74" s="575"/>
      <c r="Y74" s="575"/>
      <c r="Z74" s="575"/>
      <c r="AA74" s="575"/>
      <c r="AB74" s="809"/>
      <c r="AC74" s="575"/>
      <c r="AD74" s="575"/>
      <c r="AE74" s="575"/>
      <c r="AF74" s="817"/>
      <c r="AG74" s="575"/>
      <c r="AH74" s="575"/>
      <c r="AI74" s="738">
        <f t="shared" si="7"/>
        <v>0</v>
      </c>
      <c r="AJ74" s="582">
        <v>0</v>
      </c>
      <c r="AK74" s="581">
        <f t="shared" si="8"/>
        <v>0</v>
      </c>
      <c r="AL74" s="746" t="s">
        <v>1545</v>
      </c>
      <c r="AM74" s="743">
        <f t="shared" si="9"/>
        <v>22.03</v>
      </c>
    </row>
    <row r="75" spans="1:39" s="560" customFormat="1" ht="13.8" hidden="1">
      <c r="A75" s="620" t="s">
        <v>685</v>
      </c>
      <c r="B75" s="621" t="s">
        <v>1146</v>
      </c>
      <c r="C75" s="628" t="s">
        <v>39</v>
      </c>
      <c r="D75" s="580"/>
      <c r="E75" s="581"/>
      <c r="F75" s="581"/>
      <c r="G75" s="778"/>
      <c r="H75" s="581"/>
      <c r="I75" s="582"/>
      <c r="J75" s="582"/>
      <c r="K75" s="582"/>
      <c r="L75" s="575"/>
      <c r="M75" s="575"/>
      <c r="N75" s="809"/>
      <c r="O75" s="575"/>
      <c r="P75" s="575"/>
      <c r="Q75" s="575"/>
      <c r="R75" s="575"/>
      <c r="S75" s="575"/>
      <c r="T75" s="575"/>
      <c r="U75" s="809"/>
      <c r="V75" s="575"/>
      <c r="W75" s="575"/>
      <c r="X75" s="575"/>
      <c r="Y75" s="575"/>
      <c r="Z75" s="575"/>
      <c r="AA75" s="575"/>
      <c r="AB75" s="809"/>
      <c r="AC75" s="575"/>
      <c r="AD75" s="575"/>
      <c r="AE75" s="575"/>
      <c r="AF75" s="817"/>
      <c r="AG75" s="575"/>
      <c r="AH75" s="575"/>
      <c r="AI75" s="738">
        <f t="shared" si="7"/>
        <v>0</v>
      </c>
      <c r="AJ75" s="582">
        <v>0</v>
      </c>
      <c r="AK75" s="581">
        <f t="shared" si="8"/>
        <v>0</v>
      </c>
      <c r="AL75" s="746" t="s">
        <v>1546</v>
      </c>
      <c r="AM75" s="743">
        <f t="shared" si="9"/>
        <v>41.56</v>
      </c>
    </row>
    <row r="76" spans="1:39" s="560" customFormat="1" ht="13.8" hidden="1">
      <c r="A76" s="620" t="s">
        <v>686</v>
      </c>
      <c r="B76" s="621" t="s">
        <v>1147</v>
      </c>
      <c r="C76" s="628" t="s">
        <v>39</v>
      </c>
      <c r="D76" s="580"/>
      <c r="E76" s="581"/>
      <c r="F76" s="581"/>
      <c r="G76" s="778"/>
      <c r="H76" s="581"/>
      <c r="I76" s="582"/>
      <c r="J76" s="582"/>
      <c r="K76" s="582"/>
      <c r="L76" s="575"/>
      <c r="M76" s="575"/>
      <c r="N76" s="809"/>
      <c r="O76" s="575"/>
      <c r="P76" s="575"/>
      <c r="Q76" s="575"/>
      <c r="R76" s="575"/>
      <c r="S76" s="575"/>
      <c r="T76" s="575"/>
      <c r="U76" s="809"/>
      <c r="V76" s="575"/>
      <c r="W76" s="575"/>
      <c r="X76" s="575"/>
      <c r="Y76" s="575"/>
      <c r="Z76" s="575"/>
      <c r="AA76" s="575"/>
      <c r="AB76" s="809"/>
      <c r="AC76" s="575"/>
      <c r="AD76" s="575"/>
      <c r="AE76" s="575"/>
      <c r="AF76" s="817"/>
      <c r="AG76" s="575"/>
      <c r="AH76" s="575"/>
      <c r="AI76" s="738">
        <f t="shared" si="7"/>
        <v>0</v>
      </c>
      <c r="AJ76" s="582">
        <v>0</v>
      </c>
      <c r="AK76" s="581">
        <f t="shared" si="8"/>
        <v>0</v>
      </c>
      <c r="AL76" s="746" t="s">
        <v>1546</v>
      </c>
      <c r="AM76" s="743">
        <f t="shared" si="9"/>
        <v>41.56</v>
      </c>
    </row>
    <row r="77" spans="1:39" s="560" customFormat="1" ht="13.8" hidden="1">
      <c r="A77" s="620" t="s">
        <v>687</v>
      </c>
      <c r="B77" s="621" t="s">
        <v>1148</v>
      </c>
      <c r="C77" s="628"/>
      <c r="D77" s="580"/>
      <c r="E77" s="581"/>
      <c r="F77" s="581"/>
      <c r="G77" s="778"/>
      <c r="H77" s="581"/>
      <c r="I77" s="582"/>
      <c r="J77" s="582"/>
      <c r="K77" s="582"/>
      <c r="L77" s="575"/>
      <c r="M77" s="575"/>
      <c r="N77" s="809"/>
      <c r="O77" s="575"/>
      <c r="P77" s="575"/>
      <c r="Q77" s="575"/>
      <c r="R77" s="575"/>
      <c r="S77" s="575"/>
      <c r="T77" s="575"/>
      <c r="U77" s="809"/>
      <c r="V77" s="575"/>
      <c r="W77" s="575"/>
      <c r="X77" s="575"/>
      <c r="Y77" s="575"/>
      <c r="Z77" s="575"/>
      <c r="AA77" s="575"/>
      <c r="AB77" s="809"/>
      <c r="AC77" s="575"/>
      <c r="AD77" s="575"/>
      <c r="AE77" s="575"/>
      <c r="AF77" s="817"/>
      <c r="AG77" s="575"/>
      <c r="AH77" s="575"/>
      <c r="AI77" s="738">
        <f t="shared" si="7"/>
        <v>0</v>
      </c>
      <c r="AJ77" s="582">
        <v>0</v>
      </c>
      <c r="AK77" s="581">
        <f t="shared" si="8"/>
        <v>0</v>
      </c>
      <c r="AL77" s="746"/>
      <c r="AM77" s="743">
        <f t="shared" si="9"/>
        <v>0</v>
      </c>
    </row>
    <row r="78" spans="1:39" s="560" customFormat="1" ht="13.8" hidden="1">
      <c r="A78" s="620" t="s">
        <v>688</v>
      </c>
      <c r="B78" s="621" t="s">
        <v>1149</v>
      </c>
      <c r="C78" s="628" t="s">
        <v>39</v>
      </c>
      <c r="D78" s="580"/>
      <c r="E78" s="581"/>
      <c r="F78" s="581"/>
      <c r="G78" s="778"/>
      <c r="H78" s="581"/>
      <c r="I78" s="582"/>
      <c r="J78" s="582"/>
      <c r="K78" s="582"/>
      <c r="L78" s="575"/>
      <c r="M78" s="575"/>
      <c r="N78" s="809"/>
      <c r="O78" s="575"/>
      <c r="P78" s="575"/>
      <c r="Q78" s="575"/>
      <c r="R78" s="575"/>
      <c r="S78" s="575"/>
      <c r="T78" s="575"/>
      <c r="U78" s="809"/>
      <c r="V78" s="575"/>
      <c r="W78" s="575"/>
      <c r="X78" s="575"/>
      <c r="Y78" s="575"/>
      <c r="Z78" s="575"/>
      <c r="AA78" s="575"/>
      <c r="AB78" s="809"/>
      <c r="AC78" s="575"/>
      <c r="AD78" s="575"/>
      <c r="AE78" s="575"/>
      <c r="AF78" s="817"/>
      <c r="AG78" s="575"/>
      <c r="AH78" s="575"/>
      <c r="AI78" s="738">
        <f t="shared" si="7"/>
        <v>0</v>
      </c>
      <c r="AJ78" s="582">
        <v>0</v>
      </c>
      <c r="AK78" s="581">
        <f t="shared" si="8"/>
        <v>0</v>
      </c>
      <c r="AL78" s="746" t="s">
        <v>1547</v>
      </c>
      <c r="AM78" s="743">
        <f t="shared" si="9"/>
        <v>20.28</v>
      </c>
    </row>
    <row r="79" spans="1:39" s="560" customFormat="1" ht="13.8" hidden="1">
      <c r="A79" s="620" t="s">
        <v>689</v>
      </c>
      <c r="B79" s="621" t="s">
        <v>1189</v>
      </c>
      <c r="C79" s="628" t="s">
        <v>36</v>
      </c>
      <c r="D79" s="580"/>
      <c r="E79" s="581"/>
      <c r="F79" s="581"/>
      <c r="G79" s="778"/>
      <c r="H79" s="581"/>
      <c r="I79" s="582"/>
      <c r="J79" s="582"/>
      <c r="K79" s="582"/>
      <c r="L79" s="575"/>
      <c r="M79" s="575"/>
      <c r="N79" s="809"/>
      <c r="O79" s="575"/>
      <c r="P79" s="575"/>
      <c r="Q79" s="575"/>
      <c r="R79" s="575"/>
      <c r="S79" s="575"/>
      <c r="T79" s="575"/>
      <c r="U79" s="809"/>
      <c r="V79" s="575"/>
      <c r="W79" s="575"/>
      <c r="X79" s="575"/>
      <c r="Y79" s="575"/>
      <c r="Z79" s="575"/>
      <c r="AA79" s="575"/>
      <c r="AB79" s="809"/>
      <c r="AC79" s="575"/>
      <c r="AD79" s="575"/>
      <c r="AE79" s="575"/>
      <c r="AF79" s="817"/>
      <c r="AG79" s="575"/>
      <c r="AH79" s="575"/>
      <c r="AI79" s="738">
        <f t="shared" si="7"/>
        <v>0</v>
      </c>
      <c r="AJ79" s="582">
        <v>0</v>
      </c>
      <c r="AK79" s="581">
        <f t="shared" si="8"/>
        <v>0</v>
      </c>
      <c r="AL79" s="746" t="s">
        <v>1548</v>
      </c>
      <c r="AM79" s="743">
        <f t="shared" si="9"/>
        <v>14.79</v>
      </c>
    </row>
    <row r="80" spans="1:39" s="560" customFormat="1" ht="13.8" hidden="1">
      <c r="A80" s="620" t="s">
        <v>690</v>
      </c>
      <c r="B80" s="621" t="s">
        <v>1190</v>
      </c>
      <c r="C80" s="628" t="s">
        <v>39</v>
      </c>
      <c r="D80" s="580"/>
      <c r="E80" s="581"/>
      <c r="F80" s="581"/>
      <c r="G80" s="778"/>
      <c r="H80" s="581"/>
      <c r="I80" s="582"/>
      <c r="J80" s="582"/>
      <c r="K80" s="582"/>
      <c r="L80" s="575"/>
      <c r="M80" s="575"/>
      <c r="N80" s="809"/>
      <c r="O80" s="575"/>
      <c r="P80" s="575"/>
      <c r="Q80" s="575"/>
      <c r="R80" s="575"/>
      <c r="S80" s="575"/>
      <c r="T80" s="575"/>
      <c r="U80" s="809"/>
      <c r="V80" s="575"/>
      <c r="W80" s="575"/>
      <c r="X80" s="575"/>
      <c r="Y80" s="575"/>
      <c r="Z80" s="575"/>
      <c r="AA80" s="575"/>
      <c r="AB80" s="809"/>
      <c r="AC80" s="575"/>
      <c r="AD80" s="575"/>
      <c r="AE80" s="575"/>
      <c r="AF80" s="817"/>
      <c r="AG80" s="575"/>
      <c r="AH80" s="575"/>
      <c r="AI80" s="738">
        <f t="shared" si="7"/>
        <v>0</v>
      </c>
      <c r="AJ80" s="582">
        <v>0</v>
      </c>
      <c r="AK80" s="581">
        <f t="shared" si="8"/>
        <v>0</v>
      </c>
      <c r="AL80" s="746" t="s">
        <v>1549</v>
      </c>
      <c r="AM80" s="743">
        <f t="shared" si="9"/>
        <v>3.22</v>
      </c>
    </row>
    <row r="81" spans="1:39" s="560" customFormat="1" ht="13.8" hidden="1">
      <c r="A81" s="620" t="s">
        <v>691</v>
      </c>
      <c r="B81" s="621" t="s">
        <v>1191</v>
      </c>
      <c r="C81" s="628" t="s">
        <v>39</v>
      </c>
      <c r="D81" s="580"/>
      <c r="E81" s="581"/>
      <c r="F81" s="581"/>
      <c r="G81" s="778"/>
      <c r="H81" s="581"/>
      <c r="I81" s="582"/>
      <c r="J81" s="582"/>
      <c r="K81" s="582"/>
      <c r="L81" s="575"/>
      <c r="M81" s="575"/>
      <c r="N81" s="809"/>
      <c r="O81" s="575"/>
      <c r="P81" s="575"/>
      <c r="Q81" s="575"/>
      <c r="R81" s="575"/>
      <c r="S81" s="575"/>
      <c r="T81" s="575"/>
      <c r="U81" s="809"/>
      <c r="V81" s="575"/>
      <c r="W81" s="575"/>
      <c r="X81" s="575"/>
      <c r="Y81" s="575"/>
      <c r="Z81" s="575"/>
      <c r="AA81" s="575"/>
      <c r="AB81" s="809"/>
      <c r="AC81" s="575"/>
      <c r="AD81" s="575"/>
      <c r="AE81" s="575"/>
      <c r="AF81" s="817"/>
      <c r="AG81" s="575"/>
      <c r="AH81" s="575"/>
      <c r="AI81" s="738">
        <f t="shared" si="7"/>
        <v>0</v>
      </c>
      <c r="AJ81" s="582">
        <v>0</v>
      </c>
      <c r="AK81" s="581">
        <f t="shared" si="8"/>
        <v>0</v>
      </c>
      <c r="AL81" s="746" t="s">
        <v>1550</v>
      </c>
      <c r="AM81" s="743">
        <f t="shared" si="9"/>
        <v>1.61</v>
      </c>
    </row>
    <row r="82" spans="1:39" s="560" customFormat="1" ht="13.8" hidden="1">
      <c r="A82" s="620" t="s">
        <v>692</v>
      </c>
      <c r="B82" s="621" t="s">
        <v>1153</v>
      </c>
      <c r="C82" s="628" t="s">
        <v>36</v>
      </c>
      <c r="D82" s="580"/>
      <c r="E82" s="581"/>
      <c r="F82" s="581"/>
      <c r="G82" s="778"/>
      <c r="H82" s="581"/>
      <c r="I82" s="582"/>
      <c r="J82" s="582"/>
      <c r="K82" s="582"/>
      <c r="L82" s="575"/>
      <c r="M82" s="575"/>
      <c r="N82" s="809"/>
      <c r="O82" s="575"/>
      <c r="P82" s="575"/>
      <c r="Q82" s="575"/>
      <c r="R82" s="575"/>
      <c r="S82" s="575"/>
      <c r="T82" s="575"/>
      <c r="U82" s="809"/>
      <c r="V82" s="575"/>
      <c r="W82" s="575"/>
      <c r="X82" s="575"/>
      <c r="Y82" s="575"/>
      <c r="Z82" s="575"/>
      <c r="AA82" s="575"/>
      <c r="AB82" s="809"/>
      <c r="AC82" s="575"/>
      <c r="AD82" s="575"/>
      <c r="AE82" s="575"/>
      <c r="AF82" s="817"/>
      <c r="AG82" s="575"/>
      <c r="AH82" s="575"/>
      <c r="AI82" s="738">
        <f t="shared" si="7"/>
        <v>0</v>
      </c>
      <c r="AJ82" s="582">
        <v>0</v>
      </c>
      <c r="AK82" s="581">
        <f t="shared" si="8"/>
        <v>0</v>
      </c>
      <c r="AL82" s="746" t="s">
        <v>1551</v>
      </c>
      <c r="AM82" s="743">
        <f t="shared" si="9"/>
        <v>42.4</v>
      </c>
    </row>
    <row r="83" spans="1:39" s="560" customFormat="1" ht="13.8" hidden="1">
      <c r="A83" s="620" t="s">
        <v>693</v>
      </c>
      <c r="B83" s="621" t="s">
        <v>1154</v>
      </c>
      <c r="C83" s="628" t="s">
        <v>36</v>
      </c>
      <c r="D83" s="580"/>
      <c r="E83" s="581"/>
      <c r="F83" s="581"/>
      <c r="G83" s="778"/>
      <c r="H83" s="581"/>
      <c r="I83" s="582"/>
      <c r="J83" s="582"/>
      <c r="K83" s="582"/>
      <c r="L83" s="575"/>
      <c r="M83" s="575"/>
      <c r="N83" s="809"/>
      <c r="O83" s="575"/>
      <c r="P83" s="575"/>
      <c r="Q83" s="575"/>
      <c r="R83" s="575"/>
      <c r="S83" s="575"/>
      <c r="T83" s="575"/>
      <c r="U83" s="809"/>
      <c r="V83" s="575"/>
      <c r="W83" s="575"/>
      <c r="X83" s="575"/>
      <c r="Y83" s="575"/>
      <c r="Z83" s="575"/>
      <c r="AA83" s="575"/>
      <c r="AB83" s="809"/>
      <c r="AC83" s="575"/>
      <c r="AD83" s="575"/>
      <c r="AE83" s="575"/>
      <c r="AF83" s="817"/>
      <c r="AG83" s="575"/>
      <c r="AH83" s="575"/>
      <c r="AI83" s="738">
        <f t="shared" si="7"/>
        <v>0</v>
      </c>
      <c r="AJ83" s="582">
        <v>0</v>
      </c>
      <c r="AK83" s="581">
        <f t="shared" si="8"/>
        <v>0</v>
      </c>
      <c r="AL83" s="746" t="s">
        <v>1545</v>
      </c>
      <c r="AM83" s="743">
        <f t="shared" si="9"/>
        <v>22.03</v>
      </c>
    </row>
    <row r="84" spans="1:39" s="560" customFormat="1" ht="13.8" hidden="1">
      <c r="A84" s="620" t="s">
        <v>694</v>
      </c>
      <c r="B84" s="621" t="s">
        <v>1155</v>
      </c>
      <c r="C84" s="628"/>
      <c r="D84" s="580"/>
      <c r="E84" s="581"/>
      <c r="F84" s="581"/>
      <c r="G84" s="778"/>
      <c r="H84" s="581"/>
      <c r="I84" s="582"/>
      <c r="J84" s="582"/>
      <c r="K84" s="582"/>
      <c r="L84" s="575"/>
      <c r="M84" s="575"/>
      <c r="N84" s="809"/>
      <c r="O84" s="575"/>
      <c r="P84" s="575"/>
      <c r="Q84" s="575"/>
      <c r="R84" s="575"/>
      <c r="S84" s="575"/>
      <c r="T84" s="575"/>
      <c r="U84" s="809"/>
      <c r="V84" s="575"/>
      <c r="W84" s="575"/>
      <c r="X84" s="575"/>
      <c r="Y84" s="575"/>
      <c r="Z84" s="575"/>
      <c r="AA84" s="575"/>
      <c r="AB84" s="809"/>
      <c r="AC84" s="575"/>
      <c r="AD84" s="575"/>
      <c r="AE84" s="575"/>
      <c r="AF84" s="817"/>
      <c r="AG84" s="575"/>
      <c r="AH84" s="575"/>
      <c r="AI84" s="738">
        <f t="shared" si="7"/>
        <v>0</v>
      </c>
      <c r="AJ84" s="582">
        <v>0</v>
      </c>
      <c r="AK84" s="581">
        <f t="shared" si="8"/>
        <v>0</v>
      </c>
      <c r="AL84" s="746"/>
      <c r="AM84" s="743">
        <f t="shared" si="9"/>
        <v>0</v>
      </c>
    </row>
    <row r="85" spans="1:39" s="560" customFormat="1" ht="13.8" hidden="1">
      <c r="A85" s="620" t="s">
        <v>695</v>
      </c>
      <c r="B85" s="621" t="s">
        <v>1156</v>
      </c>
      <c r="C85" s="628"/>
      <c r="D85" s="580"/>
      <c r="E85" s="581"/>
      <c r="F85" s="581"/>
      <c r="G85" s="778"/>
      <c r="H85" s="581"/>
      <c r="I85" s="582"/>
      <c r="J85" s="582"/>
      <c r="K85" s="582"/>
      <c r="L85" s="575"/>
      <c r="M85" s="575"/>
      <c r="N85" s="809"/>
      <c r="O85" s="575"/>
      <c r="P85" s="575"/>
      <c r="Q85" s="575"/>
      <c r="R85" s="575"/>
      <c r="S85" s="575"/>
      <c r="T85" s="575"/>
      <c r="U85" s="809"/>
      <c r="V85" s="575"/>
      <c r="W85" s="575"/>
      <c r="X85" s="575"/>
      <c r="Y85" s="575"/>
      <c r="Z85" s="575"/>
      <c r="AA85" s="575"/>
      <c r="AB85" s="809"/>
      <c r="AC85" s="575"/>
      <c r="AD85" s="575"/>
      <c r="AE85" s="575"/>
      <c r="AF85" s="817"/>
      <c r="AG85" s="575"/>
      <c r="AH85" s="575"/>
      <c r="AI85" s="738">
        <f t="shared" si="7"/>
        <v>0</v>
      </c>
      <c r="AJ85" s="582">
        <v>0</v>
      </c>
      <c r="AK85" s="581">
        <f t="shared" si="8"/>
        <v>0</v>
      </c>
      <c r="AL85" s="746"/>
      <c r="AM85" s="743">
        <f t="shared" si="9"/>
        <v>0</v>
      </c>
    </row>
    <row r="86" spans="1:39" s="560" customFormat="1" ht="13.8" hidden="1">
      <c r="A86" s="620" t="s">
        <v>696</v>
      </c>
      <c r="B86" s="621" t="s">
        <v>1192</v>
      </c>
      <c r="C86" s="628" t="s">
        <v>39</v>
      </c>
      <c r="D86" s="580"/>
      <c r="E86" s="581"/>
      <c r="F86" s="581"/>
      <c r="G86" s="778"/>
      <c r="H86" s="581"/>
      <c r="I86" s="582"/>
      <c r="J86" s="582"/>
      <c r="K86" s="582"/>
      <c r="L86" s="575"/>
      <c r="M86" s="575"/>
      <c r="N86" s="809"/>
      <c r="O86" s="575"/>
      <c r="P86" s="575"/>
      <c r="Q86" s="575"/>
      <c r="R86" s="575"/>
      <c r="S86" s="575"/>
      <c r="T86" s="575"/>
      <c r="U86" s="809"/>
      <c r="V86" s="575"/>
      <c r="W86" s="575"/>
      <c r="X86" s="575"/>
      <c r="Y86" s="575"/>
      <c r="Z86" s="575"/>
      <c r="AA86" s="575"/>
      <c r="AB86" s="809"/>
      <c r="AC86" s="575"/>
      <c r="AD86" s="575"/>
      <c r="AE86" s="575"/>
      <c r="AF86" s="817"/>
      <c r="AG86" s="575"/>
      <c r="AH86" s="575"/>
      <c r="AI86" s="738">
        <f t="shared" si="7"/>
        <v>0</v>
      </c>
      <c r="AJ86" s="582">
        <v>0</v>
      </c>
      <c r="AK86" s="581">
        <f t="shared" si="8"/>
        <v>0</v>
      </c>
      <c r="AL86" s="746" t="s">
        <v>1456</v>
      </c>
      <c r="AM86" s="743">
        <f t="shared" si="9"/>
        <v>4.6100000000000003</v>
      </c>
    </row>
    <row r="87" spans="1:39" s="560" customFormat="1" ht="13.8" hidden="1">
      <c r="A87" s="620" t="s">
        <v>697</v>
      </c>
      <c r="B87" s="621" t="s">
        <v>1158</v>
      </c>
      <c r="C87" s="628" t="s">
        <v>47</v>
      </c>
      <c r="D87" s="580"/>
      <c r="E87" s="581"/>
      <c r="F87" s="581"/>
      <c r="G87" s="778"/>
      <c r="H87" s="581"/>
      <c r="I87" s="582"/>
      <c r="J87" s="582"/>
      <c r="K87" s="582"/>
      <c r="L87" s="575"/>
      <c r="M87" s="575"/>
      <c r="N87" s="809"/>
      <c r="O87" s="575"/>
      <c r="P87" s="575"/>
      <c r="Q87" s="575"/>
      <c r="R87" s="575"/>
      <c r="S87" s="575"/>
      <c r="T87" s="575"/>
      <c r="U87" s="809"/>
      <c r="V87" s="575"/>
      <c r="W87" s="575"/>
      <c r="X87" s="575"/>
      <c r="Y87" s="575"/>
      <c r="Z87" s="575"/>
      <c r="AA87" s="575"/>
      <c r="AB87" s="809"/>
      <c r="AC87" s="575"/>
      <c r="AD87" s="575"/>
      <c r="AE87" s="575"/>
      <c r="AF87" s="817"/>
      <c r="AG87" s="575"/>
      <c r="AH87" s="575"/>
      <c r="AI87" s="738">
        <f t="shared" si="7"/>
        <v>0</v>
      </c>
      <c r="AJ87" s="582">
        <v>0</v>
      </c>
      <c r="AK87" s="581">
        <f t="shared" si="8"/>
        <v>0</v>
      </c>
      <c r="AL87" s="746" t="s">
        <v>1457</v>
      </c>
      <c r="AM87" s="743">
        <f t="shared" si="9"/>
        <v>192.7</v>
      </c>
    </row>
    <row r="88" spans="1:39" s="560" customFormat="1" ht="13.8" hidden="1">
      <c r="A88" s="620" t="s">
        <v>698</v>
      </c>
      <c r="B88" s="621" t="s">
        <v>1159</v>
      </c>
      <c r="C88" s="628"/>
      <c r="D88" s="580"/>
      <c r="E88" s="581"/>
      <c r="F88" s="581"/>
      <c r="G88" s="778"/>
      <c r="H88" s="581"/>
      <c r="I88" s="582"/>
      <c r="J88" s="582"/>
      <c r="K88" s="582"/>
      <c r="L88" s="575"/>
      <c r="M88" s="575"/>
      <c r="N88" s="809"/>
      <c r="O88" s="575"/>
      <c r="P88" s="575"/>
      <c r="Q88" s="575"/>
      <c r="R88" s="575"/>
      <c r="S88" s="575"/>
      <c r="T88" s="575"/>
      <c r="U88" s="809"/>
      <c r="V88" s="575"/>
      <c r="W88" s="575"/>
      <c r="X88" s="575"/>
      <c r="Y88" s="575"/>
      <c r="Z88" s="575"/>
      <c r="AA88" s="575"/>
      <c r="AB88" s="809"/>
      <c r="AC88" s="575"/>
      <c r="AD88" s="575"/>
      <c r="AE88" s="575"/>
      <c r="AF88" s="817"/>
      <c r="AG88" s="575"/>
      <c r="AH88" s="575"/>
      <c r="AI88" s="738">
        <f t="shared" si="7"/>
        <v>0</v>
      </c>
      <c r="AJ88" s="582">
        <v>0</v>
      </c>
      <c r="AK88" s="581">
        <f t="shared" si="8"/>
        <v>0</v>
      </c>
      <c r="AL88" s="746"/>
      <c r="AM88" s="743">
        <f t="shared" si="9"/>
        <v>0</v>
      </c>
    </row>
    <row r="89" spans="1:39" s="560" customFormat="1" ht="13.8" hidden="1">
      <c r="A89" s="620" t="s">
        <v>699</v>
      </c>
      <c r="B89" s="621" t="s">
        <v>1193</v>
      </c>
      <c r="C89" s="628" t="s">
        <v>39</v>
      </c>
      <c r="D89" s="580"/>
      <c r="E89" s="581"/>
      <c r="F89" s="581"/>
      <c r="G89" s="778"/>
      <c r="H89" s="581"/>
      <c r="I89" s="582"/>
      <c r="J89" s="582"/>
      <c r="K89" s="582"/>
      <c r="L89" s="575"/>
      <c r="M89" s="575"/>
      <c r="N89" s="809"/>
      <c r="O89" s="575"/>
      <c r="P89" s="575"/>
      <c r="Q89" s="575"/>
      <c r="R89" s="575"/>
      <c r="S89" s="575"/>
      <c r="T89" s="575"/>
      <c r="U89" s="809"/>
      <c r="V89" s="575"/>
      <c r="W89" s="575"/>
      <c r="X89" s="575"/>
      <c r="Y89" s="575"/>
      <c r="Z89" s="575"/>
      <c r="AA89" s="575"/>
      <c r="AB89" s="809"/>
      <c r="AC89" s="575"/>
      <c r="AD89" s="575"/>
      <c r="AE89" s="575"/>
      <c r="AF89" s="817"/>
      <c r="AG89" s="575"/>
      <c r="AH89" s="575"/>
      <c r="AI89" s="738">
        <f t="shared" si="7"/>
        <v>0</v>
      </c>
      <c r="AJ89" s="582">
        <v>0</v>
      </c>
      <c r="AK89" s="581">
        <f t="shared" si="8"/>
        <v>0</v>
      </c>
      <c r="AL89" s="746" t="s">
        <v>1552</v>
      </c>
      <c r="AM89" s="743">
        <f t="shared" si="9"/>
        <v>2.19</v>
      </c>
    </row>
    <row r="90" spans="1:39" s="560" customFormat="1" ht="13.8" hidden="1">
      <c r="A90" s="620" t="s">
        <v>700</v>
      </c>
      <c r="B90" s="621" t="s">
        <v>1161</v>
      </c>
      <c r="C90" s="628" t="s">
        <v>36</v>
      </c>
      <c r="D90" s="580"/>
      <c r="E90" s="581"/>
      <c r="F90" s="581"/>
      <c r="G90" s="778"/>
      <c r="H90" s="581"/>
      <c r="I90" s="582"/>
      <c r="J90" s="582"/>
      <c r="K90" s="582"/>
      <c r="L90" s="575"/>
      <c r="M90" s="575"/>
      <c r="N90" s="809"/>
      <c r="O90" s="575"/>
      <c r="P90" s="575"/>
      <c r="Q90" s="575"/>
      <c r="R90" s="575"/>
      <c r="S90" s="575"/>
      <c r="T90" s="575"/>
      <c r="U90" s="809"/>
      <c r="V90" s="575"/>
      <c r="W90" s="575"/>
      <c r="X90" s="575"/>
      <c r="Y90" s="575"/>
      <c r="Z90" s="575"/>
      <c r="AA90" s="575"/>
      <c r="AB90" s="809"/>
      <c r="AC90" s="575"/>
      <c r="AD90" s="575"/>
      <c r="AE90" s="575"/>
      <c r="AF90" s="817"/>
      <c r="AG90" s="575"/>
      <c r="AH90" s="575"/>
      <c r="AI90" s="738">
        <f t="shared" si="7"/>
        <v>0</v>
      </c>
      <c r="AJ90" s="582">
        <v>0</v>
      </c>
      <c r="AK90" s="581">
        <f t="shared" si="8"/>
        <v>0</v>
      </c>
      <c r="AL90" s="746" t="s">
        <v>1553</v>
      </c>
      <c r="AM90" s="743">
        <f t="shared" si="9"/>
        <v>17.489999999999998</v>
      </c>
    </row>
    <row r="91" spans="1:39" s="560" customFormat="1" ht="13.8" hidden="1">
      <c r="A91" s="620" t="s">
        <v>701</v>
      </c>
      <c r="B91" s="621" t="s">
        <v>1162</v>
      </c>
      <c r="C91" s="628" t="s">
        <v>47</v>
      </c>
      <c r="D91" s="580"/>
      <c r="E91" s="581"/>
      <c r="F91" s="581"/>
      <c r="G91" s="778"/>
      <c r="H91" s="581"/>
      <c r="I91" s="582"/>
      <c r="J91" s="582"/>
      <c r="K91" s="582"/>
      <c r="L91" s="575"/>
      <c r="M91" s="575"/>
      <c r="N91" s="809"/>
      <c r="O91" s="575"/>
      <c r="P91" s="575"/>
      <c r="Q91" s="575"/>
      <c r="R91" s="575"/>
      <c r="S91" s="575"/>
      <c r="T91" s="575"/>
      <c r="U91" s="809"/>
      <c r="V91" s="575"/>
      <c r="W91" s="575"/>
      <c r="X91" s="575"/>
      <c r="Y91" s="575"/>
      <c r="Z91" s="575"/>
      <c r="AA91" s="575"/>
      <c r="AB91" s="809"/>
      <c r="AC91" s="575"/>
      <c r="AD91" s="575"/>
      <c r="AE91" s="575"/>
      <c r="AF91" s="817"/>
      <c r="AG91" s="575"/>
      <c r="AH91" s="575"/>
      <c r="AI91" s="738">
        <f t="shared" si="7"/>
        <v>0</v>
      </c>
      <c r="AJ91" s="582">
        <v>0</v>
      </c>
      <c r="AK91" s="581">
        <f t="shared" si="8"/>
        <v>0</v>
      </c>
      <c r="AL91" s="746" t="s">
        <v>1554</v>
      </c>
      <c r="AM91" s="743">
        <f t="shared" si="9"/>
        <v>179.25</v>
      </c>
    </row>
    <row r="92" spans="1:39" s="560" customFormat="1" ht="13.8" hidden="1">
      <c r="A92" s="620" t="s">
        <v>702</v>
      </c>
      <c r="B92" s="621" t="s">
        <v>1163</v>
      </c>
      <c r="C92" s="628"/>
      <c r="D92" s="580"/>
      <c r="E92" s="581"/>
      <c r="F92" s="581"/>
      <c r="G92" s="778"/>
      <c r="H92" s="581"/>
      <c r="I92" s="582"/>
      <c r="J92" s="582"/>
      <c r="K92" s="582"/>
      <c r="L92" s="575"/>
      <c r="M92" s="575"/>
      <c r="N92" s="809"/>
      <c r="O92" s="575"/>
      <c r="P92" s="575"/>
      <c r="Q92" s="575"/>
      <c r="R92" s="575"/>
      <c r="S92" s="575"/>
      <c r="T92" s="575"/>
      <c r="U92" s="809"/>
      <c r="V92" s="575"/>
      <c r="W92" s="575"/>
      <c r="X92" s="575"/>
      <c r="Y92" s="575"/>
      <c r="Z92" s="575"/>
      <c r="AA92" s="575"/>
      <c r="AB92" s="809"/>
      <c r="AC92" s="575"/>
      <c r="AD92" s="575"/>
      <c r="AE92" s="575"/>
      <c r="AF92" s="817"/>
      <c r="AG92" s="575"/>
      <c r="AH92" s="575"/>
      <c r="AI92" s="738">
        <f t="shared" ref="AI92:AI114" si="10">ROUND((SUM(D92:AG92)),2)</f>
        <v>0</v>
      </c>
      <c r="AJ92" s="582">
        <v>0</v>
      </c>
      <c r="AK92" s="581">
        <f t="shared" si="8"/>
        <v>0</v>
      </c>
      <c r="AL92" s="746"/>
      <c r="AM92" s="743">
        <f t="shared" si="9"/>
        <v>0</v>
      </c>
    </row>
    <row r="93" spans="1:39" s="560" customFormat="1" ht="13.8" hidden="1">
      <c r="A93" s="620" t="s">
        <v>703</v>
      </c>
      <c r="B93" s="621" t="s">
        <v>1194</v>
      </c>
      <c r="C93" s="628" t="s">
        <v>39</v>
      </c>
      <c r="D93" s="580"/>
      <c r="E93" s="581"/>
      <c r="F93" s="581"/>
      <c r="G93" s="778"/>
      <c r="H93" s="581"/>
      <c r="I93" s="582"/>
      <c r="J93" s="582"/>
      <c r="K93" s="582"/>
      <c r="L93" s="575"/>
      <c r="M93" s="575"/>
      <c r="N93" s="809"/>
      <c r="O93" s="575"/>
      <c r="P93" s="575"/>
      <c r="Q93" s="575"/>
      <c r="R93" s="575"/>
      <c r="S93" s="575"/>
      <c r="T93" s="575"/>
      <c r="U93" s="809"/>
      <c r="V93" s="575"/>
      <c r="W93" s="575"/>
      <c r="X93" s="575"/>
      <c r="Y93" s="575"/>
      <c r="Z93" s="575"/>
      <c r="AA93" s="575"/>
      <c r="AB93" s="809"/>
      <c r="AC93" s="575"/>
      <c r="AD93" s="575"/>
      <c r="AE93" s="575"/>
      <c r="AF93" s="817"/>
      <c r="AG93" s="575"/>
      <c r="AH93" s="575"/>
      <c r="AI93" s="738">
        <f t="shared" si="10"/>
        <v>0</v>
      </c>
      <c r="AJ93" s="582">
        <v>0</v>
      </c>
      <c r="AK93" s="581">
        <f t="shared" si="8"/>
        <v>0</v>
      </c>
      <c r="AL93" s="746" t="s">
        <v>1518</v>
      </c>
      <c r="AM93" s="743">
        <f t="shared" si="9"/>
        <v>2.1800000000000002</v>
      </c>
    </row>
    <row r="94" spans="1:39" s="560" customFormat="1" ht="13.8" hidden="1">
      <c r="A94" s="620" t="s">
        <v>704</v>
      </c>
      <c r="B94" s="621" t="s">
        <v>1165</v>
      </c>
      <c r="C94" s="628" t="s">
        <v>36</v>
      </c>
      <c r="D94" s="580"/>
      <c r="E94" s="581"/>
      <c r="F94" s="581"/>
      <c r="G94" s="778"/>
      <c r="H94" s="581"/>
      <c r="I94" s="582"/>
      <c r="J94" s="582"/>
      <c r="K94" s="582"/>
      <c r="L94" s="575"/>
      <c r="M94" s="575"/>
      <c r="N94" s="809"/>
      <c r="O94" s="575"/>
      <c r="P94" s="575"/>
      <c r="Q94" s="575"/>
      <c r="R94" s="575"/>
      <c r="S94" s="575"/>
      <c r="T94" s="575"/>
      <c r="U94" s="809"/>
      <c r="V94" s="575"/>
      <c r="W94" s="575"/>
      <c r="X94" s="575"/>
      <c r="Y94" s="575"/>
      <c r="Z94" s="575"/>
      <c r="AA94" s="575"/>
      <c r="AB94" s="809"/>
      <c r="AC94" s="575"/>
      <c r="AD94" s="575"/>
      <c r="AE94" s="575"/>
      <c r="AF94" s="817"/>
      <c r="AG94" s="575"/>
      <c r="AH94" s="575"/>
      <c r="AI94" s="738">
        <f t="shared" si="10"/>
        <v>0</v>
      </c>
      <c r="AJ94" s="582">
        <v>0</v>
      </c>
      <c r="AK94" s="581">
        <f t="shared" si="8"/>
        <v>0</v>
      </c>
      <c r="AL94" s="746" t="s">
        <v>1555</v>
      </c>
      <c r="AM94" s="743">
        <f t="shared" si="9"/>
        <v>34.799999999999997</v>
      </c>
    </row>
    <row r="95" spans="1:39" s="560" customFormat="1" ht="13.8" hidden="1">
      <c r="A95" s="620" t="s">
        <v>705</v>
      </c>
      <c r="B95" s="621" t="s">
        <v>1166</v>
      </c>
      <c r="C95" s="628" t="s">
        <v>47</v>
      </c>
      <c r="D95" s="580"/>
      <c r="E95" s="581"/>
      <c r="F95" s="581"/>
      <c r="G95" s="778"/>
      <c r="H95" s="581"/>
      <c r="I95" s="582"/>
      <c r="J95" s="582"/>
      <c r="K95" s="582"/>
      <c r="L95" s="575"/>
      <c r="M95" s="575"/>
      <c r="N95" s="809"/>
      <c r="O95" s="575"/>
      <c r="P95" s="575"/>
      <c r="Q95" s="575"/>
      <c r="R95" s="575"/>
      <c r="S95" s="575"/>
      <c r="T95" s="575"/>
      <c r="U95" s="809"/>
      <c r="V95" s="575"/>
      <c r="W95" s="575"/>
      <c r="X95" s="575"/>
      <c r="Y95" s="575"/>
      <c r="Z95" s="575"/>
      <c r="AA95" s="575"/>
      <c r="AB95" s="809"/>
      <c r="AC95" s="575"/>
      <c r="AD95" s="575"/>
      <c r="AE95" s="575"/>
      <c r="AF95" s="817"/>
      <c r="AG95" s="575"/>
      <c r="AH95" s="575"/>
      <c r="AI95" s="738">
        <f t="shared" si="10"/>
        <v>0</v>
      </c>
      <c r="AJ95" s="582">
        <v>0</v>
      </c>
      <c r="AK95" s="581">
        <f t="shared" ref="AK95:AK149" si="11">AI95+AJ95</f>
        <v>0</v>
      </c>
      <c r="AL95" s="746" t="s">
        <v>1556</v>
      </c>
      <c r="AM95" s="743">
        <f t="shared" ref="AM95:AM149" si="12">AL95-AK95</f>
        <v>314.66000000000003</v>
      </c>
    </row>
    <row r="96" spans="1:39" s="560" customFormat="1" ht="13.8" hidden="1">
      <c r="A96" s="620" t="s">
        <v>706</v>
      </c>
      <c r="B96" s="621" t="s">
        <v>1167</v>
      </c>
      <c r="C96" s="628"/>
      <c r="D96" s="580"/>
      <c r="E96" s="581"/>
      <c r="F96" s="581"/>
      <c r="G96" s="778"/>
      <c r="H96" s="581"/>
      <c r="I96" s="582"/>
      <c r="J96" s="582"/>
      <c r="K96" s="582"/>
      <c r="L96" s="575"/>
      <c r="M96" s="575"/>
      <c r="N96" s="809"/>
      <c r="O96" s="575"/>
      <c r="P96" s="575"/>
      <c r="Q96" s="575"/>
      <c r="R96" s="575"/>
      <c r="S96" s="575"/>
      <c r="T96" s="575"/>
      <c r="U96" s="809"/>
      <c r="V96" s="575"/>
      <c r="W96" s="575"/>
      <c r="X96" s="575"/>
      <c r="Y96" s="575"/>
      <c r="Z96" s="575"/>
      <c r="AA96" s="575"/>
      <c r="AB96" s="809"/>
      <c r="AC96" s="575"/>
      <c r="AD96" s="575"/>
      <c r="AE96" s="575"/>
      <c r="AF96" s="817"/>
      <c r="AG96" s="575"/>
      <c r="AH96" s="575"/>
      <c r="AI96" s="738">
        <f t="shared" si="10"/>
        <v>0</v>
      </c>
      <c r="AJ96" s="582">
        <v>0</v>
      </c>
      <c r="AK96" s="581">
        <f t="shared" si="11"/>
        <v>0</v>
      </c>
      <c r="AL96" s="746"/>
      <c r="AM96" s="743">
        <f t="shared" si="12"/>
        <v>0</v>
      </c>
    </row>
    <row r="97" spans="1:39" s="560" customFormat="1" ht="13.8" hidden="1">
      <c r="A97" s="620" t="s">
        <v>707</v>
      </c>
      <c r="B97" s="621" t="s">
        <v>1168</v>
      </c>
      <c r="C97" s="628" t="s">
        <v>39</v>
      </c>
      <c r="D97" s="580"/>
      <c r="E97" s="581"/>
      <c r="F97" s="581"/>
      <c r="G97" s="778"/>
      <c r="H97" s="581"/>
      <c r="I97" s="582"/>
      <c r="J97" s="582"/>
      <c r="K97" s="582"/>
      <c r="L97" s="575"/>
      <c r="M97" s="575"/>
      <c r="N97" s="809"/>
      <c r="O97" s="575"/>
      <c r="P97" s="575"/>
      <c r="Q97" s="575"/>
      <c r="R97" s="575"/>
      <c r="S97" s="575"/>
      <c r="T97" s="575"/>
      <c r="U97" s="809"/>
      <c r="V97" s="575"/>
      <c r="W97" s="575"/>
      <c r="X97" s="575"/>
      <c r="Y97" s="575"/>
      <c r="Z97" s="575"/>
      <c r="AA97" s="575"/>
      <c r="AB97" s="809"/>
      <c r="AC97" s="575"/>
      <c r="AD97" s="575"/>
      <c r="AE97" s="575"/>
      <c r="AF97" s="817"/>
      <c r="AG97" s="575"/>
      <c r="AH97" s="575"/>
      <c r="AI97" s="738">
        <f t="shared" si="10"/>
        <v>0</v>
      </c>
      <c r="AJ97" s="582">
        <v>0</v>
      </c>
      <c r="AK97" s="581">
        <f t="shared" si="11"/>
        <v>0</v>
      </c>
      <c r="AL97" s="746" t="s">
        <v>1464</v>
      </c>
      <c r="AM97" s="743">
        <f t="shared" si="12"/>
        <v>1.49</v>
      </c>
    </row>
    <row r="98" spans="1:39" s="560" customFormat="1" ht="13.8" hidden="1">
      <c r="A98" s="620" t="s">
        <v>708</v>
      </c>
      <c r="B98" s="621" t="s">
        <v>1169</v>
      </c>
      <c r="C98" s="628" t="s">
        <v>36</v>
      </c>
      <c r="D98" s="580"/>
      <c r="E98" s="581"/>
      <c r="F98" s="581"/>
      <c r="G98" s="778"/>
      <c r="H98" s="581"/>
      <c r="I98" s="582"/>
      <c r="J98" s="582"/>
      <c r="K98" s="582"/>
      <c r="L98" s="575"/>
      <c r="M98" s="575"/>
      <c r="N98" s="809"/>
      <c r="O98" s="575"/>
      <c r="P98" s="575"/>
      <c r="Q98" s="575"/>
      <c r="R98" s="575"/>
      <c r="S98" s="575"/>
      <c r="T98" s="575"/>
      <c r="U98" s="809"/>
      <c r="V98" s="575"/>
      <c r="W98" s="575"/>
      <c r="X98" s="575"/>
      <c r="Y98" s="575"/>
      <c r="Z98" s="575"/>
      <c r="AA98" s="575"/>
      <c r="AB98" s="809"/>
      <c r="AC98" s="575"/>
      <c r="AD98" s="575"/>
      <c r="AE98" s="575"/>
      <c r="AF98" s="817"/>
      <c r="AG98" s="575"/>
      <c r="AH98" s="575"/>
      <c r="AI98" s="738">
        <f t="shared" si="10"/>
        <v>0</v>
      </c>
      <c r="AJ98" s="582">
        <v>0</v>
      </c>
      <c r="AK98" s="581">
        <f t="shared" si="11"/>
        <v>0</v>
      </c>
      <c r="AL98" s="746" t="s">
        <v>1465</v>
      </c>
      <c r="AM98" s="743">
        <f t="shared" si="12"/>
        <v>19.71</v>
      </c>
    </row>
    <row r="99" spans="1:39" s="560" customFormat="1" ht="13.8" hidden="1">
      <c r="A99" s="620" t="s">
        <v>709</v>
      </c>
      <c r="B99" s="621" t="s">
        <v>1170</v>
      </c>
      <c r="C99" s="628" t="s">
        <v>47</v>
      </c>
      <c r="D99" s="580"/>
      <c r="E99" s="581"/>
      <c r="F99" s="581"/>
      <c r="G99" s="778"/>
      <c r="H99" s="581"/>
      <c r="I99" s="582"/>
      <c r="J99" s="582"/>
      <c r="K99" s="582"/>
      <c r="L99" s="575"/>
      <c r="M99" s="575"/>
      <c r="N99" s="809"/>
      <c r="O99" s="575"/>
      <c r="P99" s="575"/>
      <c r="Q99" s="575"/>
      <c r="R99" s="575"/>
      <c r="S99" s="575"/>
      <c r="T99" s="575"/>
      <c r="U99" s="809"/>
      <c r="V99" s="575"/>
      <c r="W99" s="575"/>
      <c r="X99" s="575"/>
      <c r="Y99" s="575"/>
      <c r="Z99" s="575"/>
      <c r="AA99" s="575"/>
      <c r="AB99" s="809"/>
      <c r="AC99" s="575"/>
      <c r="AD99" s="575"/>
      <c r="AE99" s="575"/>
      <c r="AF99" s="817"/>
      <c r="AG99" s="575"/>
      <c r="AH99" s="575"/>
      <c r="AI99" s="738">
        <f t="shared" si="10"/>
        <v>0</v>
      </c>
      <c r="AJ99" s="582">
        <v>0</v>
      </c>
      <c r="AK99" s="581">
        <f t="shared" si="11"/>
        <v>0</v>
      </c>
      <c r="AL99" s="746" t="s">
        <v>1466</v>
      </c>
      <c r="AM99" s="743">
        <f t="shared" si="12"/>
        <v>659.98</v>
      </c>
    </row>
    <row r="100" spans="1:39" s="560" customFormat="1" ht="13.8" hidden="1">
      <c r="A100" s="620" t="s">
        <v>710</v>
      </c>
      <c r="B100" s="621" t="s">
        <v>1171</v>
      </c>
      <c r="C100" s="628"/>
      <c r="D100" s="580"/>
      <c r="E100" s="581"/>
      <c r="F100" s="581"/>
      <c r="G100" s="778"/>
      <c r="H100" s="581"/>
      <c r="I100" s="582"/>
      <c r="J100" s="582"/>
      <c r="K100" s="582"/>
      <c r="L100" s="575"/>
      <c r="M100" s="575"/>
      <c r="N100" s="809"/>
      <c r="O100" s="575"/>
      <c r="P100" s="575"/>
      <c r="Q100" s="575"/>
      <c r="R100" s="575"/>
      <c r="S100" s="575"/>
      <c r="T100" s="575"/>
      <c r="U100" s="809"/>
      <c r="V100" s="575"/>
      <c r="W100" s="575"/>
      <c r="X100" s="575"/>
      <c r="Y100" s="575"/>
      <c r="Z100" s="575"/>
      <c r="AA100" s="575"/>
      <c r="AB100" s="809"/>
      <c r="AC100" s="575"/>
      <c r="AD100" s="575"/>
      <c r="AE100" s="575"/>
      <c r="AF100" s="817"/>
      <c r="AG100" s="575"/>
      <c r="AH100" s="575"/>
      <c r="AI100" s="738">
        <f t="shared" si="10"/>
        <v>0</v>
      </c>
      <c r="AJ100" s="582">
        <v>0</v>
      </c>
      <c r="AK100" s="581">
        <f t="shared" si="11"/>
        <v>0</v>
      </c>
      <c r="AL100" s="746"/>
      <c r="AM100" s="743">
        <f t="shared" si="12"/>
        <v>0</v>
      </c>
    </row>
    <row r="101" spans="1:39" s="560" customFormat="1" ht="13.8" hidden="1">
      <c r="A101" s="620" t="s">
        <v>711</v>
      </c>
      <c r="B101" s="621" t="s">
        <v>1172</v>
      </c>
      <c r="C101" s="628" t="s">
        <v>39</v>
      </c>
      <c r="D101" s="580"/>
      <c r="E101" s="581"/>
      <c r="F101" s="581"/>
      <c r="G101" s="778"/>
      <c r="H101" s="581"/>
      <c r="I101" s="582"/>
      <c r="J101" s="582"/>
      <c r="K101" s="582"/>
      <c r="L101" s="575"/>
      <c r="M101" s="575"/>
      <c r="N101" s="809"/>
      <c r="O101" s="575"/>
      <c r="P101" s="575"/>
      <c r="Q101" s="575"/>
      <c r="R101" s="575"/>
      <c r="S101" s="575"/>
      <c r="T101" s="575"/>
      <c r="U101" s="809"/>
      <c r="V101" s="575"/>
      <c r="W101" s="575"/>
      <c r="X101" s="575"/>
      <c r="Y101" s="575"/>
      <c r="Z101" s="575"/>
      <c r="AA101" s="575"/>
      <c r="AB101" s="809"/>
      <c r="AC101" s="575"/>
      <c r="AD101" s="575"/>
      <c r="AE101" s="575"/>
      <c r="AF101" s="817"/>
      <c r="AG101" s="575"/>
      <c r="AH101" s="575"/>
      <c r="AI101" s="738">
        <f t="shared" si="10"/>
        <v>0</v>
      </c>
      <c r="AJ101" s="582">
        <v>0</v>
      </c>
      <c r="AK101" s="581">
        <f t="shared" si="11"/>
        <v>0</v>
      </c>
      <c r="AL101" s="746" t="s">
        <v>1557</v>
      </c>
      <c r="AM101" s="743">
        <f t="shared" si="12"/>
        <v>5.6</v>
      </c>
    </row>
    <row r="102" spans="1:39" s="560" customFormat="1" ht="13.8" hidden="1">
      <c r="A102" s="620" t="s">
        <v>712</v>
      </c>
      <c r="B102" s="621" t="s">
        <v>1173</v>
      </c>
      <c r="C102" s="628" t="s">
        <v>36</v>
      </c>
      <c r="D102" s="580"/>
      <c r="E102" s="581"/>
      <c r="F102" s="581"/>
      <c r="G102" s="778"/>
      <c r="H102" s="581"/>
      <c r="I102" s="582"/>
      <c r="J102" s="582"/>
      <c r="K102" s="582"/>
      <c r="L102" s="575"/>
      <c r="M102" s="575"/>
      <c r="N102" s="809"/>
      <c r="O102" s="575"/>
      <c r="P102" s="575"/>
      <c r="Q102" s="575"/>
      <c r="R102" s="575"/>
      <c r="S102" s="575"/>
      <c r="T102" s="575"/>
      <c r="U102" s="809"/>
      <c r="V102" s="575"/>
      <c r="W102" s="575"/>
      <c r="X102" s="575"/>
      <c r="Y102" s="575"/>
      <c r="Z102" s="575"/>
      <c r="AA102" s="575"/>
      <c r="AB102" s="809"/>
      <c r="AC102" s="575"/>
      <c r="AD102" s="575"/>
      <c r="AE102" s="575"/>
      <c r="AF102" s="817"/>
      <c r="AG102" s="575"/>
      <c r="AH102" s="575"/>
      <c r="AI102" s="738">
        <f t="shared" si="10"/>
        <v>0</v>
      </c>
      <c r="AJ102" s="582">
        <v>0</v>
      </c>
      <c r="AK102" s="581">
        <f t="shared" si="11"/>
        <v>0</v>
      </c>
      <c r="AL102" s="746" t="s">
        <v>1558</v>
      </c>
      <c r="AM102" s="743">
        <f t="shared" si="12"/>
        <v>48.75</v>
      </c>
    </row>
    <row r="103" spans="1:39" s="560" customFormat="1" ht="13.8" hidden="1">
      <c r="A103" s="620" t="s">
        <v>713</v>
      </c>
      <c r="B103" s="621" t="s">
        <v>1174</v>
      </c>
      <c r="C103" s="628" t="s">
        <v>47</v>
      </c>
      <c r="D103" s="580"/>
      <c r="E103" s="581"/>
      <c r="F103" s="581"/>
      <c r="G103" s="778"/>
      <c r="H103" s="581"/>
      <c r="I103" s="582"/>
      <c r="J103" s="582"/>
      <c r="K103" s="582"/>
      <c r="L103" s="575"/>
      <c r="M103" s="575"/>
      <c r="N103" s="809"/>
      <c r="O103" s="575"/>
      <c r="P103" s="575"/>
      <c r="Q103" s="575"/>
      <c r="R103" s="575"/>
      <c r="S103" s="575"/>
      <c r="T103" s="575"/>
      <c r="U103" s="809"/>
      <c r="V103" s="575"/>
      <c r="W103" s="575"/>
      <c r="X103" s="575"/>
      <c r="Y103" s="575"/>
      <c r="Z103" s="575"/>
      <c r="AA103" s="575"/>
      <c r="AB103" s="809"/>
      <c r="AC103" s="575"/>
      <c r="AD103" s="575"/>
      <c r="AE103" s="575"/>
      <c r="AF103" s="817"/>
      <c r="AG103" s="575"/>
      <c r="AH103" s="575"/>
      <c r="AI103" s="738">
        <f t="shared" si="10"/>
        <v>0</v>
      </c>
      <c r="AJ103" s="582">
        <v>0</v>
      </c>
      <c r="AK103" s="581">
        <f t="shared" si="11"/>
        <v>0</v>
      </c>
      <c r="AL103" s="746" t="s">
        <v>1559</v>
      </c>
      <c r="AM103" s="743">
        <f t="shared" si="12"/>
        <v>642.09</v>
      </c>
    </row>
    <row r="104" spans="1:39" s="560" customFormat="1" ht="13.8" hidden="1">
      <c r="A104" s="620" t="s">
        <v>714</v>
      </c>
      <c r="B104" s="621" t="s">
        <v>1175</v>
      </c>
      <c r="C104" s="628"/>
      <c r="D104" s="580"/>
      <c r="E104" s="581"/>
      <c r="F104" s="581"/>
      <c r="G104" s="778"/>
      <c r="H104" s="581"/>
      <c r="I104" s="582"/>
      <c r="J104" s="582"/>
      <c r="K104" s="582"/>
      <c r="L104" s="575"/>
      <c r="M104" s="575"/>
      <c r="N104" s="809"/>
      <c r="O104" s="575"/>
      <c r="P104" s="575"/>
      <c r="Q104" s="575"/>
      <c r="R104" s="575"/>
      <c r="S104" s="575"/>
      <c r="T104" s="575"/>
      <c r="U104" s="809"/>
      <c r="V104" s="575"/>
      <c r="W104" s="575"/>
      <c r="X104" s="575"/>
      <c r="Y104" s="575"/>
      <c r="Z104" s="575"/>
      <c r="AA104" s="575"/>
      <c r="AB104" s="809"/>
      <c r="AC104" s="575"/>
      <c r="AD104" s="575"/>
      <c r="AE104" s="575"/>
      <c r="AF104" s="817"/>
      <c r="AG104" s="575"/>
      <c r="AH104" s="575"/>
      <c r="AI104" s="738">
        <f t="shared" si="10"/>
        <v>0</v>
      </c>
      <c r="AJ104" s="582">
        <v>0</v>
      </c>
      <c r="AK104" s="581">
        <f t="shared" si="11"/>
        <v>0</v>
      </c>
      <c r="AL104" s="746"/>
      <c r="AM104" s="743">
        <f t="shared" si="12"/>
        <v>0</v>
      </c>
    </row>
    <row r="105" spans="1:39" s="560" customFormat="1" ht="13.8" hidden="1">
      <c r="A105" s="620" t="s">
        <v>715</v>
      </c>
      <c r="B105" s="621" t="s">
        <v>1176</v>
      </c>
      <c r="C105" s="628" t="s">
        <v>39</v>
      </c>
      <c r="D105" s="580"/>
      <c r="E105" s="581"/>
      <c r="F105" s="581"/>
      <c r="G105" s="778"/>
      <c r="H105" s="581"/>
      <c r="I105" s="582"/>
      <c r="J105" s="582"/>
      <c r="K105" s="582"/>
      <c r="L105" s="575"/>
      <c r="M105" s="575"/>
      <c r="N105" s="809"/>
      <c r="O105" s="575"/>
      <c r="P105" s="575"/>
      <c r="Q105" s="575"/>
      <c r="R105" s="575"/>
      <c r="S105" s="575"/>
      <c r="T105" s="575"/>
      <c r="U105" s="809"/>
      <c r="V105" s="575"/>
      <c r="W105" s="575"/>
      <c r="X105" s="575"/>
      <c r="Y105" s="575"/>
      <c r="Z105" s="575"/>
      <c r="AA105" s="575"/>
      <c r="AB105" s="809"/>
      <c r="AC105" s="575"/>
      <c r="AD105" s="575"/>
      <c r="AE105" s="575"/>
      <c r="AF105" s="817"/>
      <c r="AG105" s="575"/>
      <c r="AH105" s="575"/>
      <c r="AI105" s="738">
        <f t="shared" si="10"/>
        <v>0</v>
      </c>
      <c r="AJ105" s="582">
        <v>0</v>
      </c>
      <c r="AK105" s="581">
        <f t="shared" si="11"/>
        <v>0</v>
      </c>
      <c r="AL105" s="746" t="s">
        <v>1560</v>
      </c>
      <c r="AM105" s="743">
        <f t="shared" si="12"/>
        <v>3.36</v>
      </c>
    </row>
    <row r="106" spans="1:39" s="560" customFormat="1" ht="13.8" hidden="1">
      <c r="A106" s="620" t="s">
        <v>716</v>
      </c>
      <c r="B106" s="621" t="s">
        <v>1177</v>
      </c>
      <c r="C106" s="628" t="s">
        <v>36</v>
      </c>
      <c r="D106" s="580"/>
      <c r="E106" s="581"/>
      <c r="F106" s="581"/>
      <c r="G106" s="778"/>
      <c r="H106" s="581"/>
      <c r="I106" s="582"/>
      <c r="J106" s="582"/>
      <c r="K106" s="582"/>
      <c r="L106" s="575"/>
      <c r="M106" s="575"/>
      <c r="N106" s="809"/>
      <c r="O106" s="575"/>
      <c r="P106" s="575"/>
      <c r="Q106" s="575"/>
      <c r="R106" s="575"/>
      <c r="S106" s="575"/>
      <c r="T106" s="575"/>
      <c r="U106" s="809"/>
      <c r="V106" s="575"/>
      <c r="W106" s="575"/>
      <c r="X106" s="575"/>
      <c r="Y106" s="575"/>
      <c r="Z106" s="575"/>
      <c r="AA106" s="575"/>
      <c r="AB106" s="809"/>
      <c r="AC106" s="575"/>
      <c r="AD106" s="575"/>
      <c r="AE106" s="575"/>
      <c r="AF106" s="817"/>
      <c r="AG106" s="575"/>
      <c r="AH106" s="575"/>
      <c r="AI106" s="738">
        <f t="shared" si="10"/>
        <v>0</v>
      </c>
      <c r="AJ106" s="582">
        <v>0</v>
      </c>
      <c r="AK106" s="581">
        <f t="shared" si="11"/>
        <v>0</v>
      </c>
      <c r="AL106" s="746" t="s">
        <v>1561</v>
      </c>
      <c r="AM106" s="743">
        <f t="shared" si="12"/>
        <v>38.35</v>
      </c>
    </row>
    <row r="107" spans="1:39" s="560" customFormat="1" ht="13.8" hidden="1">
      <c r="A107" s="620" t="s">
        <v>717</v>
      </c>
      <c r="B107" s="621" t="s">
        <v>1178</v>
      </c>
      <c r="C107" s="628" t="s">
        <v>47</v>
      </c>
      <c r="D107" s="580"/>
      <c r="E107" s="581"/>
      <c r="F107" s="581"/>
      <c r="G107" s="778"/>
      <c r="H107" s="581"/>
      <c r="I107" s="582"/>
      <c r="J107" s="582"/>
      <c r="K107" s="582"/>
      <c r="L107" s="575"/>
      <c r="M107" s="575"/>
      <c r="N107" s="809"/>
      <c r="O107" s="575"/>
      <c r="P107" s="575"/>
      <c r="Q107" s="575"/>
      <c r="R107" s="575"/>
      <c r="S107" s="575"/>
      <c r="T107" s="575"/>
      <c r="U107" s="809"/>
      <c r="V107" s="575"/>
      <c r="W107" s="575"/>
      <c r="X107" s="575"/>
      <c r="Y107" s="575"/>
      <c r="Z107" s="575"/>
      <c r="AA107" s="575"/>
      <c r="AB107" s="809"/>
      <c r="AC107" s="575"/>
      <c r="AD107" s="575"/>
      <c r="AE107" s="575"/>
      <c r="AF107" s="817"/>
      <c r="AG107" s="575"/>
      <c r="AH107" s="575"/>
      <c r="AI107" s="738">
        <f t="shared" si="10"/>
        <v>0</v>
      </c>
      <c r="AJ107" s="582">
        <v>0</v>
      </c>
      <c r="AK107" s="581">
        <f t="shared" si="11"/>
        <v>0</v>
      </c>
      <c r="AL107" s="746" t="s">
        <v>1562</v>
      </c>
      <c r="AM107" s="743">
        <f t="shared" si="12"/>
        <v>276.95999999999998</v>
      </c>
    </row>
    <row r="108" spans="1:39" s="560" customFormat="1" ht="13.8" hidden="1">
      <c r="A108" s="620" t="s">
        <v>718</v>
      </c>
      <c r="B108" s="621" t="s">
        <v>1179</v>
      </c>
      <c r="C108" s="628" t="s">
        <v>1436</v>
      </c>
      <c r="D108" s="580"/>
      <c r="E108" s="581"/>
      <c r="F108" s="581"/>
      <c r="G108" s="778"/>
      <c r="H108" s="581"/>
      <c r="I108" s="582"/>
      <c r="J108" s="582"/>
      <c r="K108" s="582"/>
      <c r="L108" s="575"/>
      <c r="M108" s="575"/>
      <c r="N108" s="809"/>
      <c r="O108" s="575"/>
      <c r="P108" s="575"/>
      <c r="Q108" s="575"/>
      <c r="R108" s="575"/>
      <c r="S108" s="575"/>
      <c r="T108" s="575"/>
      <c r="U108" s="809"/>
      <c r="V108" s="575"/>
      <c r="W108" s="575"/>
      <c r="X108" s="575"/>
      <c r="Y108" s="575"/>
      <c r="Z108" s="575"/>
      <c r="AA108" s="575"/>
      <c r="AB108" s="809"/>
      <c r="AC108" s="575"/>
      <c r="AD108" s="575"/>
      <c r="AE108" s="575"/>
      <c r="AF108" s="817"/>
      <c r="AG108" s="575"/>
      <c r="AH108" s="575"/>
      <c r="AI108" s="738">
        <f t="shared" si="10"/>
        <v>0</v>
      </c>
      <c r="AJ108" s="582">
        <v>0</v>
      </c>
      <c r="AK108" s="581">
        <f t="shared" si="11"/>
        <v>0</v>
      </c>
      <c r="AL108" s="746" t="s">
        <v>1563</v>
      </c>
      <c r="AM108" s="743">
        <f t="shared" si="12"/>
        <v>319.48</v>
      </c>
    </row>
    <row r="109" spans="1:39" s="560" customFormat="1" ht="13.8" hidden="1">
      <c r="A109" s="620" t="s">
        <v>719</v>
      </c>
      <c r="B109" s="621" t="s">
        <v>1180</v>
      </c>
      <c r="C109" s="628"/>
      <c r="D109" s="580"/>
      <c r="E109" s="581"/>
      <c r="F109" s="581"/>
      <c r="G109" s="778"/>
      <c r="H109" s="581"/>
      <c r="I109" s="582"/>
      <c r="J109" s="582"/>
      <c r="K109" s="582"/>
      <c r="L109" s="575"/>
      <c r="M109" s="575"/>
      <c r="N109" s="809"/>
      <c r="O109" s="575"/>
      <c r="P109" s="575"/>
      <c r="Q109" s="575"/>
      <c r="R109" s="575"/>
      <c r="S109" s="575"/>
      <c r="T109" s="575"/>
      <c r="U109" s="809"/>
      <c r="V109" s="575"/>
      <c r="W109" s="575"/>
      <c r="X109" s="575"/>
      <c r="Y109" s="575"/>
      <c r="Z109" s="575"/>
      <c r="AA109" s="575"/>
      <c r="AB109" s="809"/>
      <c r="AC109" s="575"/>
      <c r="AD109" s="575"/>
      <c r="AE109" s="575"/>
      <c r="AF109" s="817"/>
      <c r="AG109" s="575"/>
      <c r="AH109" s="575"/>
      <c r="AI109" s="738">
        <f t="shared" si="10"/>
        <v>0</v>
      </c>
      <c r="AJ109" s="582">
        <v>0</v>
      </c>
      <c r="AK109" s="581">
        <f t="shared" si="11"/>
        <v>0</v>
      </c>
      <c r="AL109" s="746"/>
      <c r="AM109" s="743">
        <f t="shared" si="12"/>
        <v>0</v>
      </c>
    </row>
    <row r="110" spans="1:39" s="560" customFormat="1" ht="13.8" hidden="1">
      <c r="A110" s="620" t="s">
        <v>720</v>
      </c>
      <c r="B110" s="621" t="s">
        <v>1181</v>
      </c>
      <c r="C110" s="628" t="s">
        <v>39</v>
      </c>
      <c r="D110" s="580"/>
      <c r="E110" s="581"/>
      <c r="F110" s="581"/>
      <c r="G110" s="778"/>
      <c r="H110" s="581"/>
      <c r="I110" s="582"/>
      <c r="J110" s="582"/>
      <c r="K110" s="582"/>
      <c r="L110" s="575"/>
      <c r="M110" s="575"/>
      <c r="N110" s="809"/>
      <c r="O110" s="575"/>
      <c r="P110" s="575"/>
      <c r="Q110" s="575"/>
      <c r="R110" s="575"/>
      <c r="S110" s="575"/>
      <c r="T110" s="575"/>
      <c r="U110" s="809"/>
      <c r="V110" s="575"/>
      <c r="W110" s="575"/>
      <c r="X110" s="575"/>
      <c r="Y110" s="575"/>
      <c r="Z110" s="575"/>
      <c r="AA110" s="575"/>
      <c r="AB110" s="809"/>
      <c r="AC110" s="575"/>
      <c r="AD110" s="575"/>
      <c r="AE110" s="575"/>
      <c r="AF110" s="817"/>
      <c r="AG110" s="575"/>
      <c r="AH110" s="575"/>
      <c r="AI110" s="738">
        <f t="shared" si="10"/>
        <v>0</v>
      </c>
      <c r="AJ110" s="582">
        <v>0</v>
      </c>
      <c r="AK110" s="581">
        <f t="shared" si="11"/>
        <v>0</v>
      </c>
      <c r="AL110" s="746" t="s">
        <v>1564</v>
      </c>
      <c r="AM110" s="743">
        <f t="shared" si="12"/>
        <v>1.03</v>
      </c>
    </row>
    <row r="111" spans="1:39" s="560" customFormat="1" ht="13.8" hidden="1">
      <c r="A111" s="620" t="s">
        <v>721</v>
      </c>
      <c r="B111" s="621" t="s">
        <v>1182</v>
      </c>
      <c r="C111" s="628" t="s">
        <v>36</v>
      </c>
      <c r="D111" s="580"/>
      <c r="E111" s="581"/>
      <c r="F111" s="581"/>
      <c r="G111" s="778"/>
      <c r="H111" s="581"/>
      <c r="I111" s="582"/>
      <c r="J111" s="582"/>
      <c r="K111" s="582"/>
      <c r="L111" s="575"/>
      <c r="M111" s="575"/>
      <c r="N111" s="809"/>
      <c r="O111" s="575"/>
      <c r="P111" s="575"/>
      <c r="Q111" s="575"/>
      <c r="R111" s="575"/>
      <c r="S111" s="575"/>
      <c r="T111" s="575"/>
      <c r="U111" s="809"/>
      <c r="V111" s="575"/>
      <c r="W111" s="575"/>
      <c r="X111" s="575"/>
      <c r="Y111" s="575"/>
      <c r="Z111" s="575"/>
      <c r="AA111" s="575"/>
      <c r="AB111" s="809"/>
      <c r="AC111" s="575"/>
      <c r="AD111" s="575"/>
      <c r="AE111" s="575"/>
      <c r="AF111" s="817"/>
      <c r="AG111" s="575"/>
      <c r="AH111" s="575"/>
      <c r="AI111" s="738">
        <f t="shared" si="10"/>
        <v>0</v>
      </c>
      <c r="AJ111" s="582">
        <v>0</v>
      </c>
      <c r="AK111" s="581">
        <f t="shared" si="11"/>
        <v>0</v>
      </c>
      <c r="AL111" s="746" t="s">
        <v>1565</v>
      </c>
      <c r="AM111" s="743">
        <f t="shared" si="12"/>
        <v>13.74</v>
      </c>
    </row>
    <row r="112" spans="1:39" s="560" customFormat="1" ht="13.8" hidden="1">
      <c r="A112" s="620" t="s">
        <v>722</v>
      </c>
      <c r="B112" s="621" t="s">
        <v>1183</v>
      </c>
      <c r="C112" s="628" t="s">
        <v>47</v>
      </c>
      <c r="D112" s="580"/>
      <c r="E112" s="581"/>
      <c r="F112" s="581"/>
      <c r="G112" s="778"/>
      <c r="H112" s="581"/>
      <c r="I112" s="582"/>
      <c r="J112" s="582"/>
      <c r="K112" s="582"/>
      <c r="L112" s="575"/>
      <c r="M112" s="575"/>
      <c r="N112" s="809"/>
      <c r="O112" s="575"/>
      <c r="P112" s="575"/>
      <c r="Q112" s="575"/>
      <c r="R112" s="575"/>
      <c r="S112" s="575"/>
      <c r="T112" s="575"/>
      <c r="U112" s="809"/>
      <c r="V112" s="575"/>
      <c r="W112" s="575"/>
      <c r="X112" s="575"/>
      <c r="Y112" s="575"/>
      <c r="Z112" s="575"/>
      <c r="AA112" s="575"/>
      <c r="AB112" s="809"/>
      <c r="AC112" s="575"/>
      <c r="AD112" s="575"/>
      <c r="AE112" s="575"/>
      <c r="AF112" s="817"/>
      <c r="AG112" s="575"/>
      <c r="AH112" s="575"/>
      <c r="AI112" s="738">
        <f t="shared" si="10"/>
        <v>0</v>
      </c>
      <c r="AJ112" s="582">
        <v>0</v>
      </c>
      <c r="AK112" s="581">
        <f t="shared" si="11"/>
        <v>0</v>
      </c>
      <c r="AL112" s="746" t="s">
        <v>1566</v>
      </c>
      <c r="AM112" s="743">
        <f t="shared" si="12"/>
        <v>65.349999999999994</v>
      </c>
    </row>
    <row r="113" spans="1:39" s="560" customFormat="1" ht="13.8" hidden="1">
      <c r="A113" s="620" t="s">
        <v>723</v>
      </c>
      <c r="B113" s="621" t="s">
        <v>1184</v>
      </c>
      <c r="C113" s="628"/>
      <c r="D113" s="580"/>
      <c r="E113" s="581"/>
      <c r="F113" s="581"/>
      <c r="G113" s="778"/>
      <c r="H113" s="581"/>
      <c r="I113" s="582"/>
      <c r="J113" s="582"/>
      <c r="K113" s="582"/>
      <c r="L113" s="575"/>
      <c r="M113" s="575"/>
      <c r="N113" s="809"/>
      <c r="O113" s="575"/>
      <c r="P113" s="575"/>
      <c r="Q113" s="575"/>
      <c r="R113" s="575"/>
      <c r="S113" s="575"/>
      <c r="T113" s="575"/>
      <c r="U113" s="809"/>
      <c r="V113" s="575"/>
      <c r="W113" s="575"/>
      <c r="X113" s="575"/>
      <c r="Y113" s="575"/>
      <c r="Z113" s="575"/>
      <c r="AA113" s="575"/>
      <c r="AB113" s="809"/>
      <c r="AC113" s="575"/>
      <c r="AD113" s="575"/>
      <c r="AE113" s="575"/>
      <c r="AF113" s="817"/>
      <c r="AG113" s="575"/>
      <c r="AH113" s="575"/>
      <c r="AI113" s="738">
        <f t="shared" si="10"/>
        <v>0</v>
      </c>
      <c r="AJ113" s="582">
        <v>0</v>
      </c>
      <c r="AK113" s="581">
        <f t="shared" si="11"/>
        <v>0</v>
      </c>
      <c r="AL113" s="746"/>
      <c r="AM113" s="743">
        <f t="shared" si="12"/>
        <v>0</v>
      </c>
    </row>
    <row r="114" spans="1:39" s="560" customFormat="1" ht="13.8" hidden="1">
      <c r="A114" s="620" t="s">
        <v>724</v>
      </c>
      <c r="B114" s="621" t="s">
        <v>1185</v>
      </c>
      <c r="C114" s="628" t="s">
        <v>37</v>
      </c>
      <c r="D114" s="580"/>
      <c r="E114" s="581"/>
      <c r="F114" s="581"/>
      <c r="G114" s="778"/>
      <c r="H114" s="581"/>
      <c r="I114" s="582"/>
      <c r="J114" s="582"/>
      <c r="K114" s="582"/>
      <c r="L114" s="575"/>
      <c r="M114" s="575"/>
      <c r="N114" s="809"/>
      <c r="O114" s="575"/>
      <c r="P114" s="575"/>
      <c r="Q114" s="575"/>
      <c r="R114" s="575"/>
      <c r="S114" s="575"/>
      <c r="T114" s="575"/>
      <c r="U114" s="809"/>
      <c r="V114" s="575"/>
      <c r="W114" s="575"/>
      <c r="X114" s="575"/>
      <c r="Y114" s="575"/>
      <c r="Z114" s="575"/>
      <c r="AA114" s="575"/>
      <c r="AB114" s="809"/>
      <c r="AC114" s="575"/>
      <c r="AD114" s="575"/>
      <c r="AE114" s="575"/>
      <c r="AF114" s="817"/>
      <c r="AG114" s="575"/>
      <c r="AH114" s="575"/>
      <c r="AI114" s="738">
        <f t="shared" si="10"/>
        <v>0</v>
      </c>
      <c r="AJ114" s="582">
        <v>0</v>
      </c>
      <c r="AK114" s="581">
        <f t="shared" si="11"/>
        <v>0</v>
      </c>
      <c r="AL114" s="746" t="s">
        <v>1567</v>
      </c>
      <c r="AM114" s="743">
        <f t="shared" si="12"/>
        <v>110.7</v>
      </c>
    </row>
    <row r="115" spans="1:39" s="560" customFormat="1" ht="14.4" hidden="1" thickBot="1">
      <c r="A115" s="620" t="s">
        <v>734</v>
      </c>
      <c r="B115" s="621" t="s">
        <v>1155</v>
      </c>
      <c r="C115" s="628"/>
      <c r="D115" s="580"/>
      <c r="E115" s="581"/>
      <c r="F115" s="581"/>
      <c r="G115" s="778"/>
      <c r="H115" s="581"/>
      <c r="I115" s="582"/>
      <c r="J115" s="582"/>
      <c r="K115" s="582"/>
      <c r="L115" s="575"/>
      <c r="M115" s="575"/>
      <c r="N115" s="809"/>
      <c r="O115" s="575"/>
      <c r="P115" s="575"/>
      <c r="Q115" s="575"/>
      <c r="R115" s="575"/>
      <c r="S115" s="575"/>
      <c r="T115" s="575"/>
      <c r="U115" s="809"/>
      <c r="V115" s="575"/>
      <c r="W115" s="575"/>
      <c r="X115" s="575"/>
      <c r="Y115" s="575"/>
      <c r="Z115" s="575"/>
      <c r="AA115" s="575"/>
      <c r="AB115" s="809"/>
      <c r="AC115" s="575"/>
      <c r="AD115" s="575"/>
      <c r="AE115" s="575"/>
      <c r="AF115" s="817"/>
      <c r="AG115" s="575"/>
      <c r="AH115" s="575"/>
      <c r="AI115" s="738">
        <f t="shared" ref="AI115:AI178" si="13">ROUND((SUM(D115:L115)),2)</f>
        <v>0</v>
      </c>
      <c r="AJ115" s="582">
        <v>0</v>
      </c>
      <c r="AK115" s="581">
        <f t="shared" si="11"/>
        <v>0</v>
      </c>
      <c r="AL115" s="750"/>
      <c r="AM115" s="743">
        <f t="shared" si="12"/>
        <v>0</v>
      </c>
    </row>
    <row r="116" spans="1:39" s="560" customFormat="1" ht="14.4" hidden="1" thickBot="1">
      <c r="A116" s="620" t="s">
        <v>735</v>
      </c>
      <c r="B116" s="621" t="s">
        <v>1163</v>
      </c>
      <c r="C116" s="628"/>
      <c r="D116" s="580"/>
      <c r="E116" s="581"/>
      <c r="F116" s="581"/>
      <c r="G116" s="778"/>
      <c r="H116" s="581"/>
      <c r="I116" s="582"/>
      <c r="J116" s="582"/>
      <c r="K116" s="582"/>
      <c r="L116" s="575"/>
      <c r="M116" s="575"/>
      <c r="N116" s="809"/>
      <c r="O116" s="575"/>
      <c r="P116" s="575"/>
      <c r="Q116" s="575"/>
      <c r="R116" s="575"/>
      <c r="S116" s="575"/>
      <c r="T116" s="575"/>
      <c r="U116" s="809"/>
      <c r="V116" s="575"/>
      <c r="W116" s="575"/>
      <c r="X116" s="575"/>
      <c r="Y116" s="575"/>
      <c r="Z116" s="575"/>
      <c r="AA116" s="575"/>
      <c r="AB116" s="809"/>
      <c r="AC116" s="575"/>
      <c r="AD116" s="575"/>
      <c r="AE116" s="575"/>
      <c r="AF116" s="817"/>
      <c r="AG116" s="575"/>
      <c r="AH116" s="575"/>
      <c r="AI116" s="738">
        <f t="shared" si="13"/>
        <v>0</v>
      </c>
      <c r="AJ116" s="582">
        <v>0</v>
      </c>
      <c r="AK116" s="581">
        <f t="shared" si="11"/>
        <v>0</v>
      </c>
      <c r="AL116" s="750"/>
      <c r="AM116" s="743">
        <f t="shared" si="12"/>
        <v>0</v>
      </c>
    </row>
    <row r="117" spans="1:39" s="560" customFormat="1" ht="14.4" hidden="1" thickBot="1">
      <c r="A117" s="620" t="s">
        <v>736</v>
      </c>
      <c r="B117" s="621" t="s">
        <v>1194</v>
      </c>
      <c r="C117" s="628" t="s">
        <v>39</v>
      </c>
      <c r="D117" s="580"/>
      <c r="E117" s="581"/>
      <c r="F117" s="581"/>
      <c r="G117" s="778"/>
      <c r="H117" s="581"/>
      <c r="I117" s="582"/>
      <c r="J117" s="582"/>
      <c r="K117" s="582"/>
      <c r="L117" s="575"/>
      <c r="M117" s="575"/>
      <c r="N117" s="809"/>
      <c r="O117" s="575"/>
      <c r="P117" s="575"/>
      <c r="Q117" s="575"/>
      <c r="R117" s="575"/>
      <c r="S117" s="575"/>
      <c r="T117" s="575"/>
      <c r="U117" s="809"/>
      <c r="V117" s="575"/>
      <c r="W117" s="575"/>
      <c r="X117" s="575"/>
      <c r="Y117" s="575"/>
      <c r="Z117" s="575"/>
      <c r="AA117" s="575"/>
      <c r="AB117" s="809"/>
      <c r="AC117" s="575"/>
      <c r="AD117" s="575"/>
      <c r="AE117" s="575"/>
      <c r="AF117" s="817"/>
      <c r="AG117" s="575"/>
      <c r="AH117" s="575"/>
      <c r="AI117" s="738">
        <f t="shared" si="13"/>
        <v>0</v>
      </c>
      <c r="AJ117" s="582">
        <v>0</v>
      </c>
      <c r="AK117" s="581">
        <f t="shared" si="11"/>
        <v>0</v>
      </c>
      <c r="AL117" s="750" t="s">
        <v>1572</v>
      </c>
      <c r="AM117" s="743">
        <f t="shared" si="12"/>
        <v>4.8899999999999997</v>
      </c>
    </row>
    <row r="118" spans="1:39" s="560" customFormat="1" ht="14.4" hidden="1" thickBot="1">
      <c r="A118" s="620" t="s">
        <v>737</v>
      </c>
      <c r="B118" s="621" t="s">
        <v>1165</v>
      </c>
      <c r="C118" s="628" t="s">
        <v>36</v>
      </c>
      <c r="D118" s="580"/>
      <c r="E118" s="581"/>
      <c r="F118" s="581"/>
      <c r="G118" s="778"/>
      <c r="H118" s="581"/>
      <c r="I118" s="582"/>
      <c r="J118" s="582"/>
      <c r="K118" s="582"/>
      <c r="L118" s="575"/>
      <c r="M118" s="575"/>
      <c r="N118" s="809"/>
      <c r="O118" s="575"/>
      <c r="P118" s="575"/>
      <c r="Q118" s="575"/>
      <c r="R118" s="575"/>
      <c r="S118" s="575"/>
      <c r="T118" s="575"/>
      <c r="U118" s="809"/>
      <c r="V118" s="575"/>
      <c r="W118" s="575"/>
      <c r="X118" s="575"/>
      <c r="Y118" s="575"/>
      <c r="Z118" s="575"/>
      <c r="AA118" s="575"/>
      <c r="AB118" s="809"/>
      <c r="AC118" s="575"/>
      <c r="AD118" s="575"/>
      <c r="AE118" s="575"/>
      <c r="AF118" s="817"/>
      <c r="AG118" s="575"/>
      <c r="AH118" s="575"/>
      <c r="AI118" s="738">
        <f t="shared" si="13"/>
        <v>0</v>
      </c>
      <c r="AJ118" s="582">
        <v>0</v>
      </c>
      <c r="AK118" s="581">
        <f t="shared" si="11"/>
        <v>0</v>
      </c>
      <c r="AL118" s="750" t="s">
        <v>1573</v>
      </c>
      <c r="AM118" s="743">
        <f t="shared" si="12"/>
        <v>76.69</v>
      </c>
    </row>
    <row r="119" spans="1:39" s="560" customFormat="1" ht="14.4" hidden="1" thickBot="1">
      <c r="A119" s="620" t="s">
        <v>738</v>
      </c>
      <c r="B119" s="621" t="s">
        <v>1166</v>
      </c>
      <c r="C119" s="628" t="s">
        <v>47</v>
      </c>
      <c r="D119" s="580"/>
      <c r="E119" s="581"/>
      <c r="F119" s="581"/>
      <c r="G119" s="778"/>
      <c r="H119" s="581"/>
      <c r="I119" s="582"/>
      <c r="J119" s="582"/>
      <c r="K119" s="582"/>
      <c r="L119" s="575"/>
      <c r="M119" s="575"/>
      <c r="N119" s="809"/>
      <c r="O119" s="575"/>
      <c r="P119" s="575"/>
      <c r="Q119" s="575"/>
      <c r="R119" s="575"/>
      <c r="S119" s="575"/>
      <c r="T119" s="575"/>
      <c r="U119" s="809"/>
      <c r="V119" s="575"/>
      <c r="W119" s="575"/>
      <c r="X119" s="575"/>
      <c r="Y119" s="575"/>
      <c r="Z119" s="575"/>
      <c r="AA119" s="575"/>
      <c r="AB119" s="809"/>
      <c r="AC119" s="575"/>
      <c r="AD119" s="575"/>
      <c r="AE119" s="575"/>
      <c r="AF119" s="817"/>
      <c r="AG119" s="575"/>
      <c r="AH119" s="575"/>
      <c r="AI119" s="738">
        <f t="shared" si="13"/>
        <v>0</v>
      </c>
      <c r="AJ119" s="582">
        <v>0</v>
      </c>
      <c r="AK119" s="581">
        <f t="shared" si="11"/>
        <v>0</v>
      </c>
      <c r="AL119" s="750" t="s">
        <v>1574</v>
      </c>
      <c r="AM119" s="743">
        <f t="shared" si="12"/>
        <v>947.8</v>
      </c>
    </row>
    <row r="120" spans="1:39" s="560" customFormat="1" ht="14.4" hidden="1" thickBot="1">
      <c r="A120" s="620" t="s">
        <v>739</v>
      </c>
      <c r="B120" s="621" t="s">
        <v>1171</v>
      </c>
      <c r="C120" s="628"/>
      <c r="D120" s="580"/>
      <c r="E120" s="581"/>
      <c r="F120" s="581"/>
      <c r="G120" s="778"/>
      <c r="H120" s="581"/>
      <c r="I120" s="582"/>
      <c r="J120" s="582"/>
      <c r="K120" s="582"/>
      <c r="L120" s="575"/>
      <c r="M120" s="575"/>
      <c r="N120" s="809"/>
      <c r="O120" s="575"/>
      <c r="P120" s="575"/>
      <c r="Q120" s="575"/>
      <c r="R120" s="575"/>
      <c r="S120" s="575"/>
      <c r="T120" s="575"/>
      <c r="U120" s="809"/>
      <c r="V120" s="575"/>
      <c r="W120" s="575"/>
      <c r="X120" s="575"/>
      <c r="Y120" s="575"/>
      <c r="Z120" s="575"/>
      <c r="AA120" s="575"/>
      <c r="AB120" s="809"/>
      <c r="AC120" s="575"/>
      <c r="AD120" s="575"/>
      <c r="AE120" s="575"/>
      <c r="AF120" s="817"/>
      <c r="AG120" s="575"/>
      <c r="AH120" s="575"/>
      <c r="AI120" s="738">
        <f t="shared" si="13"/>
        <v>0</v>
      </c>
      <c r="AJ120" s="582">
        <v>0</v>
      </c>
      <c r="AK120" s="581">
        <f t="shared" si="11"/>
        <v>0</v>
      </c>
      <c r="AL120" s="750"/>
      <c r="AM120" s="743">
        <f t="shared" si="12"/>
        <v>0</v>
      </c>
    </row>
    <row r="121" spans="1:39" s="560" customFormat="1" ht="14.4" hidden="1" thickBot="1">
      <c r="A121" s="620" t="s">
        <v>740</v>
      </c>
      <c r="B121" s="621" t="s">
        <v>1172</v>
      </c>
      <c r="C121" s="628" t="s">
        <v>39</v>
      </c>
      <c r="D121" s="580"/>
      <c r="E121" s="581"/>
      <c r="F121" s="581"/>
      <c r="G121" s="778"/>
      <c r="H121" s="581"/>
      <c r="I121" s="582"/>
      <c r="J121" s="582"/>
      <c r="K121" s="582"/>
      <c r="L121" s="575"/>
      <c r="M121" s="575"/>
      <c r="N121" s="809"/>
      <c r="O121" s="575"/>
      <c r="P121" s="575"/>
      <c r="Q121" s="575"/>
      <c r="R121" s="575"/>
      <c r="S121" s="575"/>
      <c r="T121" s="575"/>
      <c r="U121" s="809"/>
      <c r="V121" s="575"/>
      <c r="W121" s="575"/>
      <c r="X121" s="575"/>
      <c r="Y121" s="575"/>
      <c r="Z121" s="575"/>
      <c r="AA121" s="575"/>
      <c r="AB121" s="809"/>
      <c r="AC121" s="575"/>
      <c r="AD121" s="575"/>
      <c r="AE121" s="575"/>
      <c r="AF121" s="817"/>
      <c r="AG121" s="575"/>
      <c r="AH121" s="575"/>
      <c r="AI121" s="738">
        <f t="shared" si="13"/>
        <v>0</v>
      </c>
      <c r="AJ121" s="582">
        <v>0</v>
      </c>
      <c r="AK121" s="581">
        <f t="shared" si="11"/>
        <v>0</v>
      </c>
      <c r="AL121" s="750" t="s">
        <v>1575</v>
      </c>
      <c r="AM121" s="743">
        <f t="shared" si="12"/>
        <v>4.2300000000000004</v>
      </c>
    </row>
    <row r="122" spans="1:39" s="560" customFormat="1" ht="14.4" hidden="1" thickBot="1">
      <c r="A122" s="620" t="s">
        <v>741</v>
      </c>
      <c r="B122" s="621" t="s">
        <v>1173</v>
      </c>
      <c r="C122" s="628" t="s">
        <v>36</v>
      </c>
      <c r="D122" s="580"/>
      <c r="E122" s="581"/>
      <c r="F122" s="581"/>
      <c r="G122" s="778"/>
      <c r="H122" s="581"/>
      <c r="I122" s="582"/>
      <c r="J122" s="582"/>
      <c r="K122" s="582"/>
      <c r="L122" s="575"/>
      <c r="M122" s="575"/>
      <c r="N122" s="809"/>
      <c r="O122" s="575"/>
      <c r="P122" s="575"/>
      <c r="Q122" s="575"/>
      <c r="R122" s="575"/>
      <c r="S122" s="575"/>
      <c r="T122" s="575"/>
      <c r="U122" s="809"/>
      <c r="V122" s="575"/>
      <c r="W122" s="575"/>
      <c r="X122" s="575"/>
      <c r="Y122" s="575"/>
      <c r="Z122" s="575"/>
      <c r="AA122" s="575"/>
      <c r="AB122" s="809"/>
      <c r="AC122" s="575"/>
      <c r="AD122" s="575"/>
      <c r="AE122" s="575"/>
      <c r="AF122" s="817"/>
      <c r="AG122" s="575"/>
      <c r="AH122" s="575"/>
      <c r="AI122" s="738">
        <f t="shared" si="13"/>
        <v>0</v>
      </c>
      <c r="AJ122" s="582">
        <v>0</v>
      </c>
      <c r="AK122" s="581">
        <f t="shared" si="11"/>
        <v>0</v>
      </c>
      <c r="AL122" s="750" t="s">
        <v>1576</v>
      </c>
      <c r="AM122" s="743">
        <f t="shared" si="12"/>
        <v>49.66</v>
      </c>
    </row>
    <row r="123" spans="1:39" s="560" customFormat="1" ht="14.4" hidden="1" thickBot="1">
      <c r="A123" s="620" t="s">
        <v>742</v>
      </c>
      <c r="B123" s="621" t="s">
        <v>1174</v>
      </c>
      <c r="C123" s="628" t="s">
        <v>47</v>
      </c>
      <c r="D123" s="580"/>
      <c r="E123" s="581"/>
      <c r="F123" s="581"/>
      <c r="G123" s="778"/>
      <c r="H123" s="581"/>
      <c r="I123" s="582"/>
      <c r="J123" s="582"/>
      <c r="K123" s="582"/>
      <c r="L123" s="575"/>
      <c r="M123" s="575"/>
      <c r="N123" s="809"/>
      <c r="O123" s="575"/>
      <c r="P123" s="575"/>
      <c r="Q123" s="575"/>
      <c r="R123" s="575"/>
      <c r="S123" s="575"/>
      <c r="T123" s="575"/>
      <c r="U123" s="809"/>
      <c r="V123" s="575"/>
      <c r="W123" s="575"/>
      <c r="X123" s="575"/>
      <c r="Y123" s="575"/>
      <c r="Z123" s="575"/>
      <c r="AA123" s="575"/>
      <c r="AB123" s="809"/>
      <c r="AC123" s="575"/>
      <c r="AD123" s="575"/>
      <c r="AE123" s="575"/>
      <c r="AF123" s="817"/>
      <c r="AG123" s="575"/>
      <c r="AH123" s="575"/>
      <c r="AI123" s="738">
        <f t="shared" si="13"/>
        <v>0</v>
      </c>
      <c r="AJ123" s="582">
        <v>0</v>
      </c>
      <c r="AK123" s="581">
        <f t="shared" si="11"/>
        <v>0</v>
      </c>
      <c r="AL123" s="750" t="s">
        <v>1577</v>
      </c>
      <c r="AM123" s="743">
        <f t="shared" si="12"/>
        <v>483.02</v>
      </c>
    </row>
    <row r="124" spans="1:39" s="560" customFormat="1" ht="14.4" hidden="1" thickBot="1">
      <c r="A124" s="620" t="s">
        <v>743</v>
      </c>
      <c r="B124" s="621" t="s">
        <v>1199</v>
      </c>
      <c r="C124" s="628"/>
      <c r="D124" s="580"/>
      <c r="E124" s="581"/>
      <c r="F124" s="581"/>
      <c r="G124" s="778"/>
      <c r="H124" s="581"/>
      <c r="I124" s="582"/>
      <c r="J124" s="582"/>
      <c r="K124" s="582"/>
      <c r="L124" s="575"/>
      <c r="M124" s="575"/>
      <c r="N124" s="809"/>
      <c r="O124" s="575"/>
      <c r="P124" s="575"/>
      <c r="Q124" s="575"/>
      <c r="R124" s="575"/>
      <c r="S124" s="575"/>
      <c r="T124" s="575"/>
      <c r="U124" s="809"/>
      <c r="V124" s="575"/>
      <c r="W124" s="575"/>
      <c r="X124" s="575"/>
      <c r="Y124" s="575"/>
      <c r="Z124" s="575"/>
      <c r="AA124" s="575"/>
      <c r="AB124" s="809"/>
      <c r="AC124" s="575"/>
      <c r="AD124" s="575"/>
      <c r="AE124" s="575"/>
      <c r="AF124" s="817"/>
      <c r="AG124" s="575"/>
      <c r="AH124" s="575"/>
      <c r="AI124" s="738">
        <f t="shared" si="13"/>
        <v>0</v>
      </c>
      <c r="AJ124" s="582">
        <v>0</v>
      </c>
      <c r="AK124" s="581">
        <f t="shared" si="11"/>
        <v>0</v>
      </c>
      <c r="AL124" s="750"/>
      <c r="AM124" s="743">
        <f t="shared" si="12"/>
        <v>0</v>
      </c>
    </row>
    <row r="125" spans="1:39" s="560" customFormat="1" ht="14.4" hidden="1" thickBot="1">
      <c r="A125" s="620" t="s">
        <v>744</v>
      </c>
      <c r="B125" s="621" t="s">
        <v>1191</v>
      </c>
      <c r="C125" s="628" t="s">
        <v>39</v>
      </c>
      <c r="D125" s="580"/>
      <c r="E125" s="581"/>
      <c r="F125" s="581"/>
      <c r="G125" s="778"/>
      <c r="H125" s="581"/>
      <c r="I125" s="582"/>
      <c r="J125" s="582"/>
      <c r="K125" s="582"/>
      <c r="L125" s="575"/>
      <c r="M125" s="575"/>
      <c r="N125" s="809"/>
      <c r="O125" s="575"/>
      <c r="P125" s="575"/>
      <c r="Q125" s="575"/>
      <c r="R125" s="575"/>
      <c r="S125" s="575"/>
      <c r="T125" s="575"/>
      <c r="U125" s="809"/>
      <c r="V125" s="575"/>
      <c r="W125" s="575"/>
      <c r="X125" s="575"/>
      <c r="Y125" s="575"/>
      <c r="Z125" s="575"/>
      <c r="AA125" s="575"/>
      <c r="AB125" s="809"/>
      <c r="AC125" s="575"/>
      <c r="AD125" s="575"/>
      <c r="AE125" s="575"/>
      <c r="AF125" s="817"/>
      <c r="AG125" s="575"/>
      <c r="AH125" s="575"/>
      <c r="AI125" s="738">
        <f t="shared" si="13"/>
        <v>0</v>
      </c>
      <c r="AJ125" s="582">
        <v>0</v>
      </c>
      <c r="AK125" s="581">
        <f t="shared" si="11"/>
        <v>0</v>
      </c>
      <c r="AL125" s="750" t="s">
        <v>1578</v>
      </c>
      <c r="AM125" s="743">
        <f t="shared" si="12"/>
        <v>4.24</v>
      </c>
    </row>
    <row r="126" spans="1:39" s="560" customFormat="1" ht="14.4" hidden="1" thickBot="1">
      <c r="A126" s="620" t="s">
        <v>745</v>
      </c>
      <c r="B126" s="621" t="s">
        <v>1200</v>
      </c>
      <c r="C126" s="628" t="s">
        <v>36</v>
      </c>
      <c r="D126" s="580"/>
      <c r="E126" s="581"/>
      <c r="F126" s="581"/>
      <c r="G126" s="778"/>
      <c r="H126" s="581"/>
      <c r="I126" s="582"/>
      <c r="J126" s="582"/>
      <c r="K126" s="582"/>
      <c r="L126" s="575"/>
      <c r="M126" s="575"/>
      <c r="N126" s="809"/>
      <c r="O126" s="575"/>
      <c r="P126" s="575"/>
      <c r="Q126" s="575"/>
      <c r="R126" s="575"/>
      <c r="S126" s="575"/>
      <c r="T126" s="575"/>
      <c r="U126" s="809"/>
      <c r="V126" s="575"/>
      <c r="W126" s="575"/>
      <c r="X126" s="575"/>
      <c r="Y126" s="575"/>
      <c r="Z126" s="575"/>
      <c r="AA126" s="575"/>
      <c r="AB126" s="809"/>
      <c r="AC126" s="575"/>
      <c r="AD126" s="575"/>
      <c r="AE126" s="575"/>
      <c r="AF126" s="817"/>
      <c r="AG126" s="575"/>
      <c r="AH126" s="575"/>
      <c r="AI126" s="738">
        <f t="shared" si="13"/>
        <v>0</v>
      </c>
      <c r="AJ126" s="582">
        <v>0</v>
      </c>
      <c r="AK126" s="581">
        <f t="shared" si="11"/>
        <v>0</v>
      </c>
      <c r="AL126" s="750" t="s">
        <v>1579</v>
      </c>
      <c r="AM126" s="743">
        <f t="shared" si="12"/>
        <v>56.57</v>
      </c>
    </row>
    <row r="127" spans="1:39" s="560" customFormat="1" ht="14.4" hidden="1" thickBot="1">
      <c r="A127" s="620" t="s">
        <v>746</v>
      </c>
      <c r="B127" s="621" t="s">
        <v>1201</v>
      </c>
      <c r="C127" s="628" t="s">
        <v>47</v>
      </c>
      <c r="D127" s="580"/>
      <c r="E127" s="581"/>
      <c r="F127" s="581"/>
      <c r="G127" s="778"/>
      <c r="H127" s="581"/>
      <c r="I127" s="582"/>
      <c r="J127" s="582"/>
      <c r="K127" s="582"/>
      <c r="L127" s="575"/>
      <c r="M127" s="575"/>
      <c r="N127" s="809"/>
      <c r="O127" s="575"/>
      <c r="P127" s="575"/>
      <c r="Q127" s="575"/>
      <c r="R127" s="575"/>
      <c r="S127" s="575"/>
      <c r="T127" s="575"/>
      <c r="U127" s="809"/>
      <c r="V127" s="575"/>
      <c r="W127" s="575"/>
      <c r="X127" s="575"/>
      <c r="Y127" s="575"/>
      <c r="Z127" s="575"/>
      <c r="AA127" s="575"/>
      <c r="AB127" s="809"/>
      <c r="AC127" s="575"/>
      <c r="AD127" s="575"/>
      <c r="AE127" s="575"/>
      <c r="AF127" s="817"/>
      <c r="AG127" s="575"/>
      <c r="AH127" s="575"/>
      <c r="AI127" s="738">
        <f t="shared" si="13"/>
        <v>0</v>
      </c>
      <c r="AJ127" s="582">
        <v>0</v>
      </c>
      <c r="AK127" s="581">
        <f t="shared" si="11"/>
        <v>0</v>
      </c>
      <c r="AL127" s="750" t="s">
        <v>1580</v>
      </c>
      <c r="AM127" s="743">
        <f t="shared" si="12"/>
        <v>438.73</v>
      </c>
    </row>
    <row r="128" spans="1:39" s="560" customFormat="1" ht="14.4" hidden="1" thickBot="1">
      <c r="A128" s="620" t="s">
        <v>747</v>
      </c>
      <c r="B128" s="621" t="s">
        <v>1186</v>
      </c>
      <c r="C128" s="628"/>
      <c r="D128" s="580"/>
      <c r="E128" s="581"/>
      <c r="F128" s="581"/>
      <c r="G128" s="778"/>
      <c r="H128" s="581"/>
      <c r="I128" s="582"/>
      <c r="J128" s="582"/>
      <c r="K128" s="582"/>
      <c r="L128" s="575"/>
      <c r="M128" s="575"/>
      <c r="N128" s="809"/>
      <c r="O128" s="575"/>
      <c r="P128" s="575"/>
      <c r="Q128" s="575"/>
      <c r="R128" s="575"/>
      <c r="S128" s="575"/>
      <c r="T128" s="575"/>
      <c r="U128" s="809"/>
      <c r="V128" s="575"/>
      <c r="W128" s="575"/>
      <c r="X128" s="575"/>
      <c r="Y128" s="575"/>
      <c r="Z128" s="575"/>
      <c r="AA128" s="575"/>
      <c r="AB128" s="809"/>
      <c r="AC128" s="575"/>
      <c r="AD128" s="575"/>
      <c r="AE128" s="575"/>
      <c r="AF128" s="817"/>
      <c r="AG128" s="575"/>
      <c r="AH128" s="575"/>
      <c r="AI128" s="738">
        <f t="shared" si="13"/>
        <v>0</v>
      </c>
      <c r="AJ128" s="582">
        <v>0</v>
      </c>
      <c r="AK128" s="581">
        <f t="shared" si="11"/>
        <v>0</v>
      </c>
      <c r="AL128" s="750"/>
      <c r="AM128" s="743">
        <f t="shared" si="12"/>
        <v>0</v>
      </c>
    </row>
    <row r="129" spans="1:39" s="560" customFormat="1" ht="14.4" hidden="1" thickBot="1">
      <c r="A129" s="620" t="s">
        <v>748</v>
      </c>
      <c r="B129" s="621" t="s">
        <v>1202</v>
      </c>
      <c r="C129" s="628" t="s">
        <v>37</v>
      </c>
      <c r="D129" s="580"/>
      <c r="E129" s="581"/>
      <c r="F129" s="581"/>
      <c r="G129" s="778"/>
      <c r="H129" s="581"/>
      <c r="I129" s="582"/>
      <c r="J129" s="582"/>
      <c r="K129" s="582"/>
      <c r="L129" s="575"/>
      <c r="M129" s="575"/>
      <c r="N129" s="809"/>
      <c r="O129" s="575"/>
      <c r="P129" s="575"/>
      <c r="Q129" s="575"/>
      <c r="R129" s="575"/>
      <c r="S129" s="575"/>
      <c r="T129" s="575"/>
      <c r="U129" s="809"/>
      <c r="V129" s="575"/>
      <c r="W129" s="575"/>
      <c r="X129" s="575"/>
      <c r="Y129" s="575"/>
      <c r="Z129" s="575"/>
      <c r="AA129" s="575"/>
      <c r="AB129" s="809"/>
      <c r="AC129" s="575"/>
      <c r="AD129" s="575"/>
      <c r="AE129" s="575"/>
      <c r="AF129" s="817"/>
      <c r="AG129" s="575"/>
      <c r="AH129" s="575"/>
      <c r="AI129" s="738">
        <f t="shared" si="13"/>
        <v>0</v>
      </c>
      <c r="AJ129" s="582">
        <v>0</v>
      </c>
      <c r="AK129" s="581">
        <f t="shared" si="11"/>
        <v>0</v>
      </c>
      <c r="AL129" s="750" t="s">
        <v>1581</v>
      </c>
      <c r="AM129" s="743">
        <f t="shared" si="12"/>
        <v>36</v>
      </c>
    </row>
    <row r="130" spans="1:39" s="560" customFormat="1" ht="14.4" hidden="1" thickBot="1">
      <c r="A130" s="620" t="s">
        <v>749</v>
      </c>
      <c r="B130" s="621" t="s">
        <v>1203</v>
      </c>
      <c r="C130" s="628"/>
      <c r="D130" s="580"/>
      <c r="E130" s="581"/>
      <c r="F130" s="581"/>
      <c r="G130" s="778"/>
      <c r="H130" s="581"/>
      <c r="I130" s="582"/>
      <c r="J130" s="582"/>
      <c r="K130" s="582"/>
      <c r="L130" s="575"/>
      <c r="M130" s="575"/>
      <c r="N130" s="809"/>
      <c r="O130" s="575"/>
      <c r="P130" s="575"/>
      <c r="Q130" s="575"/>
      <c r="R130" s="575"/>
      <c r="S130" s="575"/>
      <c r="T130" s="575"/>
      <c r="U130" s="809"/>
      <c r="V130" s="575"/>
      <c r="W130" s="575"/>
      <c r="X130" s="575"/>
      <c r="Y130" s="575"/>
      <c r="Z130" s="575"/>
      <c r="AA130" s="575"/>
      <c r="AB130" s="809"/>
      <c r="AC130" s="575"/>
      <c r="AD130" s="575"/>
      <c r="AE130" s="575"/>
      <c r="AF130" s="817"/>
      <c r="AG130" s="575"/>
      <c r="AH130" s="575"/>
      <c r="AI130" s="738">
        <f t="shared" si="13"/>
        <v>0</v>
      </c>
      <c r="AJ130" s="582">
        <v>0</v>
      </c>
      <c r="AK130" s="581">
        <f t="shared" si="11"/>
        <v>0</v>
      </c>
      <c r="AL130" s="750"/>
      <c r="AM130" s="743">
        <f t="shared" si="12"/>
        <v>0</v>
      </c>
    </row>
    <row r="131" spans="1:39" s="560" customFormat="1" ht="14.4" hidden="1" thickBot="1">
      <c r="A131" s="620" t="s">
        <v>750</v>
      </c>
      <c r="B131" s="621" t="s">
        <v>45</v>
      </c>
      <c r="C131" s="628"/>
      <c r="D131" s="580"/>
      <c r="E131" s="581"/>
      <c r="F131" s="581"/>
      <c r="G131" s="778"/>
      <c r="H131" s="581"/>
      <c r="I131" s="582"/>
      <c r="J131" s="582"/>
      <c r="K131" s="582"/>
      <c r="L131" s="575"/>
      <c r="M131" s="575"/>
      <c r="N131" s="809"/>
      <c r="O131" s="575"/>
      <c r="P131" s="575"/>
      <c r="Q131" s="575"/>
      <c r="R131" s="575"/>
      <c r="S131" s="575"/>
      <c r="T131" s="575"/>
      <c r="U131" s="809"/>
      <c r="V131" s="575"/>
      <c r="W131" s="575"/>
      <c r="X131" s="575"/>
      <c r="Y131" s="575"/>
      <c r="Z131" s="575"/>
      <c r="AA131" s="575"/>
      <c r="AB131" s="809"/>
      <c r="AC131" s="575"/>
      <c r="AD131" s="575"/>
      <c r="AE131" s="575"/>
      <c r="AF131" s="817"/>
      <c r="AG131" s="575"/>
      <c r="AH131" s="575"/>
      <c r="AI131" s="738">
        <f t="shared" si="13"/>
        <v>0</v>
      </c>
      <c r="AJ131" s="582">
        <v>0</v>
      </c>
      <c r="AK131" s="581">
        <f t="shared" si="11"/>
        <v>0</v>
      </c>
      <c r="AL131" s="750"/>
      <c r="AM131" s="743">
        <f t="shared" si="12"/>
        <v>0</v>
      </c>
    </row>
    <row r="132" spans="1:39" s="560" customFormat="1" ht="14.4" hidden="1" thickBot="1">
      <c r="A132" s="620" t="s">
        <v>751</v>
      </c>
      <c r="B132" s="621" t="s">
        <v>1198</v>
      </c>
      <c r="C132" s="628" t="s">
        <v>39</v>
      </c>
      <c r="D132" s="580"/>
      <c r="E132" s="581"/>
      <c r="F132" s="581"/>
      <c r="G132" s="778"/>
      <c r="H132" s="581"/>
      <c r="I132" s="582"/>
      <c r="J132" s="582"/>
      <c r="K132" s="582"/>
      <c r="L132" s="575"/>
      <c r="M132" s="575"/>
      <c r="N132" s="809"/>
      <c r="O132" s="575"/>
      <c r="P132" s="575"/>
      <c r="Q132" s="575"/>
      <c r="R132" s="575"/>
      <c r="S132" s="575"/>
      <c r="T132" s="575"/>
      <c r="U132" s="809"/>
      <c r="V132" s="575"/>
      <c r="W132" s="575"/>
      <c r="X132" s="575"/>
      <c r="Y132" s="575"/>
      <c r="Z132" s="575"/>
      <c r="AA132" s="575"/>
      <c r="AB132" s="809"/>
      <c r="AC132" s="575"/>
      <c r="AD132" s="575"/>
      <c r="AE132" s="575"/>
      <c r="AF132" s="817"/>
      <c r="AG132" s="575"/>
      <c r="AH132" s="575"/>
      <c r="AI132" s="738">
        <f t="shared" si="13"/>
        <v>0</v>
      </c>
      <c r="AJ132" s="582">
        <v>0</v>
      </c>
      <c r="AK132" s="581">
        <f t="shared" si="11"/>
        <v>0</v>
      </c>
      <c r="AL132" s="750" t="s">
        <v>1582</v>
      </c>
      <c r="AM132" s="743">
        <f t="shared" si="12"/>
        <v>441.64</v>
      </c>
    </row>
    <row r="133" spans="1:39" s="560" customFormat="1" ht="14.4" hidden="1" thickBot="1">
      <c r="A133" s="620" t="s">
        <v>752</v>
      </c>
      <c r="B133" s="621" t="s">
        <v>1147</v>
      </c>
      <c r="C133" s="628" t="s">
        <v>39</v>
      </c>
      <c r="D133" s="580"/>
      <c r="E133" s="581"/>
      <c r="F133" s="581"/>
      <c r="G133" s="778"/>
      <c r="H133" s="581"/>
      <c r="I133" s="582"/>
      <c r="J133" s="582"/>
      <c r="K133" s="582"/>
      <c r="L133" s="575"/>
      <c r="M133" s="575"/>
      <c r="N133" s="809"/>
      <c r="O133" s="575"/>
      <c r="P133" s="575"/>
      <c r="Q133" s="575"/>
      <c r="R133" s="575"/>
      <c r="S133" s="575"/>
      <c r="T133" s="575"/>
      <c r="U133" s="809"/>
      <c r="V133" s="575"/>
      <c r="W133" s="575"/>
      <c r="X133" s="575"/>
      <c r="Y133" s="575"/>
      <c r="Z133" s="575"/>
      <c r="AA133" s="575"/>
      <c r="AB133" s="809"/>
      <c r="AC133" s="575"/>
      <c r="AD133" s="575"/>
      <c r="AE133" s="575"/>
      <c r="AF133" s="817"/>
      <c r="AG133" s="575"/>
      <c r="AH133" s="575"/>
      <c r="AI133" s="738">
        <f t="shared" si="13"/>
        <v>0</v>
      </c>
      <c r="AJ133" s="582">
        <v>0</v>
      </c>
      <c r="AK133" s="581">
        <f t="shared" si="11"/>
        <v>0</v>
      </c>
      <c r="AL133" s="750" t="s">
        <v>1583</v>
      </c>
      <c r="AM133" s="743">
        <f t="shared" si="12"/>
        <v>574.13</v>
      </c>
    </row>
    <row r="134" spans="1:39" s="560" customFormat="1" ht="14.4" hidden="1" thickBot="1">
      <c r="A134" s="620" t="s">
        <v>753</v>
      </c>
      <c r="B134" s="621" t="s">
        <v>1204</v>
      </c>
      <c r="C134" s="628"/>
      <c r="D134" s="580"/>
      <c r="E134" s="581"/>
      <c r="F134" s="581"/>
      <c r="G134" s="778"/>
      <c r="H134" s="581"/>
      <c r="I134" s="582"/>
      <c r="J134" s="582"/>
      <c r="K134" s="582"/>
      <c r="L134" s="575"/>
      <c r="M134" s="575"/>
      <c r="N134" s="809"/>
      <c r="O134" s="575"/>
      <c r="P134" s="575"/>
      <c r="Q134" s="575"/>
      <c r="R134" s="575"/>
      <c r="S134" s="575"/>
      <c r="T134" s="575"/>
      <c r="U134" s="809"/>
      <c r="V134" s="575"/>
      <c r="W134" s="575"/>
      <c r="X134" s="575"/>
      <c r="Y134" s="575"/>
      <c r="Z134" s="575"/>
      <c r="AA134" s="575"/>
      <c r="AB134" s="809"/>
      <c r="AC134" s="575"/>
      <c r="AD134" s="575"/>
      <c r="AE134" s="575"/>
      <c r="AF134" s="817"/>
      <c r="AG134" s="575"/>
      <c r="AH134" s="575"/>
      <c r="AI134" s="738">
        <f t="shared" si="13"/>
        <v>0</v>
      </c>
      <c r="AJ134" s="582">
        <v>0</v>
      </c>
      <c r="AK134" s="581">
        <f t="shared" si="11"/>
        <v>0</v>
      </c>
      <c r="AL134" s="750"/>
      <c r="AM134" s="743">
        <f t="shared" si="12"/>
        <v>0</v>
      </c>
    </row>
    <row r="135" spans="1:39" s="560" customFormat="1" ht="14.4" hidden="1" thickBot="1">
      <c r="A135" s="620" t="s">
        <v>754</v>
      </c>
      <c r="B135" s="621" t="s">
        <v>1205</v>
      </c>
      <c r="C135" s="628" t="s">
        <v>39</v>
      </c>
      <c r="D135" s="580"/>
      <c r="E135" s="581"/>
      <c r="F135" s="581"/>
      <c r="G135" s="778"/>
      <c r="H135" s="581"/>
      <c r="I135" s="582"/>
      <c r="J135" s="582"/>
      <c r="K135" s="582"/>
      <c r="L135" s="575"/>
      <c r="M135" s="575"/>
      <c r="N135" s="809"/>
      <c r="O135" s="575"/>
      <c r="P135" s="575"/>
      <c r="Q135" s="575"/>
      <c r="R135" s="575"/>
      <c r="S135" s="575"/>
      <c r="T135" s="575"/>
      <c r="U135" s="809"/>
      <c r="V135" s="575"/>
      <c r="W135" s="575"/>
      <c r="X135" s="575"/>
      <c r="Y135" s="575"/>
      <c r="Z135" s="575"/>
      <c r="AA135" s="575"/>
      <c r="AB135" s="809"/>
      <c r="AC135" s="575"/>
      <c r="AD135" s="575"/>
      <c r="AE135" s="575"/>
      <c r="AF135" s="817"/>
      <c r="AG135" s="575"/>
      <c r="AH135" s="575"/>
      <c r="AI135" s="738">
        <f t="shared" si="13"/>
        <v>0</v>
      </c>
      <c r="AJ135" s="582">
        <v>0</v>
      </c>
      <c r="AK135" s="581">
        <f t="shared" si="11"/>
        <v>0</v>
      </c>
      <c r="AL135" s="750" t="s">
        <v>1584</v>
      </c>
      <c r="AM135" s="743">
        <f t="shared" si="12"/>
        <v>204.01</v>
      </c>
    </row>
    <row r="136" spans="1:39" s="560" customFormat="1" ht="14.4" hidden="1" thickBot="1">
      <c r="A136" s="620" t="s">
        <v>755</v>
      </c>
      <c r="B136" s="621" t="s">
        <v>1206</v>
      </c>
      <c r="C136" s="628" t="s">
        <v>36</v>
      </c>
      <c r="D136" s="580"/>
      <c r="E136" s="581"/>
      <c r="F136" s="581"/>
      <c r="G136" s="778"/>
      <c r="H136" s="581"/>
      <c r="I136" s="582"/>
      <c r="J136" s="582"/>
      <c r="K136" s="582"/>
      <c r="L136" s="575"/>
      <c r="M136" s="575"/>
      <c r="N136" s="809"/>
      <c r="O136" s="575"/>
      <c r="P136" s="575"/>
      <c r="Q136" s="575"/>
      <c r="R136" s="575"/>
      <c r="S136" s="575"/>
      <c r="T136" s="575"/>
      <c r="U136" s="809"/>
      <c r="V136" s="575"/>
      <c r="W136" s="575"/>
      <c r="X136" s="575"/>
      <c r="Y136" s="575"/>
      <c r="Z136" s="575"/>
      <c r="AA136" s="575"/>
      <c r="AB136" s="809"/>
      <c r="AC136" s="575"/>
      <c r="AD136" s="575"/>
      <c r="AE136" s="575"/>
      <c r="AF136" s="817"/>
      <c r="AG136" s="575"/>
      <c r="AH136" s="575"/>
      <c r="AI136" s="738">
        <f t="shared" si="13"/>
        <v>0</v>
      </c>
      <c r="AJ136" s="582">
        <v>0</v>
      </c>
      <c r="AK136" s="581">
        <f t="shared" si="11"/>
        <v>0</v>
      </c>
      <c r="AL136" s="750" t="s">
        <v>1585</v>
      </c>
      <c r="AM136" s="743">
        <f t="shared" si="12"/>
        <v>550.44000000000005</v>
      </c>
    </row>
    <row r="137" spans="1:39" s="560" customFormat="1" ht="14.4" hidden="1" thickBot="1">
      <c r="A137" s="620" t="s">
        <v>756</v>
      </c>
      <c r="B137" s="621" t="s">
        <v>1207</v>
      </c>
      <c r="C137" s="628" t="s">
        <v>47</v>
      </c>
      <c r="D137" s="580"/>
      <c r="E137" s="581"/>
      <c r="F137" s="581"/>
      <c r="G137" s="778"/>
      <c r="H137" s="581"/>
      <c r="I137" s="582"/>
      <c r="J137" s="582"/>
      <c r="K137" s="582"/>
      <c r="L137" s="575"/>
      <c r="M137" s="575"/>
      <c r="N137" s="809"/>
      <c r="O137" s="575"/>
      <c r="P137" s="575"/>
      <c r="Q137" s="575"/>
      <c r="R137" s="575"/>
      <c r="S137" s="575"/>
      <c r="T137" s="575"/>
      <c r="U137" s="809"/>
      <c r="V137" s="575"/>
      <c r="W137" s="575"/>
      <c r="X137" s="575"/>
      <c r="Y137" s="575"/>
      <c r="Z137" s="575"/>
      <c r="AA137" s="575"/>
      <c r="AB137" s="809"/>
      <c r="AC137" s="575"/>
      <c r="AD137" s="575"/>
      <c r="AE137" s="575"/>
      <c r="AF137" s="817"/>
      <c r="AG137" s="575"/>
      <c r="AH137" s="575"/>
      <c r="AI137" s="738">
        <f t="shared" si="13"/>
        <v>0</v>
      </c>
      <c r="AJ137" s="582">
        <v>0</v>
      </c>
      <c r="AK137" s="581">
        <f t="shared" si="11"/>
        <v>0</v>
      </c>
      <c r="AL137" s="750" t="s">
        <v>1586</v>
      </c>
      <c r="AM137" s="743">
        <f t="shared" si="12"/>
        <v>15448.74</v>
      </c>
    </row>
    <row r="138" spans="1:39" s="560" customFormat="1" ht="14.4" hidden="1" thickBot="1">
      <c r="A138" s="620" t="s">
        <v>757</v>
      </c>
      <c r="B138" s="621" t="s">
        <v>1186</v>
      </c>
      <c r="C138" s="628"/>
      <c r="D138" s="580"/>
      <c r="E138" s="581"/>
      <c r="F138" s="581"/>
      <c r="G138" s="778"/>
      <c r="H138" s="581"/>
      <c r="I138" s="582"/>
      <c r="J138" s="582"/>
      <c r="K138" s="582"/>
      <c r="L138" s="575"/>
      <c r="M138" s="575"/>
      <c r="N138" s="809"/>
      <c r="O138" s="575"/>
      <c r="P138" s="575"/>
      <c r="Q138" s="575"/>
      <c r="R138" s="575"/>
      <c r="S138" s="575"/>
      <c r="T138" s="575"/>
      <c r="U138" s="809"/>
      <c r="V138" s="575"/>
      <c r="W138" s="575"/>
      <c r="X138" s="575"/>
      <c r="Y138" s="575"/>
      <c r="Z138" s="575"/>
      <c r="AA138" s="575"/>
      <c r="AB138" s="809"/>
      <c r="AC138" s="575"/>
      <c r="AD138" s="575"/>
      <c r="AE138" s="575"/>
      <c r="AF138" s="817"/>
      <c r="AG138" s="575"/>
      <c r="AH138" s="575"/>
      <c r="AI138" s="738">
        <f t="shared" si="13"/>
        <v>0</v>
      </c>
      <c r="AJ138" s="582">
        <v>0</v>
      </c>
      <c r="AK138" s="581">
        <f t="shared" si="11"/>
        <v>0</v>
      </c>
      <c r="AL138" s="750"/>
      <c r="AM138" s="743">
        <f t="shared" si="12"/>
        <v>0</v>
      </c>
    </row>
    <row r="139" spans="1:39" s="560" customFormat="1" ht="14.4" hidden="1" thickBot="1">
      <c r="A139" s="620" t="s">
        <v>758</v>
      </c>
      <c r="B139" s="621" t="s">
        <v>1208</v>
      </c>
      <c r="C139" s="628" t="s">
        <v>37</v>
      </c>
      <c r="D139" s="580"/>
      <c r="E139" s="581"/>
      <c r="F139" s="581"/>
      <c r="G139" s="778"/>
      <c r="H139" s="581"/>
      <c r="I139" s="582"/>
      <c r="J139" s="582"/>
      <c r="K139" s="582"/>
      <c r="L139" s="575"/>
      <c r="M139" s="575"/>
      <c r="N139" s="809"/>
      <c r="O139" s="575"/>
      <c r="P139" s="575"/>
      <c r="Q139" s="575"/>
      <c r="R139" s="575"/>
      <c r="S139" s="575"/>
      <c r="T139" s="575"/>
      <c r="U139" s="809"/>
      <c r="V139" s="575"/>
      <c r="W139" s="575"/>
      <c r="X139" s="575"/>
      <c r="Y139" s="575"/>
      <c r="Z139" s="575"/>
      <c r="AA139" s="575"/>
      <c r="AB139" s="809"/>
      <c r="AC139" s="575"/>
      <c r="AD139" s="575"/>
      <c r="AE139" s="575"/>
      <c r="AF139" s="817"/>
      <c r="AG139" s="575"/>
      <c r="AH139" s="575"/>
      <c r="AI139" s="738">
        <f t="shared" si="13"/>
        <v>0</v>
      </c>
      <c r="AJ139" s="582">
        <v>0</v>
      </c>
      <c r="AK139" s="581">
        <f t="shared" si="11"/>
        <v>0</v>
      </c>
      <c r="AL139" s="750" t="s">
        <v>1587</v>
      </c>
      <c r="AM139" s="743">
        <f t="shared" si="12"/>
        <v>111.93</v>
      </c>
    </row>
    <row r="140" spans="1:39" s="560" customFormat="1" ht="14.4" hidden="1" thickBot="1">
      <c r="A140" s="620" t="s">
        <v>759</v>
      </c>
      <c r="B140" s="621" t="s">
        <v>224</v>
      </c>
      <c r="C140" s="628" t="s">
        <v>1436</v>
      </c>
      <c r="D140" s="580"/>
      <c r="E140" s="581"/>
      <c r="F140" s="581"/>
      <c r="G140" s="778"/>
      <c r="H140" s="581"/>
      <c r="I140" s="582"/>
      <c r="J140" s="582"/>
      <c r="K140" s="582"/>
      <c r="L140" s="575"/>
      <c r="M140" s="575"/>
      <c r="N140" s="809"/>
      <c r="O140" s="575"/>
      <c r="P140" s="575"/>
      <c r="Q140" s="575"/>
      <c r="R140" s="575"/>
      <c r="S140" s="575"/>
      <c r="T140" s="575"/>
      <c r="U140" s="809"/>
      <c r="V140" s="575"/>
      <c r="W140" s="575"/>
      <c r="X140" s="575"/>
      <c r="Y140" s="575"/>
      <c r="Z140" s="575"/>
      <c r="AA140" s="575"/>
      <c r="AB140" s="809"/>
      <c r="AC140" s="575"/>
      <c r="AD140" s="575"/>
      <c r="AE140" s="575"/>
      <c r="AF140" s="817"/>
      <c r="AG140" s="575"/>
      <c r="AH140" s="575"/>
      <c r="AI140" s="738">
        <f t="shared" si="13"/>
        <v>0</v>
      </c>
      <c r="AJ140" s="582">
        <v>0</v>
      </c>
      <c r="AK140" s="581">
        <f t="shared" si="11"/>
        <v>0</v>
      </c>
      <c r="AL140" s="750" t="s">
        <v>1588</v>
      </c>
      <c r="AM140" s="743">
        <f t="shared" si="12"/>
        <v>24</v>
      </c>
    </row>
    <row r="141" spans="1:39" s="560" customFormat="1" ht="14.4" hidden="1" thickBot="1">
      <c r="A141" s="620" t="s">
        <v>760</v>
      </c>
      <c r="B141" s="621" t="s">
        <v>1209</v>
      </c>
      <c r="C141" s="628"/>
      <c r="D141" s="580"/>
      <c r="E141" s="581"/>
      <c r="F141" s="581"/>
      <c r="G141" s="778"/>
      <c r="H141" s="581"/>
      <c r="I141" s="582"/>
      <c r="J141" s="582"/>
      <c r="K141" s="582"/>
      <c r="L141" s="575"/>
      <c r="M141" s="575"/>
      <c r="N141" s="809"/>
      <c r="O141" s="575"/>
      <c r="P141" s="575"/>
      <c r="Q141" s="575"/>
      <c r="R141" s="575"/>
      <c r="S141" s="575"/>
      <c r="T141" s="575"/>
      <c r="U141" s="809"/>
      <c r="V141" s="575"/>
      <c r="W141" s="575"/>
      <c r="X141" s="575"/>
      <c r="Y141" s="575"/>
      <c r="Z141" s="575"/>
      <c r="AA141" s="575"/>
      <c r="AB141" s="809"/>
      <c r="AC141" s="575"/>
      <c r="AD141" s="575"/>
      <c r="AE141" s="575"/>
      <c r="AF141" s="817"/>
      <c r="AG141" s="575"/>
      <c r="AH141" s="575"/>
      <c r="AI141" s="738">
        <f t="shared" si="13"/>
        <v>0</v>
      </c>
      <c r="AJ141" s="582">
        <v>0</v>
      </c>
      <c r="AK141" s="581">
        <f t="shared" si="11"/>
        <v>0</v>
      </c>
      <c r="AL141" s="750"/>
      <c r="AM141" s="743">
        <f t="shared" si="12"/>
        <v>0</v>
      </c>
    </row>
    <row r="142" spans="1:39" s="560" customFormat="1" ht="14.4" hidden="1" thickBot="1">
      <c r="A142" s="620" t="s">
        <v>761</v>
      </c>
      <c r="B142" s="621" t="s">
        <v>45</v>
      </c>
      <c r="C142" s="628"/>
      <c r="D142" s="580"/>
      <c r="E142" s="581"/>
      <c r="F142" s="581"/>
      <c r="G142" s="778"/>
      <c r="H142" s="581"/>
      <c r="I142" s="582"/>
      <c r="J142" s="582"/>
      <c r="K142" s="582"/>
      <c r="L142" s="575"/>
      <c r="M142" s="575"/>
      <c r="N142" s="809"/>
      <c r="O142" s="575"/>
      <c r="P142" s="575"/>
      <c r="Q142" s="575"/>
      <c r="R142" s="575"/>
      <c r="S142" s="575"/>
      <c r="T142" s="575"/>
      <c r="U142" s="809"/>
      <c r="V142" s="575"/>
      <c r="W142" s="575"/>
      <c r="X142" s="575"/>
      <c r="Y142" s="575"/>
      <c r="Z142" s="575"/>
      <c r="AA142" s="575"/>
      <c r="AB142" s="809"/>
      <c r="AC142" s="575"/>
      <c r="AD142" s="575"/>
      <c r="AE142" s="575"/>
      <c r="AF142" s="817"/>
      <c r="AG142" s="575"/>
      <c r="AH142" s="575"/>
      <c r="AI142" s="738">
        <f t="shared" si="13"/>
        <v>0</v>
      </c>
      <c r="AJ142" s="582">
        <v>0</v>
      </c>
      <c r="AK142" s="581">
        <f t="shared" si="11"/>
        <v>0</v>
      </c>
      <c r="AL142" s="750"/>
      <c r="AM142" s="743">
        <f t="shared" si="12"/>
        <v>0</v>
      </c>
    </row>
    <row r="143" spans="1:39" s="560" customFormat="1" ht="14.4" hidden="1" thickBot="1">
      <c r="A143" s="620" t="s">
        <v>762</v>
      </c>
      <c r="B143" s="621" t="s">
        <v>1198</v>
      </c>
      <c r="C143" s="628" t="s">
        <v>39</v>
      </c>
      <c r="D143" s="580"/>
      <c r="E143" s="581"/>
      <c r="F143" s="581"/>
      <c r="G143" s="778"/>
      <c r="H143" s="581"/>
      <c r="I143" s="582"/>
      <c r="J143" s="582"/>
      <c r="K143" s="582"/>
      <c r="L143" s="575"/>
      <c r="M143" s="575"/>
      <c r="N143" s="809"/>
      <c r="O143" s="575"/>
      <c r="P143" s="575"/>
      <c r="Q143" s="575"/>
      <c r="R143" s="575"/>
      <c r="S143" s="575"/>
      <c r="T143" s="575"/>
      <c r="U143" s="809"/>
      <c r="V143" s="575"/>
      <c r="W143" s="575"/>
      <c r="X143" s="575"/>
      <c r="Y143" s="575"/>
      <c r="Z143" s="575"/>
      <c r="AA143" s="575"/>
      <c r="AB143" s="809"/>
      <c r="AC143" s="575"/>
      <c r="AD143" s="575"/>
      <c r="AE143" s="575"/>
      <c r="AF143" s="817"/>
      <c r="AG143" s="575"/>
      <c r="AH143" s="575"/>
      <c r="AI143" s="738">
        <f t="shared" si="13"/>
        <v>0</v>
      </c>
      <c r="AJ143" s="582">
        <v>0</v>
      </c>
      <c r="AK143" s="581">
        <f t="shared" si="11"/>
        <v>0</v>
      </c>
      <c r="AL143" s="750" t="s">
        <v>1589</v>
      </c>
      <c r="AM143" s="743">
        <f t="shared" si="12"/>
        <v>95.88</v>
      </c>
    </row>
    <row r="144" spans="1:39" s="560" customFormat="1" ht="14.4" hidden="1" thickBot="1">
      <c r="A144" s="620" t="s">
        <v>763</v>
      </c>
      <c r="B144" s="621" t="s">
        <v>1147</v>
      </c>
      <c r="C144" s="628" t="s">
        <v>39</v>
      </c>
      <c r="D144" s="580"/>
      <c r="E144" s="581"/>
      <c r="F144" s="581"/>
      <c r="G144" s="778"/>
      <c r="H144" s="581"/>
      <c r="I144" s="582"/>
      <c r="J144" s="582"/>
      <c r="K144" s="582"/>
      <c r="L144" s="575"/>
      <c r="M144" s="575"/>
      <c r="N144" s="809"/>
      <c r="O144" s="575"/>
      <c r="P144" s="575"/>
      <c r="Q144" s="575"/>
      <c r="R144" s="575"/>
      <c r="S144" s="575"/>
      <c r="T144" s="575"/>
      <c r="U144" s="809"/>
      <c r="V144" s="575"/>
      <c r="W144" s="575"/>
      <c r="X144" s="575"/>
      <c r="Y144" s="575"/>
      <c r="Z144" s="575"/>
      <c r="AA144" s="575"/>
      <c r="AB144" s="809"/>
      <c r="AC144" s="575"/>
      <c r="AD144" s="575"/>
      <c r="AE144" s="575"/>
      <c r="AF144" s="817"/>
      <c r="AG144" s="575"/>
      <c r="AH144" s="575"/>
      <c r="AI144" s="738">
        <f t="shared" si="13"/>
        <v>0</v>
      </c>
      <c r="AJ144" s="582">
        <v>0</v>
      </c>
      <c r="AK144" s="581">
        <f t="shared" si="11"/>
        <v>0</v>
      </c>
      <c r="AL144" s="750" t="s">
        <v>1590</v>
      </c>
      <c r="AM144" s="743">
        <f t="shared" si="12"/>
        <v>124.65</v>
      </c>
    </row>
    <row r="145" spans="1:39" s="560" customFormat="1" ht="14.4" hidden="1" thickBot="1">
      <c r="A145" s="620" t="s">
        <v>764</v>
      </c>
      <c r="B145" s="621" t="s">
        <v>1148</v>
      </c>
      <c r="C145" s="628"/>
      <c r="D145" s="580"/>
      <c r="E145" s="581"/>
      <c r="F145" s="581"/>
      <c r="G145" s="778"/>
      <c r="H145" s="581"/>
      <c r="I145" s="582"/>
      <c r="J145" s="582"/>
      <c r="K145" s="582"/>
      <c r="L145" s="575"/>
      <c r="M145" s="575"/>
      <c r="N145" s="809"/>
      <c r="O145" s="575"/>
      <c r="P145" s="575"/>
      <c r="Q145" s="575"/>
      <c r="R145" s="575"/>
      <c r="S145" s="575"/>
      <c r="T145" s="575"/>
      <c r="U145" s="809"/>
      <c r="V145" s="575"/>
      <c r="W145" s="575"/>
      <c r="X145" s="575"/>
      <c r="Y145" s="575"/>
      <c r="Z145" s="575"/>
      <c r="AA145" s="575"/>
      <c r="AB145" s="809"/>
      <c r="AC145" s="575"/>
      <c r="AD145" s="575"/>
      <c r="AE145" s="575"/>
      <c r="AF145" s="817"/>
      <c r="AG145" s="575"/>
      <c r="AH145" s="575"/>
      <c r="AI145" s="738">
        <f t="shared" si="13"/>
        <v>0</v>
      </c>
      <c r="AJ145" s="582">
        <v>0</v>
      </c>
      <c r="AK145" s="581">
        <f t="shared" si="11"/>
        <v>0</v>
      </c>
      <c r="AL145" s="750"/>
      <c r="AM145" s="743">
        <f t="shared" si="12"/>
        <v>0</v>
      </c>
    </row>
    <row r="146" spans="1:39" s="560" customFormat="1" ht="14.4" hidden="1" thickBot="1">
      <c r="A146" s="620" t="s">
        <v>765</v>
      </c>
      <c r="B146" s="621" t="s">
        <v>1190</v>
      </c>
      <c r="C146" s="628" t="s">
        <v>39</v>
      </c>
      <c r="D146" s="580"/>
      <c r="E146" s="581"/>
      <c r="F146" s="581"/>
      <c r="G146" s="778"/>
      <c r="H146" s="581"/>
      <c r="I146" s="582"/>
      <c r="J146" s="582"/>
      <c r="K146" s="582"/>
      <c r="L146" s="575"/>
      <c r="M146" s="575"/>
      <c r="N146" s="809"/>
      <c r="O146" s="575"/>
      <c r="P146" s="575"/>
      <c r="Q146" s="575"/>
      <c r="R146" s="575"/>
      <c r="S146" s="575"/>
      <c r="T146" s="575"/>
      <c r="U146" s="809"/>
      <c r="V146" s="575"/>
      <c r="W146" s="575"/>
      <c r="X146" s="575"/>
      <c r="Y146" s="575"/>
      <c r="Z146" s="575"/>
      <c r="AA146" s="575"/>
      <c r="AB146" s="809"/>
      <c r="AC146" s="575"/>
      <c r="AD146" s="575"/>
      <c r="AE146" s="575"/>
      <c r="AF146" s="817"/>
      <c r="AG146" s="575"/>
      <c r="AH146" s="575"/>
      <c r="AI146" s="738">
        <f t="shared" si="13"/>
        <v>0</v>
      </c>
      <c r="AJ146" s="582">
        <v>0</v>
      </c>
      <c r="AK146" s="581">
        <f t="shared" si="11"/>
        <v>0</v>
      </c>
      <c r="AL146" s="750" t="s">
        <v>1591</v>
      </c>
      <c r="AM146" s="743">
        <f t="shared" si="12"/>
        <v>81.67</v>
      </c>
    </row>
    <row r="147" spans="1:39" s="560" customFormat="1" ht="14.4" hidden="1" thickBot="1">
      <c r="A147" s="620" t="s">
        <v>766</v>
      </c>
      <c r="B147" s="621" t="s">
        <v>1210</v>
      </c>
      <c r="C147" s="628" t="s">
        <v>36</v>
      </c>
      <c r="D147" s="580"/>
      <c r="E147" s="581"/>
      <c r="F147" s="581"/>
      <c r="G147" s="778"/>
      <c r="H147" s="581"/>
      <c r="I147" s="582"/>
      <c r="J147" s="582"/>
      <c r="K147" s="582"/>
      <c r="L147" s="575"/>
      <c r="M147" s="575"/>
      <c r="N147" s="809"/>
      <c r="O147" s="575"/>
      <c r="P147" s="575"/>
      <c r="Q147" s="575"/>
      <c r="R147" s="575"/>
      <c r="S147" s="575"/>
      <c r="T147" s="575"/>
      <c r="U147" s="809"/>
      <c r="V147" s="575"/>
      <c r="W147" s="575"/>
      <c r="X147" s="575"/>
      <c r="Y147" s="575"/>
      <c r="Z147" s="575"/>
      <c r="AA147" s="575"/>
      <c r="AB147" s="809"/>
      <c r="AC147" s="575"/>
      <c r="AD147" s="575"/>
      <c r="AE147" s="575"/>
      <c r="AF147" s="817"/>
      <c r="AG147" s="575"/>
      <c r="AH147" s="575"/>
      <c r="AI147" s="738">
        <f t="shared" si="13"/>
        <v>0</v>
      </c>
      <c r="AJ147" s="582">
        <v>0</v>
      </c>
      <c r="AK147" s="581">
        <f t="shared" si="11"/>
        <v>0</v>
      </c>
      <c r="AL147" s="750" t="s">
        <v>1592</v>
      </c>
      <c r="AM147" s="743">
        <f t="shared" si="12"/>
        <v>221.37</v>
      </c>
    </row>
    <row r="148" spans="1:39" s="560" customFormat="1" ht="14.4" hidden="1" thickBot="1">
      <c r="A148" s="620" t="s">
        <v>767</v>
      </c>
      <c r="B148" s="621" t="s">
        <v>1211</v>
      </c>
      <c r="C148" s="628"/>
      <c r="D148" s="580"/>
      <c r="E148" s="581"/>
      <c r="F148" s="581"/>
      <c r="G148" s="778"/>
      <c r="H148" s="581"/>
      <c r="I148" s="582"/>
      <c r="J148" s="582"/>
      <c r="K148" s="582"/>
      <c r="L148" s="575"/>
      <c r="M148" s="575"/>
      <c r="N148" s="809"/>
      <c r="O148" s="575"/>
      <c r="P148" s="575"/>
      <c r="Q148" s="575"/>
      <c r="R148" s="575"/>
      <c r="S148" s="575"/>
      <c r="T148" s="575"/>
      <c r="U148" s="809"/>
      <c r="V148" s="575"/>
      <c r="W148" s="575"/>
      <c r="X148" s="575"/>
      <c r="Y148" s="575"/>
      <c r="Z148" s="575"/>
      <c r="AA148" s="575"/>
      <c r="AB148" s="809"/>
      <c r="AC148" s="575"/>
      <c r="AD148" s="575"/>
      <c r="AE148" s="575"/>
      <c r="AF148" s="817"/>
      <c r="AG148" s="575"/>
      <c r="AH148" s="575"/>
      <c r="AI148" s="738">
        <f t="shared" si="13"/>
        <v>0</v>
      </c>
      <c r="AJ148" s="582">
        <v>0</v>
      </c>
      <c r="AK148" s="581">
        <f t="shared" si="11"/>
        <v>0</v>
      </c>
      <c r="AL148" s="750"/>
      <c r="AM148" s="743">
        <f t="shared" si="12"/>
        <v>0</v>
      </c>
    </row>
    <row r="149" spans="1:39" s="560" customFormat="1" ht="14.4" hidden="1" thickBot="1">
      <c r="A149" s="620" t="s">
        <v>768</v>
      </c>
      <c r="B149" s="621" t="s">
        <v>45</v>
      </c>
      <c r="C149" s="628"/>
      <c r="D149" s="580"/>
      <c r="E149" s="581"/>
      <c r="F149" s="581"/>
      <c r="G149" s="778"/>
      <c r="H149" s="581"/>
      <c r="I149" s="582"/>
      <c r="J149" s="582"/>
      <c r="K149" s="582"/>
      <c r="L149" s="575"/>
      <c r="M149" s="575"/>
      <c r="N149" s="809"/>
      <c r="O149" s="575"/>
      <c r="P149" s="575"/>
      <c r="Q149" s="575"/>
      <c r="R149" s="575"/>
      <c r="S149" s="575"/>
      <c r="T149" s="575"/>
      <c r="U149" s="809"/>
      <c r="V149" s="575"/>
      <c r="W149" s="575"/>
      <c r="X149" s="575"/>
      <c r="Y149" s="575"/>
      <c r="Z149" s="575"/>
      <c r="AA149" s="575"/>
      <c r="AB149" s="809"/>
      <c r="AC149" s="575"/>
      <c r="AD149" s="575"/>
      <c r="AE149" s="575"/>
      <c r="AF149" s="817"/>
      <c r="AG149" s="575"/>
      <c r="AH149" s="575"/>
      <c r="AI149" s="738">
        <f t="shared" si="13"/>
        <v>0</v>
      </c>
      <c r="AJ149" s="582">
        <v>0</v>
      </c>
      <c r="AK149" s="581">
        <f t="shared" si="11"/>
        <v>0</v>
      </c>
      <c r="AL149" s="750"/>
      <c r="AM149" s="743">
        <f t="shared" si="12"/>
        <v>0</v>
      </c>
    </row>
    <row r="150" spans="1:39" s="560" customFormat="1" ht="14.4" hidden="1" thickBot="1">
      <c r="A150" s="620" t="s">
        <v>769</v>
      </c>
      <c r="B150" s="621" t="s">
        <v>1212</v>
      </c>
      <c r="C150" s="628" t="s">
        <v>39</v>
      </c>
      <c r="D150" s="580"/>
      <c r="E150" s="581"/>
      <c r="F150" s="581"/>
      <c r="G150" s="778"/>
      <c r="H150" s="581"/>
      <c r="I150" s="582"/>
      <c r="J150" s="582"/>
      <c r="K150" s="582"/>
      <c r="L150" s="575"/>
      <c r="M150" s="575"/>
      <c r="N150" s="809"/>
      <c r="O150" s="575"/>
      <c r="P150" s="575"/>
      <c r="Q150" s="575"/>
      <c r="R150" s="575"/>
      <c r="S150" s="575"/>
      <c r="T150" s="575"/>
      <c r="U150" s="809"/>
      <c r="V150" s="575"/>
      <c r="W150" s="575"/>
      <c r="X150" s="575"/>
      <c r="Y150" s="575"/>
      <c r="Z150" s="575"/>
      <c r="AA150" s="575"/>
      <c r="AB150" s="809"/>
      <c r="AC150" s="575"/>
      <c r="AD150" s="575"/>
      <c r="AE150" s="575"/>
      <c r="AF150" s="817"/>
      <c r="AG150" s="575"/>
      <c r="AH150" s="575"/>
      <c r="AI150" s="738">
        <f t="shared" si="13"/>
        <v>0</v>
      </c>
      <c r="AJ150" s="582">
        <v>0</v>
      </c>
      <c r="AK150" s="581">
        <f t="shared" ref="AK150:AK213" si="14">AI150+AJ150</f>
        <v>0</v>
      </c>
      <c r="AL150" s="750" t="s">
        <v>1593</v>
      </c>
      <c r="AM150" s="743">
        <f t="shared" ref="AM150:AM213" si="15">AL150-AK150</f>
        <v>2.81</v>
      </c>
    </row>
    <row r="151" spans="1:39" s="560" customFormat="1" ht="14.4" hidden="1" thickBot="1">
      <c r="A151" s="620" t="s">
        <v>770</v>
      </c>
      <c r="B151" s="621" t="s">
        <v>268</v>
      </c>
      <c r="C151" s="628" t="s">
        <v>36</v>
      </c>
      <c r="D151" s="580"/>
      <c r="E151" s="581"/>
      <c r="F151" s="581"/>
      <c r="G151" s="778"/>
      <c r="H151" s="581"/>
      <c r="I151" s="582"/>
      <c r="J151" s="582"/>
      <c r="K151" s="582"/>
      <c r="L151" s="575"/>
      <c r="M151" s="575"/>
      <c r="N151" s="809"/>
      <c r="O151" s="575"/>
      <c r="P151" s="575"/>
      <c r="Q151" s="575"/>
      <c r="R151" s="575"/>
      <c r="S151" s="575"/>
      <c r="T151" s="575"/>
      <c r="U151" s="809"/>
      <c r="V151" s="575"/>
      <c r="W151" s="575"/>
      <c r="X151" s="575"/>
      <c r="Y151" s="575"/>
      <c r="Z151" s="575"/>
      <c r="AA151" s="575"/>
      <c r="AB151" s="809"/>
      <c r="AC151" s="575"/>
      <c r="AD151" s="575"/>
      <c r="AE151" s="575"/>
      <c r="AF151" s="817"/>
      <c r="AG151" s="575"/>
      <c r="AH151" s="575"/>
      <c r="AI151" s="738">
        <f t="shared" si="13"/>
        <v>0</v>
      </c>
      <c r="AJ151" s="582">
        <v>0</v>
      </c>
      <c r="AK151" s="581">
        <f t="shared" si="14"/>
        <v>0</v>
      </c>
      <c r="AL151" s="750" t="s">
        <v>1594</v>
      </c>
      <c r="AM151" s="743">
        <f t="shared" si="15"/>
        <v>60</v>
      </c>
    </row>
    <row r="152" spans="1:39" s="560" customFormat="1" ht="14.4" hidden="1" thickBot="1">
      <c r="A152" s="620" t="s">
        <v>771</v>
      </c>
      <c r="B152" s="621" t="s">
        <v>1147</v>
      </c>
      <c r="C152" s="628" t="s">
        <v>39</v>
      </c>
      <c r="D152" s="580"/>
      <c r="E152" s="581"/>
      <c r="F152" s="581"/>
      <c r="G152" s="778"/>
      <c r="H152" s="581"/>
      <c r="I152" s="582"/>
      <c r="J152" s="582"/>
      <c r="K152" s="582"/>
      <c r="L152" s="575"/>
      <c r="M152" s="575"/>
      <c r="N152" s="809"/>
      <c r="O152" s="575"/>
      <c r="P152" s="575"/>
      <c r="Q152" s="575"/>
      <c r="R152" s="575"/>
      <c r="S152" s="575"/>
      <c r="T152" s="575"/>
      <c r="U152" s="809"/>
      <c r="V152" s="575"/>
      <c r="W152" s="575"/>
      <c r="X152" s="575"/>
      <c r="Y152" s="575"/>
      <c r="Z152" s="575"/>
      <c r="AA152" s="575"/>
      <c r="AB152" s="809"/>
      <c r="AC152" s="575"/>
      <c r="AD152" s="575"/>
      <c r="AE152" s="575"/>
      <c r="AF152" s="817"/>
      <c r="AG152" s="575"/>
      <c r="AH152" s="575"/>
      <c r="AI152" s="738">
        <f t="shared" si="13"/>
        <v>0</v>
      </c>
      <c r="AJ152" s="582">
        <v>0</v>
      </c>
      <c r="AK152" s="581">
        <f t="shared" si="14"/>
        <v>0</v>
      </c>
      <c r="AL152" s="750" t="s">
        <v>1595</v>
      </c>
      <c r="AM152" s="743">
        <f t="shared" si="15"/>
        <v>3.51</v>
      </c>
    </row>
    <row r="153" spans="1:39" s="560" customFormat="1" ht="14.4" hidden="1" thickBot="1">
      <c r="A153" s="620" t="s">
        <v>772</v>
      </c>
      <c r="B153" s="621" t="s">
        <v>1148</v>
      </c>
      <c r="C153" s="628"/>
      <c r="D153" s="580"/>
      <c r="E153" s="581"/>
      <c r="F153" s="581"/>
      <c r="G153" s="778"/>
      <c r="H153" s="581"/>
      <c r="I153" s="582"/>
      <c r="J153" s="582"/>
      <c r="K153" s="582"/>
      <c r="L153" s="575"/>
      <c r="M153" s="575"/>
      <c r="N153" s="809"/>
      <c r="O153" s="575"/>
      <c r="P153" s="575"/>
      <c r="Q153" s="575"/>
      <c r="R153" s="575"/>
      <c r="S153" s="575"/>
      <c r="T153" s="575"/>
      <c r="U153" s="809"/>
      <c r="V153" s="575"/>
      <c r="W153" s="575"/>
      <c r="X153" s="575"/>
      <c r="Y153" s="575"/>
      <c r="Z153" s="575"/>
      <c r="AA153" s="575"/>
      <c r="AB153" s="809"/>
      <c r="AC153" s="575"/>
      <c r="AD153" s="575"/>
      <c r="AE153" s="575"/>
      <c r="AF153" s="817"/>
      <c r="AG153" s="575"/>
      <c r="AH153" s="575"/>
      <c r="AI153" s="738">
        <f t="shared" si="13"/>
        <v>0</v>
      </c>
      <c r="AJ153" s="582">
        <v>0</v>
      </c>
      <c r="AK153" s="581">
        <f t="shared" si="14"/>
        <v>0</v>
      </c>
      <c r="AL153" s="750"/>
      <c r="AM153" s="743">
        <f t="shared" si="15"/>
        <v>0</v>
      </c>
    </row>
    <row r="154" spans="1:39" s="560" customFormat="1" ht="14.4" hidden="1" thickBot="1">
      <c r="A154" s="620" t="s">
        <v>773</v>
      </c>
      <c r="B154" s="621" t="s">
        <v>1189</v>
      </c>
      <c r="C154" s="628" t="s">
        <v>36</v>
      </c>
      <c r="D154" s="580"/>
      <c r="E154" s="581"/>
      <c r="F154" s="581"/>
      <c r="G154" s="778"/>
      <c r="H154" s="581"/>
      <c r="I154" s="582"/>
      <c r="J154" s="582"/>
      <c r="K154" s="582"/>
      <c r="L154" s="575"/>
      <c r="M154" s="575"/>
      <c r="N154" s="809"/>
      <c r="O154" s="575"/>
      <c r="P154" s="575"/>
      <c r="Q154" s="575"/>
      <c r="R154" s="575"/>
      <c r="S154" s="575"/>
      <c r="T154" s="575"/>
      <c r="U154" s="809"/>
      <c r="V154" s="575"/>
      <c r="W154" s="575"/>
      <c r="X154" s="575"/>
      <c r="Y154" s="575"/>
      <c r="Z154" s="575"/>
      <c r="AA154" s="575"/>
      <c r="AB154" s="809"/>
      <c r="AC154" s="575"/>
      <c r="AD154" s="575"/>
      <c r="AE154" s="575"/>
      <c r="AF154" s="817"/>
      <c r="AG154" s="575"/>
      <c r="AH154" s="575"/>
      <c r="AI154" s="738">
        <f t="shared" si="13"/>
        <v>0</v>
      </c>
      <c r="AJ154" s="582">
        <v>0</v>
      </c>
      <c r="AK154" s="581">
        <f t="shared" si="14"/>
        <v>0</v>
      </c>
      <c r="AL154" s="750" t="s">
        <v>1596</v>
      </c>
      <c r="AM154" s="743">
        <f t="shared" si="15"/>
        <v>2.16</v>
      </c>
    </row>
    <row r="155" spans="1:39" s="560" customFormat="1" ht="14.4" hidden="1" thickBot="1">
      <c r="A155" s="620" t="s">
        <v>774</v>
      </c>
      <c r="B155" s="621" t="s">
        <v>1213</v>
      </c>
      <c r="C155" s="628" t="s">
        <v>36</v>
      </c>
      <c r="D155" s="580"/>
      <c r="E155" s="581"/>
      <c r="F155" s="581"/>
      <c r="G155" s="778"/>
      <c r="H155" s="581"/>
      <c r="I155" s="582"/>
      <c r="J155" s="582"/>
      <c r="K155" s="582"/>
      <c r="L155" s="575"/>
      <c r="M155" s="575"/>
      <c r="N155" s="809"/>
      <c r="O155" s="575"/>
      <c r="P155" s="575"/>
      <c r="Q155" s="575"/>
      <c r="R155" s="575"/>
      <c r="S155" s="575"/>
      <c r="T155" s="575"/>
      <c r="U155" s="809"/>
      <c r="V155" s="575"/>
      <c r="W155" s="575"/>
      <c r="X155" s="575"/>
      <c r="Y155" s="575"/>
      <c r="Z155" s="575"/>
      <c r="AA155" s="575"/>
      <c r="AB155" s="809"/>
      <c r="AC155" s="575"/>
      <c r="AD155" s="575"/>
      <c r="AE155" s="575"/>
      <c r="AF155" s="817"/>
      <c r="AG155" s="575"/>
      <c r="AH155" s="575"/>
      <c r="AI155" s="738">
        <f t="shared" si="13"/>
        <v>0</v>
      </c>
      <c r="AJ155" s="582">
        <v>0</v>
      </c>
      <c r="AK155" s="581">
        <f t="shared" si="14"/>
        <v>0</v>
      </c>
      <c r="AL155" s="750" t="s">
        <v>1594</v>
      </c>
      <c r="AM155" s="743">
        <f t="shared" si="15"/>
        <v>60</v>
      </c>
    </row>
    <row r="156" spans="1:39" s="560" customFormat="1" ht="14.4" hidden="1" thickBot="1">
      <c r="A156" s="620" t="s">
        <v>775</v>
      </c>
      <c r="B156" s="621" t="s">
        <v>1155</v>
      </c>
      <c r="C156" s="628"/>
      <c r="D156" s="580"/>
      <c r="E156" s="581"/>
      <c r="F156" s="581"/>
      <c r="G156" s="778"/>
      <c r="H156" s="581"/>
      <c r="I156" s="582"/>
      <c r="J156" s="582"/>
      <c r="K156" s="582"/>
      <c r="L156" s="575"/>
      <c r="M156" s="575"/>
      <c r="N156" s="809"/>
      <c r="O156" s="575"/>
      <c r="P156" s="575"/>
      <c r="Q156" s="575"/>
      <c r="R156" s="575"/>
      <c r="S156" s="575"/>
      <c r="T156" s="575"/>
      <c r="U156" s="809"/>
      <c r="V156" s="575"/>
      <c r="W156" s="575"/>
      <c r="X156" s="575"/>
      <c r="Y156" s="575"/>
      <c r="Z156" s="575"/>
      <c r="AA156" s="575"/>
      <c r="AB156" s="809"/>
      <c r="AC156" s="575"/>
      <c r="AD156" s="575"/>
      <c r="AE156" s="575"/>
      <c r="AF156" s="817"/>
      <c r="AG156" s="575"/>
      <c r="AH156" s="575"/>
      <c r="AI156" s="738">
        <f t="shared" si="13"/>
        <v>0</v>
      </c>
      <c r="AJ156" s="582">
        <v>0</v>
      </c>
      <c r="AK156" s="581">
        <f t="shared" si="14"/>
        <v>0</v>
      </c>
      <c r="AL156" s="750"/>
      <c r="AM156" s="743">
        <f t="shared" si="15"/>
        <v>0</v>
      </c>
    </row>
    <row r="157" spans="1:39" s="560" customFormat="1" ht="14.4" hidden="1" thickBot="1">
      <c r="A157" s="620" t="s">
        <v>776</v>
      </c>
      <c r="B157" s="621" t="s">
        <v>1156</v>
      </c>
      <c r="C157" s="628"/>
      <c r="D157" s="580"/>
      <c r="E157" s="581"/>
      <c r="F157" s="581"/>
      <c r="G157" s="778"/>
      <c r="H157" s="581"/>
      <c r="I157" s="582"/>
      <c r="J157" s="582"/>
      <c r="K157" s="582"/>
      <c r="L157" s="575"/>
      <c r="M157" s="575"/>
      <c r="N157" s="809"/>
      <c r="O157" s="575"/>
      <c r="P157" s="575"/>
      <c r="Q157" s="575"/>
      <c r="R157" s="575"/>
      <c r="S157" s="575"/>
      <c r="T157" s="575"/>
      <c r="U157" s="809"/>
      <c r="V157" s="575"/>
      <c r="W157" s="575"/>
      <c r="X157" s="575"/>
      <c r="Y157" s="575"/>
      <c r="Z157" s="575"/>
      <c r="AA157" s="575"/>
      <c r="AB157" s="809"/>
      <c r="AC157" s="575"/>
      <c r="AD157" s="575"/>
      <c r="AE157" s="575"/>
      <c r="AF157" s="817"/>
      <c r="AG157" s="575"/>
      <c r="AH157" s="575"/>
      <c r="AI157" s="738">
        <f t="shared" si="13"/>
        <v>0</v>
      </c>
      <c r="AJ157" s="582">
        <v>0</v>
      </c>
      <c r="AK157" s="581">
        <f t="shared" si="14"/>
        <v>0</v>
      </c>
      <c r="AL157" s="750"/>
      <c r="AM157" s="743">
        <f t="shared" si="15"/>
        <v>0</v>
      </c>
    </row>
    <row r="158" spans="1:39" s="560" customFormat="1" ht="14.4" hidden="1" thickBot="1">
      <c r="A158" s="620" t="s">
        <v>777</v>
      </c>
      <c r="B158" s="621" t="s">
        <v>1192</v>
      </c>
      <c r="C158" s="628" t="s">
        <v>39</v>
      </c>
      <c r="D158" s="580"/>
      <c r="E158" s="581"/>
      <c r="F158" s="581"/>
      <c r="G158" s="778"/>
      <c r="H158" s="581"/>
      <c r="I158" s="582"/>
      <c r="J158" s="582"/>
      <c r="K158" s="582"/>
      <c r="L158" s="575"/>
      <c r="M158" s="575"/>
      <c r="N158" s="809"/>
      <c r="O158" s="575"/>
      <c r="P158" s="575"/>
      <c r="Q158" s="575"/>
      <c r="R158" s="575"/>
      <c r="S158" s="575"/>
      <c r="T158" s="575"/>
      <c r="U158" s="809"/>
      <c r="V158" s="575"/>
      <c r="W158" s="575"/>
      <c r="X158" s="575"/>
      <c r="Y158" s="575"/>
      <c r="Z158" s="575"/>
      <c r="AA158" s="575"/>
      <c r="AB158" s="809"/>
      <c r="AC158" s="575"/>
      <c r="AD158" s="575"/>
      <c r="AE158" s="575"/>
      <c r="AF158" s="817"/>
      <c r="AG158" s="575"/>
      <c r="AH158" s="575"/>
      <c r="AI158" s="738">
        <f t="shared" si="13"/>
        <v>0</v>
      </c>
      <c r="AJ158" s="582">
        <v>0</v>
      </c>
      <c r="AK158" s="581">
        <f t="shared" si="14"/>
        <v>0</v>
      </c>
      <c r="AL158" s="750" t="s">
        <v>1597</v>
      </c>
      <c r="AM158" s="743">
        <f t="shared" si="15"/>
        <v>2.52</v>
      </c>
    </row>
    <row r="159" spans="1:39" s="560" customFormat="1" ht="14.4" hidden="1" thickBot="1">
      <c r="A159" s="620" t="s">
        <v>778</v>
      </c>
      <c r="B159" s="621" t="s">
        <v>1158</v>
      </c>
      <c r="C159" s="628" t="s">
        <v>47</v>
      </c>
      <c r="D159" s="580"/>
      <c r="E159" s="581"/>
      <c r="F159" s="581"/>
      <c r="G159" s="778"/>
      <c r="H159" s="581"/>
      <c r="I159" s="582"/>
      <c r="J159" s="582"/>
      <c r="K159" s="582"/>
      <c r="L159" s="575"/>
      <c r="M159" s="575"/>
      <c r="N159" s="809"/>
      <c r="O159" s="575"/>
      <c r="P159" s="575"/>
      <c r="Q159" s="575"/>
      <c r="R159" s="575"/>
      <c r="S159" s="575"/>
      <c r="T159" s="575"/>
      <c r="U159" s="809"/>
      <c r="V159" s="575"/>
      <c r="W159" s="575"/>
      <c r="X159" s="575"/>
      <c r="Y159" s="575"/>
      <c r="Z159" s="575"/>
      <c r="AA159" s="575"/>
      <c r="AB159" s="809"/>
      <c r="AC159" s="575"/>
      <c r="AD159" s="575"/>
      <c r="AE159" s="575"/>
      <c r="AF159" s="817"/>
      <c r="AG159" s="575"/>
      <c r="AH159" s="575"/>
      <c r="AI159" s="738">
        <f t="shared" si="13"/>
        <v>0</v>
      </c>
      <c r="AJ159" s="582">
        <v>0</v>
      </c>
      <c r="AK159" s="581">
        <f t="shared" si="14"/>
        <v>0</v>
      </c>
      <c r="AL159" s="750" t="s">
        <v>1598</v>
      </c>
      <c r="AM159" s="743">
        <f t="shared" si="15"/>
        <v>186.08</v>
      </c>
    </row>
    <row r="160" spans="1:39" s="560" customFormat="1" ht="14.4" hidden="1" thickBot="1">
      <c r="A160" s="620" t="s">
        <v>779</v>
      </c>
      <c r="B160" s="621" t="s">
        <v>1214</v>
      </c>
      <c r="C160" s="628"/>
      <c r="D160" s="580"/>
      <c r="E160" s="581"/>
      <c r="F160" s="581"/>
      <c r="G160" s="778"/>
      <c r="H160" s="581"/>
      <c r="I160" s="582"/>
      <c r="J160" s="582"/>
      <c r="K160" s="582"/>
      <c r="L160" s="575"/>
      <c r="M160" s="575"/>
      <c r="N160" s="809"/>
      <c r="O160" s="575"/>
      <c r="P160" s="575"/>
      <c r="Q160" s="575"/>
      <c r="R160" s="575"/>
      <c r="S160" s="575"/>
      <c r="T160" s="575"/>
      <c r="U160" s="809"/>
      <c r="V160" s="575"/>
      <c r="W160" s="575"/>
      <c r="X160" s="575"/>
      <c r="Y160" s="575"/>
      <c r="Z160" s="575"/>
      <c r="AA160" s="575"/>
      <c r="AB160" s="809"/>
      <c r="AC160" s="575"/>
      <c r="AD160" s="575"/>
      <c r="AE160" s="575"/>
      <c r="AF160" s="817"/>
      <c r="AG160" s="575"/>
      <c r="AH160" s="575"/>
      <c r="AI160" s="738">
        <f t="shared" si="13"/>
        <v>0</v>
      </c>
      <c r="AJ160" s="582">
        <v>0</v>
      </c>
      <c r="AK160" s="581">
        <f t="shared" si="14"/>
        <v>0</v>
      </c>
      <c r="AL160" s="750"/>
      <c r="AM160" s="743">
        <f t="shared" si="15"/>
        <v>0</v>
      </c>
    </row>
    <row r="161" spans="1:39" s="560" customFormat="1" ht="14.4" hidden="1" thickBot="1">
      <c r="A161" s="620" t="s">
        <v>780</v>
      </c>
      <c r="B161" s="621" t="s">
        <v>1215</v>
      </c>
      <c r="C161" s="628" t="s">
        <v>47</v>
      </c>
      <c r="D161" s="580"/>
      <c r="E161" s="581"/>
      <c r="F161" s="581"/>
      <c r="G161" s="778"/>
      <c r="H161" s="581"/>
      <c r="I161" s="582"/>
      <c r="J161" s="582"/>
      <c r="K161" s="582"/>
      <c r="L161" s="575"/>
      <c r="M161" s="575"/>
      <c r="N161" s="809"/>
      <c r="O161" s="575"/>
      <c r="P161" s="575"/>
      <c r="Q161" s="575"/>
      <c r="R161" s="575"/>
      <c r="S161" s="575"/>
      <c r="T161" s="575"/>
      <c r="U161" s="809"/>
      <c r="V161" s="575"/>
      <c r="W161" s="575"/>
      <c r="X161" s="575"/>
      <c r="Y161" s="575"/>
      <c r="Z161" s="575"/>
      <c r="AA161" s="575"/>
      <c r="AB161" s="809"/>
      <c r="AC161" s="575"/>
      <c r="AD161" s="575"/>
      <c r="AE161" s="575"/>
      <c r="AF161" s="817"/>
      <c r="AG161" s="575"/>
      <c r="AH161" s="575"/>
      <c r="AI161" s="738">
        <f t="shared" si="13"/>
        <v>0</v>
      </c>
      <c r="AJ161" s="582">
        <v>0</v>
      </c>
      <c r="AK161" s="581">
        <f t="shared" si="14"/>
        <v>0</v>
      </c>
      <c r="AL161" s="750" t="s">
        <v>1599</v>
      </c>
      <c r="AM161" s="743">
        <f t="shared" si="15"/>
        <v>899.99</v>
      </c>
    </row>
    <row r="162" spans="1:39" s="560" customFormat="1" ht="14.4" hidden="1" thickBot="1">
      <c r="A162" s="620" t="s">
        <v>781</v>
      </c>
      <c r="B162" s="621" t="s">
        <v>1216</v>
      </c>
      <c r="C162" s="628" t="s">
        <v>47</v>
      </c>
      <c r="D162" s="580"/>
      <c r="E162" s="581"/>
      <c r="F162" s="581"/>
      <c r="G162" s="778"/>
      <c r="H162" s="581"/>
      <c r="I162" s="582"/>
      <c r="J162" s="582"/>
      <c r="K162" s="582"/>
      <c r="L162" s="575"/>
      <c r="M162" s="575"/>
      <c r="N162" s="809"/>
      <c r="O162" s="575"/>
      <c r="P162" s="575"/>
      <c r="Q162" s="575"/>
      <c r="R162" s="575"/>
      <c r="S162" s="575"/>
      <c r="T162" s="575"/>
      <c r="U162" s="809"/>
      <c r="V162" s="575"/>
      <c r="W162" s="575"/>
      <c r="X162" s="575"/>
      <c r="Y162" s="575"/>
      <c r="Z162" s="575"/>
      <c r="AA162" s="575"/>
      <c r="AB162" s="809"/>
      <c r="AC162" s="575"/>
      <c r="AD162" s="575"/>
      <c r="AE162" s="575"/>
      <c r="AF162" s="817"/>
      <c r="AG162" s="575"/>
      <c r="AH162" s="575"/>
      <c r="AI162" s="738">
        <f t="shared" si="13"/>
        <v>0</v>
      </c>
      <c r="AJ162" s="582">
        <v>0</v>
      </c>
      <c r="AK162" s="581">
        <f t="shared" si="14"/>
        <v>0</v>
      </c>
      <c r="AL162" s="750" t="s">
        <v>1600</v>
      </c>
      <c r="AM162" s="743">
        <f t="shared" si="15"/>
        <v>394.52</v>
      </c>
    </row>
    <row r="163" spans="1:39" s="560" customFormat="1" ht="14.4" hidden="1" thickBot="1">
      <c r="A163" s="620" t="s">
        <v>782</v>
      </c>
      <c r="B163" s="621" t="s">
        <v>1217</v>
      </c>
      <c r="C163" s="628" t="s">
        <v>47</v>
      </c>
      <c r="D163" s="580"/>
      <c r="E163" s="581"/>
      <c r="F163" s="581"/>
      <c r="G163" s="778"/>
      <c r="H163" s="581"/>
      <c r="I163" s="582"/>
      <c r="J163" s="582"/>
      <c r="K163" s="582"/>
      <c r="L163" s="575"/>
      <c r="M163" s="575"/>
      <c r="N163" s="809"/>
      <c r="O163" s="575"/>
      <c r="P163" s="575"/>
      <c r="Q163" s="575"/>
      <c r="R163" s="575"/>
      <c r="S163" s="575"/>
      <c r="T163" s="575"/>
      <c r="U163" s="809"/>
      <c r="V163" s="575"/>
      <c r="W163" s="575"/>
      <c r="X163" s="575"/>
      <c r="Y163" s="575"/>
      <c r="Z163" s="575"/>
      <c r="AA163" s="575"/>
      <c r="AB163" s="809"/>
      <c r="AC163" s="575"/>
      <c r="AD163" s="575"/>
      <c r="AE163" s="575"/>
      <c r="AF163" s="817"/>
      <c r="AG163" s="575"/>
      <c r="AH163" s="575"/>
      <c r="AI163" s="738">
        <f t="shared" si="13"/>
        <v>0</v>
      </c>
      <c r="AJ163" s="582">
        <v>0</v>
      </c>
      <c r="AK163" s="581">
        <f t="shared" si="14"/>
        <v>0</v>
      </c>
      <c r="AL163" s="750" t="s">
        <v>1601</v>
      </c>
      <c r="AM163" s="743">
        <f t="shared" si="15"/>
        <v>271.91000000000003</v>
      </c>
    </row>
    <row r="164" spans="1:39" s="560" customFormat="1" ht="14.4" hidden="1" thickBot="1">
      <c r="A164" s="620" t="s">
        <v>783</v>
      </c>
      <c r="B164" s="621" t="s">
        <v>1218</v>
      </c>
      <c r="C164" s="628" t="s">
        <v>37</v>
      </c>
      <c r="D164" s="580"/>
      <c r="E164" s="581"/>
      <c r="F164" s="581"/>
      <c r="G164" s="778"/>
      <c r="H164" s="581"/>
      <c r="I164" s="582"/>
      <c r="J164" s="582"/>
      <c r="K164" s="582"/>
      <c r="L164" s="575"/>
      <c r="M164" s="575"/>
      <c r="N164" s="809"/>
      <c r="O164" s="575"/>
      <c r="P164" s="575"/>
      <c r="Q164" s="575"/>
      <c r="R164" s="575"/>
      <c r="S164" s="575"/>
      <c r="T164" s="575"/>
      <c r="U164" s="809"/>
      <c r="V164" s="575"/>
      <c r="W164" s="575"/>
      <c r="X164" s="575"/>
      <c r="Y164" s="575"/>
      <c r="Z164" s="575"/>
      <c r="AA164" s="575"/>
      <c r="AB164" s="809"/>
      <c r="AC164" s="575"/>
      <c r="AD164" s="575"/>
      <c r="AE164" s="575"/>
      <c r="AF164" s="817"/>
      <c r="AG164" s="575"/>
      <c r="AH164" s="575"/>
      <c r="AI164" s="738">
        <f t="shared" si="13"/>
        <v>0</v>
      </c>
      <c r="AJ164" s="582">
        <v>0</v>
      </c>
      <c r="AK164" s="581">
        <f t="shared" si="14"/>
        <v>0</v>
      </c>
      <c r="AL164" s="750" t="s">
        <v>1602</v>
      </c>
      <c r="AM164" s="743">
        <f t="shared" si="15"/>
        <v>80.92</v>
      </c>
    </row>
    <row r="165" spans="1:39" s="560" customFormat="1" ht="14.4" hidden="1" thickBot="1">
      <c r="A165" s="620" t="s">
        <v>784</v>
      </c>
      <c r="B165" s="621" t="s">
        <v>1219</v>
      </c>
      <c r="C165" s="628" t="s">
        <v>1436</v>
      </c>
      <c r="D165" s="580"/>
      <c r="E165" s="581"/>
      <c r="F165" s="581"/>
      <c r="G165" s="778"/>
      <c r="H165" s="581"/>
      <c r="I165" s="582"/>
      <c r="J165" s="582"/>
      <c r="K165" s="582"/>
      <c r="L165" s="575"/>
      <c r="M165" s="575"/>
      <c r="N165" s="809"/>
      <c r="O165" s="575"/>
      <c r="P165" s="575"/>
      <c r="Q165" s="575"/>
      <c r="R165" s="575"/>
      <c r="S165" s="575"/>
      <c r="T165" s="575"/>
      <c r="U165" s="809"/>
      <c r="V165" s="575"/>
      <c r="W165" s="575"/>
      <c r="X165" s="575"/>
      <c r="Y165" s="575"/>
      <c r="Z165" s="575"/>
      <c r="AA165" s="575"/>
      <c r="AB165" s="809"/>
      <c r="AC165" s="575"/>
      <c r="AD165" s="575"/>
      <c r="AE165" s="575"/>
      <c r="AF165" s="817"/>
      <c r="AG165" s="575"/>
      <c r="AH165" s="575"/>
      <c r="AI165" s="738">
        <f t="shared" si="13"/>
        <v>0</v>
      </c>
      <c r="AJ165" s="582">
        <v>0</v>
      </c>
      <c r="AK165" s="581">
        <f t="shared" si="14"/>
        <v>0</v>
      </c>
      <c r="AL165" s="750" t="s">
        <v>1603</v>
      </c>
      <c r="AM165" s="743">
        <f t="shared" si="15"/>
        <v>6</v>
      </c>
    </row>
    <row r="166" spans="1:39" s="560" customFormat="1" ht="14.4" hidden="1" thickBot="1">
      <c r="A166" s="620" t="s">
        <v>785</v>
      </c>
      <c r="B166" s="621" t="s">
        <v>1186</v>
      </c>
      <c r="C166" s="628"/>
      <c r="D166" s="580"/>
      <c r="E166" s="581"/>
      <c r="F166" s="581"/>
      <c r="G166" s="778"/>
      <c r="H166" s="581"/>
      <c r="I166" s="582"/>
      <c r="J166" s="582"/>
      <c r="K166" s="582"/>
      <c r="L166" s="575"/>
      <c r="M166" s="575"/>
      <c r="N166" s="809"/>
      <c r="O166" s="575"/>
      <c r="P166" s="575"/>
      <c r="Q166" s="575"/>
      <c r="R166" s="575"/>
      <c r="S166" s="575"/>
      <c r="T166" s="575"/>
      <c r="U166" s="809"/>
      <c r="V166" s="575"/>
      <c r="W166" s="575"/>
      <c r="X166" s="575"/>
      <c r="Y166" s="575"/>
      <c r="Z166" s="575"/>
      <c r="AA166" s="575"/>
      <c r="AB166" s="809"/>
      <c r="AC166" s="575"/>
      <c r="AD166" s="575"/>
      <c r="AE166" s="575"/>
      <c r="AF166" s="817"/>
      <c r="AG166" s="575"/>
      <c r="AH166" s="575"/>
      <c r="AI166" s="738">
        <f t="shared" si="13"/>
        <v>0</v>
      </c>
      <c r="AJ166" s="582">
        <v>0</v>
      </c>
      <c r="AK166" s="581">
        <f t="shared" si="14"/>
        <v>0</v>
      </c>
      <c r="AL166" s="750"/>
      <c r="AM166" s="743">
        <f t="shared" si="15"/>
        <v>0</v>
      </c>
    </row>
    <row r="167" spans="1:39" s="560" customFormat="1" ht="14.4" hidden="1" thickBot="1">
      <c r="A167" s="620" t="s">
        <v>786</v>
      </c>
      <c r="B167" s="621" t="s">
        <v>224</v>
      </c>
      <c r="C167" s="628" t="s">
        <v>1436</v>
      </c>
      <c r="D167" s="580"/>
      <c r="E167" s="581"/>
      <c r="F167" s="581"/>
      <c r="G167" s="778"/>
      <c r="H167" s="581"/>
      <c r="I167" s="582"/>
      <c r="J167" s="582"/>
      <c r="K167" s="582"/>
      <c r="L167" s="575"/>
      <c r="M167" s="575"/>
      <c r="N167" s="809"/>
      <c r="O167" s="575"/>
      <c r="P167" s="575"/>
      <c r="Q167" s="575"/>
      <c r="R167" s="575"/>
      <c r="S167" s="575"/>
      <c r="T167" s="575"/>
      <c r="U167" s="809"/>
      <c r="V167" s="575"/>
      <c r="W167" s="575"/>
      <c r="X167" s="575"/>
      <c r="Y167" s="575"/>
      <c r="Z167" s="575"/>
      <c r="AA167" s="575"/>
      <c r="AB167" s="809"/>
      <c r="AC167" s="575"/>
      <c r="AD167" s="575"/>
      <c r="AE167" s="575"/>
      <c r="AF167" s="817"/>
      <c r="AG167" s="575"/>
      <c r="AH167" s="575"/>
      <c r="AI167" s="738">
        <f t="shared" si="13"/>
        <v>0</v>
      </c>
      <c r="AJ167" s="582">
        <v>0</v>
      </c>
      <c r="AK167" s="581">
        <f t="shared" si="14"/>
        <v>0</v>
      </c>
      <c r="AL167" s="750" t="s">
        <v>1604</v>
      </c>
      <c r="AM167" s="743">
        <f t="shared" si="15"/>
        <v>3</v>
      </c>
    </row>
    <row r="168" spans="1:39" s="560" customFormat="1" ht="14.4" hidden="1" thickBot="1">
      <c r="A168" s="620" t="s">
        <v>44</v>
      </c>
      <c r="B168" s="621" t="s">
        <v>1220</v>
      </c>
      <c r="C168" s="628"/>
      <c r="D168" s="580"/>
      <c r="E168" s="581"/>
      <c r="F168" s="581"/>
      <c r="G168" s="778"/>
      <c r="H168" s="581"/>
      <c r="I168" s="582"/>
      <c r="J168" s="582"/>
      <c r="K168" s="582"/>
      <c r="L168" s="575"/>
      <c r="M168" s="575"/>
      <c r="N168" s="809"/>
      <c r="O168" s="575"/>
      <c r="P168" s="575"/>
      <c r="Q168" s="575"/>
      <c r="R168" s="575"/>
      <c r="S168" s="575"/>
      <c r="T168" s="575"/>
      <c r="U168" s="809"/>
      <c r="V168" s="575"/>
      <c r="W168" s="575"/>
      <c r="X168" s="575"/>
      <c r="Y168" s="575"/>
      <c r="Z168" s="575"/>
      <c r="AA168" s="575"/>
      <c r="AB168" s="809"/>
      <c r="AC168" s="575"/>
      <c r="AD168" s="575"/>
      <c r="AE168" s="575"/>
      <c r="AF168" s="817"/>
      <c r="AG168" s="575"/>
      <c r="AH168" s="575"/>
      <c r="AI168" s="738">
        <f t="shared" si="13"/>
        <v>0</v>
      </c>
      <c r="AJ168" s="582">
        <v>0</v>
      </c>
      <c r="AK168" s="581">
        <f t="shared" si="14"/>
        <v>0</v>
      </c>
      <c r="AL168" s="750"/>
      <c r="AM168" s="743">
        <f t="shared" si="15"/>
        <v>0</v>
      </c>
    </row>
    <row r="169" spans="1:39" s="560" customFormat="1" ht="14.4" hidden="1" thickBot="1">
      <c r="A169" s="620" t="s">
        <v>46</v>
      </c>
      <c r="B169" s="621" t="s">
        <v>1221</v>
      </c>
      <c r="C169" s="628"/>
      <c r="D169" s="580"/>
      <c r="E169" s="581"/>
      <c r="F169" s="581"/>
      <c r="G169" s="778"/>
      <c r="H169" s="581"/>
      <c r="I169" s="582"/>
      <c r="J169" s="582"/>
      <c r="K169" s="582"/>
      <c r="L169" s="575"/>
      <c r="M169" s="575"/>
      <c r="N169" s="809"/>
      <c r="O169" s="575"/>
      <c r="P169" s="575"/>
      <c r="Q169" s="575"/>
      <c r="R169" s="575"/>
      <c r="S169" s="575"/>
      <c r="T169" s="575"/>
      <c r="U169" s="809"/>
      <c r="V169" s="575"/>
      <c r="W169" s="575"/>
      <c r="X169" s="575"/>
      <c r="Y169" s="575"/>
      <c r="Z169" s="575"/>
      <c r="AA169" s="575"/>
      <c r="AB169" s="809"/>
      <c r="AC169" s="575"/>
      <c r="AD169" s="575"/>
      <c r="AE169" s="575"/>
      <c r="AF169" s="817"/>
      <c r="AG169" s="575"/>
      <c r="AH169" s="575"/>
      <c r="AI169" s="738">
        <f t="shared" si="13"/>
        <v>0</v>
      </c>
      <c r="AJ169" s="582">
        <v>0</v>
      </c>
      <c r="AK169" s="581">
        <f t="shared" si="14"/>
        <v>0</v>
      </c>
      <c r="AL169" s="750"/>
      <c r="AM169" s="743">
        <f t="shared" si="15"/>
        <v>0</v>
      </c>
    </row>
    <row r="170" spans="1:39" s="560" customFormat="1" ht="14.4" hidden="1" thickBot="1">
      <c r="A170" s="620" t="s">
        <v>48</v>
      </c>
      <c r="B170" s="621" t="s">
        <v>1222</v>
      </c>
      <c r="C170" s="628"/>
      <c r="D170" s="580"/>
      <c r="E170" s="581"/>
      <c r="F170" s="581"/>
      <c r="G170" s="778"/>
      <c r="H170" s="581"/>
      <c r="I170" s="582"/>
      <c r="J170" s="582"/>
      <c r="K170" s="582"/>
      <c r="L170" s="575"/>
      <c r="M170" s="575"/>
      <c r="N170" s="809"/>
      <c r="O170" s="575"/>
      <c r="P170" s="575"/>
      <c r="Q170" s="575"/>
      <c r="R170" s="575"/>
      <c r="S170" s="575"/>
      <c r="T170" s="575"/>
      <c r="U170" s="809"/>
      <c r="V170" s="575"/>
      <c r="W170" s="575"/>
      <c r="X170" s="575"/>
      <c r="Y170" s="575"/>
      <c r="Z170" s="575"/>
      <c r="AA170" s="575"/>
      <c r="AB170" s="809"/>
      <c r="AC170" s="575"/>
      <c r="AD170" s="575"/>
      <c r="AE170" s="575"/>
      <c r="AF170" s="817"/>
      <c r="AG170" s="575"/>
      <c r="AH170" s="575"/>
      <c r="AI170" s="738">
        <f t="shared" si="13"/>
        <v>0</v>
      </c>
      <c r="AJ170" s="582">
        <v>0</v>
      </c>
      <c r="AK170" s="581">
        <f t="shared" si="14"/>
        <v>0</v>
      </c>
      <c r="AL170" s="750"/>
      <c r="AM170" s="743">
        <f t="shared" si="15"/>
        <v>0</v>
      </c>
    </row>
    <row r="171" spans="1:39" s="560" customFormat="1" ht="14.4" hidden="1" thickBot="1">
      <c r="A171" s="620" t="s">
        <v>787</v>
      </c>
      <c r="B171" s="621" t="s">
        <v>1223</v>
      </c>
      <c r="C171" s="628" t="s">
        <v>36</v>
      </c>
      <c r="D171" s="580"/>
      <c r="E171" s="581"/>
      <c r="F171" s="581"/>
      <c r="G171" s="778"/>
      <c r="H171" s="581"/>
      <c r="I171" s="582"/>
      <c r="J171" s="582"/>
      <c r="K171" s="582"/>
      <c r="L171" s="575"/>
      <c r="M171" s="575"/>
      <c r="N171" s="809"/>
      <c r="O171" s="575"/>
      <c r="P171" s="575"/>
      <c r="Q171" s="575"/>
      <c r="R171" s="575"/>
      <c r="S171" s="575"/>
      <c r="T171" s="575"/>
      <c r="U171" s="809"/>
      <c r="V171" s="575"/>
      <c r="W171" s="575"/>
      <c r="X171" s="575"/>
      <c r="Y171" s="575"/>
      <c r="Z171" s="575"/>
      <c r="AA171" s="575"/>
      <c r="AB171" s="809"/>
      <c r="AC171" s="575"/>
      <c r="AD171" s="575"/>
      <c r="AE171" s="575"/>
      <c r="AF171" s="817"/>
      <c r="AG171" s="575"/>
      <c r="AH171" s="575"/>
      <c r="AI171" s="738">
        <f t="shared" si="13"/>
        <v>0</v>
      </c>
      <c r="AJ171" s="582">
        <v>0</v>
      </c>
      <c r="AK171" s="581">
        <f t="shared" si="14"/>
        <v>0</v>
      </c>
      <c r="AL171" s="750" t="s">
        <v>1605</v>
      </c>
      <c r="AM171" s="743">
        <f t="shared" si="15"/>
        <v>72.27</v>
      </c>
    </row>
    <row r="172" spans="1:39" s="560" customFormat="1" ht="14.4" hidden="1" thickBot="1">
      <c r="A172" s="620" t="s">
        <v>788</v>
      </c>
      <c r="B172" s="621" t="s">
        <v>1224</v>
      </c>
      <c r="C172" s="628" t="s">
        <v>36</v>
      </c>
      <c r="D172" s="580"/>
      <c r="E172" s="581"/>
      <c r="F172" s="581"/>
      <c r="G172" s="778"/>
      <c r="H172" s="581"/>
      <c r="I172" s="582"/>
      <c r="J172" s="582"/>
      <c r="K172" s="582"/>
      <c r="L172" s="575"/>
      <c r="M172" s="575"/>
      <c r="N172" s="809"/>
      <c r="O172" s="575"/>
      <c r="P172" s="575"/>
      <c r="Q172" s="575"/>
      <c r="R172" s="575"/>
      <c r="S172" s="575"/>
      <c r="T172" s="575"/>
      <c r="U172" s="809"/>
      <c r="V172" s="575"/>
      <c r="W172" s="575"/>
      <c r="X172" s="575"/>
      <c r="Y172" s="575"/>
      <c r="Z172" s="575"/>
      <c r="AA172" s="575"/>
      <c r="AB172" s="809"/>
      <c r="AC172" s="575"/>
      <c r="AD172" s="575"/>
      <c r="AE172" s="575"/>
      <c r="AF172" s="817"/>
      <c r="AG172" s="575"/>
      <c r="AH172" s="575"/>
      <c r="AI172" s="738">
        <f t="shared" si="13"/>
        <v>0</v>
      </c>
      <c r="AJ172" s="582">
        <v>0</v>
      </c>
      <c r="AK172" s="581">
        <f t="shared" si="14"/>
        <v>0</v>
      </c>
      <c r="AL172" s="750" t="s">
        <v>1606</v>
      </c>
      <c r="AM172" s="743">
        <f t="shared" si="15"/>
        <v>15.22</v>
      </c>
    </row>
    <row r="173" spans="1:39" s="560" customFormat="1" ht="14.4" hidden="1" thickBot="1">
      <c r="A173" s="620" t="s">
        <v>49</v>
      </c>
      <c r="B173" s="621" t="s">
        <v>1225</v>
      </c>
      <c r="C173" s="628"/>
      <c r="D173" s="580"/>
      <c r="E173" s="581"/>
      <c r="F173" s="581"/>
      <c r="G173" s="778"/>
      <c r="H173" s="581"/>
      <c r="I173" s="582"/>
      <c r="J173" s="582"/>
      <c r="K173" s="582"/>
      <c r="L173" s="575"/>
      <c r="M173" s="575"/>
      <c r="N173" s="809"/>
      <c r="O173" s="575"/>
      <c r="P173" s="575"/>
      <c r="Q173" s="575"/>
      <c r="R173" s="575"/>
      <c r="S173" s="575"/>
      <c r="T173" s="575"/>
      <c r="U173" s="809"/>
      <c r="V173" s="575"/>
      <c r="W173" s="575"/>
      <c r="X173" s="575"/>
      <c r="Y173" s="575"/>
      <c r="Z173" s="575"/>
      <c r="AA173" s="575"/>
      <c r="AB173" s="809"/>
      <c r="AC173" s="575"/>
      <c r="AD173" s="575"/>
      <c r="AE173" s="575"/>
      <c r="AF173" s="817"/>
      <c r="AG173" s="575"/>
      <c r="AH173" s="575"/>
      <c r="AI173" s="738">
        <f t="shared" si="13"/>
        <v>0</v>
      </c>
      <c r="AJ173" s="582">
        <v>0</v>
      </c>
      <c r="AK173" s="581">
        <f t="shared" si="14"/>
        <v>0</v>
      </c>
      <c r="AL173" s="750"/>
      <c r="AM173" s="743">
        <f t="shared" si="15"/>
        <v>0</v>
      </c>
    </row>
    <row r="174" spans="1:39" s="560" customFormat="1" ht="14.4" hidden="1" thickBot="1">
      <c r="A174" s="620" t="s">
        <v>789</v>
      </c>
      <c r="B174" s="621" t="s">
        <v>1226</v>
      </c>
      <c r="C174" s="628" t="s">
        <v>36</v>
      </c>
      <c r="D174" s="580"/>
      <c r="E174" s="581"/>
      <c r="F174" s="581"/>
      <c r="G174" s="778"/>
      <c r="H174" s="581"/>
      <c r="I174" s="582"/>
      <c r="J174" s="582"/>
      <c r="K174" s="582"/>
      <c r="L174" s="575"/>
      <c r="M174" s="575"/>
      <c r="N174" s="809"/>
      <c r="O174" s="575"/>
      <c r="P174" s="575"/>
      <c r="Q174" s="575"/>
      <c r="R174" s="575"/>
      <c r="S174" s="575"/>
      <c r="T174" s="575"/>
      <c r="U174" s="809"/>
      <c r="V174" s="575"/>
      <c r="W174" s="575"/>
      <c r="X174" s="575"/>
      <c r="Y174" s="575"/>
      <c r="Z174" s="575"/>
      <c r="AA174" s="575"/>
      <c r="AB174" s="809"/>
      <c r="AC174" s="575"/>
      <c r="AD174" s="575"/>
      <c r="AE174" s="575"/>
      <c r="AF174" s="817"/>
      <c r="AG174" s="575"/>
      <c r="AH174" s="575"/>
      <c r="AI174" s="738">
        <f t="shared" si="13"/>
        <v>0</v>
      </c>
      <c r="AJ174" s="582">
        <v>0</v>
      </c>
      <c r="AK174" s="581">
        <f t="shared" si="14"/>
        <v>0</v>
      </c>
      <c r="AL174" s="750" t="s">
        <v>1607</v>
      </c>
      <c r="AM174" s="743">
        <f t="shared" si="15"/>
        <v>123.1</v>
      </c>
    </row>
    <row r="175" spans="1:39" s="560" customFormat="1" ht="14.4" hidden="1" thickBot="1">
      <c r="A175" s="620" t="s">
        <v>790</v>
      </c>
      <c r="B175" s="621" t="s">
        <v>1227</v>
      </c>
      <c r="C175" s="628" t="s">
        <v>36</v>
      </c>
      <c r="D175" s="580"/>
      <c r="E175" s="581"/>
      <c r="F175" s="581"/>
      <c r="G175" s="778"/>
      <c r="H175" s="581"/>
      <c r="I175" s="582"/>
      <c r="J175" s="582"/>
      <c r="K175" s="582"/>
      <c r="L175" s="575"/>
      <c r="M175" s="575"/>
      <c r="N175" s="809"/>
      <c r="O175" s="575"/>
      <c r="P175" s="575"/>
      <c r="Q175" s="575"/>
      <c r="R175" s="575"/>
      <c r="S175" s="575"/>
      <c r="T175" s="575"/>
      <c r="U175" s="809"/>
      <c r="V175" s="575"/>
      <c r="W175" s="575"/>
      <c r="X175" s="575"/>
      <c r="Y175" s="575"/>
      <c r="Z175" s="575"/>
      <c r="AA175" s="575"/>
      <c r="AB175" s="809"/>
      <c r="AC175" s="575"/>
      <c r="AD175" s="575"/>
      <c r="AE175" s="575"/>
      <c r="AF175" s="817"/>
      <c r="AG175" s="575"/>
      <c r="AH175" s="575"/>
      <c r="AI175" s="738">
        <f t="shared" si="13"/>
        <v>0</v>
      </c>
      <c r="AJ175" s="582">
        <v>0</v>
      </c>
      <c r="AK175" s="581">
        <f t="shared" si="14"/>
        <v>0</v>
      </c>
      <c r="AL175" s="750" t="s">
        <v>1608</v>
      </c>
      <c r="AM175" s="743">
        <f t="shared" si="15"/>
        <v>54.38</v>
      </c>
    </row>
    <row r="176" spans="1:39" s="560" customFormat="1" ht="14.4" hidden="1" thickBot="1">
      <c r="A176" s="620" t="s">
        <v>791</v>
      </c>
      <c r="B176" s="621" t="s">
        <v>1228</v>
      </c>
      <c r="C176" s="628" t="s">
        <v>36</v>
      </c>
      <c r="D176" s="580"/>
      <c r="E176" s="581"/>
      <c r="F176" s="581"/>
      <c r="G176" s="778"/>
      <c r="H176" s="581"/>
      <c r="I176" s="582"/>
      <c r="J176" s="582"/>
      <c r="K176" s="582"/>
      <c r="L176" s="575"/>
      <c r="M176" s="575"/>
      <c r="N176" s="809"/>
      <c r="O176" s="575"/>
      <c r="P176" s="575"/>
      <c r="Q176" s="575"/>
      <c r="R176" s="575"/>
      <c r="S176" s="575"/>
      <c r="T176" s="575"/>
      <c r="U176" s="809"/>
      <c r="V176" s="575"/>
      <c r="W176" s="575"/>
      <c r="X176" s="575"/>
      <c r="Y176" s="575"/>
      <c r="Z176" s="575"/>
      <c r="AA176" s="575"/>
      <c r="AB176" s="809"/>
      <c r="AC176" s="575"/>
      <c r="AD176" s="575"/>
      <c r="AE176" s="575"/>
      <c r="AF176" s="817"/>
      <c r="AG176" s="575"/>
      <c r="AH176" s="575"/>
      <c r="AI176" s="738">
        <f t="shared" si="13"/>
        <v>0</v>
      </c>
      <c r="AJ176" s="582">
        <v>0</v>
      </c>
      <c r="AK176" s="581">
        <f t="shared" si="14"/>
        <v>0</v>
      </c>
      <c r="AL176" s="750" t="s">
        <v>1609</v>
      </c>
      <c r="AM176" s="743">
        <f t="shared" si="15"/>
        <v>34.44</v>
      </c>
    </row>
    <row r="177" spans="1:39" s="560" customFormat="1" ht="14.4" hidden="1" thickBot="1">
      <c r="A177" s="620" t="s">
        <v>792</v>
      </c>
      <c r="B177" s="621" t="s">
        <v>1229</v>
      </c>
      <c r="C177" s="628" t="s">
        <v>36</v>
      </c>
      <c r="D177" s="580"/>
      <c r="E177" s="581"/>
      <c r="F177" s="581"/>
      <c r="G177" s="778"/>
      <c r="H177" s="581"/>
      <c r="I177" s="582"/>
      <c r="J177" s="582"/>
      <c r="K177" s="582"/>
      <c r="L177" s="575"/>
      <c r="M177" s="575"/>
      <c r="N177" s="809"/>
      <c r="O177" s="575"/>
      <c r="P177" s="575"/>
      <c r="Q177" s="575"/>
      <c r="R177" s="575"/>
      <c r="S177" s="575"/>
      <c r="T177" s="575"/>
      <c r="U177" s="809"/>
      <c r="V177" s="575"/>
      <c r="W177" s="575"/>
      <c r="X177" s="575"/>
      <c r="Y177" s="575"/>
      <c r="Z177" s="575"/>
      <c r="AA177" s="575"/>
      <c r="AB177" s="809"/>
      <c r="AC177" s="575"/>
      <c r="AD177" s="575"/>
      <c r="AE177" s="575"/>
      <c r="AF177" s="817"/>
      <c r="AG177" s="575"/>
      <c r="AH177" s="575"/>
      <c r="AI177" s="738">
        <f t="shared" si="13"/>
        <v>0</v>
      </c>
      <c r="AJ177" s="582">
        <v>0</v>
      </c>
      <c r="AK177" s="581">
        <f t="shared" si="14"/>
        <v>0</v>
      </c>
      <c r="AL177" s="750" t="s">
        <v>1610</v>
      </c>
      <c r="AM177" s="743">
        <f t="shared" si="15"/>
        <v>30.39</v>
      </c>
    </row>
    <row r="178" spans="1:39" s="560" customFormat="1" ht="14.4" hidden="1" thickBot="1">
      <c r="A178" s="620" t="s">
        <v>793</v>
      </c>
      <c r="B178" s="621" t="s">
        <v>1230</v>
      </c>
      <c r="C178" s="628" t="s">
        <v>36</v>
      </c>
      <c r="D178" s="580"/>
      <c r="E178" s="581"/>
      <c r="F178" s="581"/>
      <c r="G178" s="778"/>
      <c r="H178" s="581"/>
      <c r="I178" s="582"/>
      <c r="J178" s="582"/>
      <c r="K178" s="582"/>
      <c r="L178" s="575"/>
      <c r="M178" s="575"/>
      <c r="N178" s="809"/>
      <c r="O178" s="575"/>
      <c r="P178" s="575"/>
      <c r="Q178" s="575"/>
      <c r="R178" s="575"/>
      <c r="S178" s="575"/>
      <c r="T178" s="575"/>
      <c r="U178" s="809"/>
      <c r="V178" s="575"/>
      <c r="W178" s="575"/>
      <c r="X178" s="575"/>
      <c r="Y178" s="575"/>
      <c r="Z178" s="575"/>
      <c r="AA178" s="575"/>
      <c r="AB178" s="809"/>
      <c r="AC178" s="575"/>
      <c r="AD178" s="575"/>
      <c r="AE178" s="575"/>
      <c r="AF178" s="817"/>
      <c r="AG178" s="575"/>
      <c r="AH178" s="575"/>
      <c r="AI178" s="738">
        <f t="shared" si="13"/>
        <v>0</v>
      </c>
      <c r="AJ178" s="582">
        <v>0</v>
      </c>
      <c r="AK178" s="581">
        <f t="shared" si="14"/>
        <v>0</v>
      </c>
      <c r="AL178" s="750" t="s">
        <v>1611</v>
      </c>
      <c r="AM178" s="743">
        <f t="shared" si="15"/>
        <v>39.17</v>
      </c>
    </row>
    <row r="179" spans="1:39" s="560" customFormat="1" ht="14.4" hidden="1" thickBot="1">
      <c r="A179" s="620" t="s">
        <v>794</v>
      </c>
      <c r="B179" s="621" t="s">
        <v>1231</v>
      </c>
      <c r="C179" s="628" t="s">
        <v>37</v>
      </c>
      <c r="D179" s="580"/>
      <c r="E179" s="581"/>
      <c r="F179" s="581"/>
      <c r="G179" s="778"/>
      <c r="H179" s="581"/>
      <c r="I179" s="582"/>
      <c r="J179" s="582"/>
      <c r="K179" s="582"/>
      <c r="L179" s="575"/>
      <c r="M179" s="575"/>
      <c r="N179" s="809"/>
      <c r="O179" s="575"/>
      <c r="P179" s="575"/>
      <c r="Q179" s="575"/>
      <c r="R179" s="575"/>
      <c r="S179" s="575"/>
      <c r="T179" s="575"/>
      <c r="U179" s="809"/>
      <c r="V179" s="575"/>
      <c r="W179" s="575"/>
      <c r="X179" s="575"/>
      <c r="Y179" s="575"/>
      <c r="Z179" s="575"/>
      <c r="AA179" s="575"/>
      <c r="AB179" s="809"/>
      <c r="AC179" s="575"/>
      <c r="AD179" s="575"/>
      <c r="AE179" s="575"/>
      <c r="AF179" s="817"/>
      <c r="AG179" s="575"/>
      <c r="AH179" s="575"/>
      <c r="AI179" s="738">
        <f t="shared" ref="AI179:AI242" si="16">ROUND((SUM(D179:L179)),2)</f>
        <v>0</v>
      </c>
      <c r="AJ179" s="582">
        <v>0</v>
      </c>
      <c r="AK179" s="581">
        <f t="shared" si="14"/>
        <v>0</v>
      </c>
      <c r="AL179" s="750" t="s">
        <v>1612</v>
      </c>
      <c r="AM179" s="743">
        <f t="shared" si="15"/>
        <v>68.38</v>
      </c>
    </row>
    <row r="180" spans="1:39" s="560" customFormat="1" ht="14.4" hidden="1" thickBot="1">
      <c r="A180" s="620" t="s">
        <v>795</v>
      </c>
      <c r="B180" s="621" t="s">
        <v>1232</v>
      </c>
      <c r="C180" s="628" t="s">
        <v>37</v>
      </c>
      <c r="D180" s="580"/>
      <c r="E180" s="581"/>
      <c r="F180" s="581"/>
      <c r="G180" s="778"/>
      <c r="H180" s="581"/>
      <c r="I180" s="582"/>
      <c r="J180" s="582"/>
      <c r="K180" s="582"/>
      <c r="L180" s="575"/>
      <c r="M180" s="575"/>
      <c r="N180" s="809"/>
      <c r="O180" s="575"/>
      <c r="P180" s="575"/>
      <c r="Q180" s="575"/>
      <c r="R180" s="575"/>
      <c r="S180" s="575"/>
      <c r="T180" s="575"/>
      <c r="U180" s="809"/>
      <c r="V180" s="575"/>
      <c r="W180" s="575"/>
      <c r="X180" s="575"/>
      <c r="Y180" s="575"/>
      <c r="Z180" s="575"/>
      <c r="AA180" s="575"/>
      <c r="AB180" s="809"/>
      <c r="AC180" s="575"/>
      <c r="AD180" s="575"/>
      <c r="AE180" s="575"/>
      <c r="AF180" s="817"/>
      <c r="AG180" s="575"/>
      <c r="AH180" s="575"/>
      <c r="AI180" s="738">
        <f t="shared" si="16"/>
        <v>0</v>
      </c>
      <c r="AJ180" s="582">
        <v>0</v>
      </c>
      <c r="AK180" s="581">
        <f t="shared" si="14"/>
        <v>0</v>
      </c>
      <c r="AL180" s="750" t="s">
        <v>1613</v>
      </c>
      <c r="AM180" s="743">
        <f t="shared" si="15"/>
        <v>228.32</v>
      </c>
    </row>
    <row r="181" spans="1:39" s="560" customFormat="1" ht="14.4" hidden="1" thickBot="1">
      <c r="A181" s="620" t="s">
        <v>50</v>
      </c>
      <c r="B181" s="621" t="s">
        <v>1233</v>
      </c>
      <c r="C181" s="628"/>
      <c r="D181" s="580"/>
      <c r="E181" s="581"/>
      <c r="F181" s="581"/>
      <c r="G181" s="778"/>
      <c r="H181" s="581"/>
      <c r="I181" s="582"/>
      <c r="J181" s="582"/>
      <c r="K181" s="582"/>
      <c r="L181" s="575"/>
      <c r="M181" s="575"/>
      <c r="N181" s="809"/>
      <c r="O181" s="575"/>
      <c r="P181" s="575"/>
      <c r="Q181" s="575"/>
      <c r="R181" s="575"/>
      <c r="S181" s="575"/>
      <c r="T181" s="575"/>
      <c r="U181" s="809"/>
      <c r="V181" s="575"/>
      <c r="W181" s="575"/>
      <c r="X181" s="575"/>
      <c r="Y181" s="575"/>
      <c r="Z181" s="575"/>
      <c r="AA181" s="575"/>
      <c r="AB181" s="809"/>
      <c r="AC181" s="575"/>
      <c r="AD181" s="575"/>
      <c r="AE181" s="575"/>
      <c r="AF181" s="817"/>
      <c r="AG181" s="575"/>
      <c r="AH181" s="575"/>
      <c r="AI181" s="738">
        <f t="shared" si="16"/>
        <v>0</v>
      </c>
      <c r="AJ181" s="582">
        <v>0</v>
      </c>
      <c r="AK181" s="581">
        <f t="shared" si="14"/>
        <v>0</v>
      </c>
      <c r="AL181" s="750"/>
      <c r="AM181" s="743">
        <f t="shared" si="15"/>
        <v>0</v>
      </c>
    </row>
    <row r="182" spans="1:39" s="560" customFormat="1" ht="14.4" hidden="1" thickBot="1">
      <c r="A182" s="620" t="s">
        <v>796</v>
      </c>
      <c r="B182" s="621" t="s">
        <v>1234</v>
      </c>
      <c r="C182" s="628" t="s">
        <v>36</v>
      </c>
      <c r="D182" s="580"/>
      <c r="E182" s="581"/>
      <c r="F182" s="581"/>
      <c r="G182" s="778"/>
      <c r="H182" s="581"/>
      <c r="I182" s="582"/>
      <c r="J182" s="582"/>
      <c r="K182" s="582"/>
      <c r="L182" s="575"/>
      <c r="M182" s="575"/>
      <c r="N182" s="809"/>
      <c r="O182" s="575"/>
      <c r="P182" s="575"/>
      <c r="Q182" s="575"/>
      <c r="R182" s="575"/>
      <c r="S182" s="575"/>
      <c r="T182" s="575"/>
      <c r="U182" s="809"/>
      <c r="V182" s="575"/>
      <c r="W182" s="575"/>
      <c r="X182" s="575"/>
      <c r="Y182" s="575"/>
      <c r="Z182" s="575"/>
      <c r="AA182" s="575"/>
      <c r="AB182" s="809"/>
      <c r="AC182" s="575"/>
      <c r="AD182" s="575"/>
      <c r="AE182" s="575"/>
      <c r="AF182" s="817"/>
      <c r="AG182" s="575"/>
      <c r="AH182" s="575"/>
      <c r="AI182" s="738">
        <f t="shared" si="16"/>
        <v>0</v>
      </c>
      <c r="AJ182" s="582">
        <v>0</v>
      </c>
      <c r="AK182" s="581">
        <f t="shared" si="14"/>
        <v>0</v>
      </c>
      <c r="AL182" s="750" t="s">
        <v>1614</v>
      </c>
      <c r="AM182" s="743">
        <f t="shared" si="15"/>
        <v>90.62</v>
      </c>
    </row>
    <row r="183" spans="1:39" s="560" customFormat="1" ht="14.4" hidden="1" thickBot="1">
      <c r="A183" s="620" t="s">
        <v>276</v>
      </c>
      <c r="B183" s="621" t="s">
        <v>1235</v>
      </c>
      <c r="C183" s="628"/>
      <c r="D183" s="580"/>
      <c r="E183" s="581"/>
      <c r="F183" s="581"/>
      <c r="G183" s="778"/>
      <c r="H183" s="581"/>
      <c r="I183" s="582"/>
      <c r="J183" s="582"/>
      <c r="K183" s="582"/>
      <c r="L183" s="575"/>
      <c r="M183" s="575"/>
      <c r="N183" s="809"/>
      <c r="O183" s="575"/>
      <c r="P183" s="575"/>
      <c r="Q183" s="575"/>
      <c r="R183" s="575"/>
      <c r="S183" s="575"/>
      <c r="T183" s="575"/>
      <c r="U183" s="809"/>
      <c r="V183" s="575"/>
      <c r="W183" s="575"/>
      <c r="X183" s="575"/>
      <c r="Y183" s="575"/>
      <c r="Z183" s="575"/>
      <c r="AA183" s="575"/>
      <c r="AB183" s="809"/>
      <c r="AC183" s="575"/>
      <c r="AD183" s="575"/>
      <c r="AE183" s="575"/>
      <c r="AF183" s="817"/>
      <c r="AG183" s="575"/>
      <c r="AH183" s="575"/>
      <c r="AI183" s="738">
        <f t="shared" si="16"/>
        <v>0</v>
      </c>
      <c r="AJ183" s="582">
        <v>0</v>
      </c>
      <c r="AK183" s="581">
        <f t="shared" si="14"/>
        <v>0</v>
      </c>
      <c r="AL183" s="750"/>
      <c r="AM183" s="743">
        <f t="shared" si="15"/>
        <v>0</v>
      </c>
    </row>
    <row r="184" spans="1:39" s="560" customFormat="1" ht="14.4" hidden="1" thickBot="1">
      <c r="A184" s="620" t="s">
        <v>797</v>
      </c>
      <c r="B184" s="621" t="s">
        <v>1236</v>
      </c>
      <c r="C184" s="628" t="s">
        <v>36</v>
      </c>
      <c r="D184" s="580"/>
      <c r="E184" s="581"/>
      <c r="F184" s="581"/>
      <c r="G184" s="778"/>
      <c r="H184" s="581"/>
      <c r="I184" s="582"/>
      <c r="J184" s="582"/>
      <c r="K184" s="582"/>
      <c r="L184" s="575"/>
      <c r="M184" s="575"/>
      <c r="N184" s="809"/>
      <c r="O184" s="575"/>
      <c r="P184" s="575"/>
      <c r="Q184" s="575"/>
      <c r="R184" s="575"/>
      <c r="S184" s="575"/>
      <c r="T184" s="575"/>
      <c r="U184" s="809"/>
      <c r="V184" s="575"/>
      <c r="W184" s="575"/>
      <c r="X184" s="575"/>
      <c r="Y184" s="575"/>
      <c r="Z184" s="575"/>
      <c r="AA184" s="575"/>
      <c r="AB184" s="809"/>
      <c r="AC184" s="575"/>
      <c r="AD184" s="575"/>
      <c r="AE184" s="575"/>
      <c r="AF184" s="817"/>
      <c r="AG184" s="575"/>
      <c r="AH184" s="575"/>
      <c r="AI184" s="738">
        <f t="shared" si="16"/>
        <v>0</v>
      </c>
      <c r="AJ184" s="582">
        <v>0</v>
      </c>
      <c r="AK184" s="581">
        <f t="shared" si="14"/>
        <v>0</v>
      </c>
      <c r="AL184" s="750" t="s">
        <v>1615</v>
      </c>
      <c r="AM184" s="743">
        <f t="shared" si="15"/>
        <v>72.22</v>
      </c>
    </row>
    <row r="185" spans="1:39" s="560" customFormat="1" ht="14.4" hidden="1" thickBot="1">
      <c r="A185" s="620" t="s">
        <v>798</v>
      </c>
      <c r="B185" s="621" t="s">
        <v>1237</v>
      </c>
      <c r="C185" s="628" t="s">
        <v>36</v>
      </c>
      <c r="D185" s="580"/>
      <c r="E185" s="581"/>
      <c r="F185" s="581"/>
      <c r="G185" s="778"/>
      <c r="H185" s="581"/>
      <c r="I185" s="582"/>
      <c r="J185" s="582"/>
      <c r="K185" s="582"/>
      <c r="L185" s="575"/>
      <c r="M185" s="575"/>
      <c r="N185" s="809"/>
      <c r="O185" s="575"/>
      <c r="P185" s="575"/>
      <c r="Q185" s="575"/>
      <c r="R185" s="575"/>
      <c r="S185" s="575"/>
      <c r="T185" s="575"/>
      <c r="U185" s="809"/>
      <c r="V185" s="575"/>
      <c r="W185" s="575"/>
      <c r="X185" s="575"/>
      <c r="Y185" s="575"/>
      <c r="Z185" s="575"/>
      <c r="AA185" s="575"/>
      <c r="AB185" s="809"/>
      <c r="AC185" s="575"/>
      <c r="AD185" s="575"/>
      <c r="AE185" s="575"/>
      <c r="AF185" s="817"/>
      <c r="AG185" s="575"/>
      <c r="AH185" s="575"/>
      <c r="AI185" s="738">
        <f t="shared" si="16"/>
        <v>0</v>
      </c>
      <c r="AJ185" s="582">
        <v>0</v>
      </c>
      <c r="AK185" s="581">
        <f t="shared" si="14"/>
        <v>0</v>
      </c>
      <c r="AL185" s="750" t="s">
        <v>1616</v>
      </c>
      <c r="AM185" s="743">
        <f t="shared" si="15"/>
        <v>56.44</v>
      </c>
    </row>
    <row r="186" spans="1:39" s="560" customFormat="1" ht="14.4" hidden="1" thickBot="1">
      <c r="A186" s="620" t="s">
        <v>799</v>
      </c>
      <c r="B186" s="621" t="s">
        <v>1238</v>
      </c>
      <c r="C186" s="628" t="s">
        <v>36</v>
      </c>
      <c r="D186" s="580"/>
      <c r="E186" s="581"/>
      <c r="F186" s="581"/>
      <c r="G186" s="778"/>
      <c r="H186" s="581"/>
      <c r="I186" s="582"/>
      <c r="J186" s="582"/>
      <c r="K186" s="582"/>
      <c r="L186" s="575"/>
      <c r="M186" s="575"/>
      <c r="N186" s="809"/>
      <c r="O186" s="575"/>
      <c r="P186" s="575"/>
      <c r="Q186" s="575"/>
      <c r="R186" s="575"/>
      <c r="S186" s="575"/>
      <c r="T186" s="575"/>
      <c r="U186" s="809"/>
      <c r="V186" s="575"/>
      <c r="W186" s="575"/>
      <c r="X186" s="575"/>
      <c r="Y186" s="575"/>
      <c r="Z186" s="575"/>
      <c r="AA186" s="575"/>
      <c r="AB186" s="809"/>
      <c r="AC186" s="575"/>
      <c r="AD186" s="575"/>
      <c r="AE186" s="575"/>
      <c r="AF186" s="817"/>
      <c r="AG186" s="575"/>
      <c r="AH186" s="575"/>
      <c r="AI186" s="738">
        <f t="shared" si="16"/>
        <v>0</v>
      </c>
      <c r="AJ186" s="582">
        <v>0</v>
      </c>
      <c r="AK186" s="581">
        <f t="shared" si="14"/>
        <v>0</v>
      </c>
      <c r="AL186" s="750" t="s">
        <v>1617</v>
      </c>
      <c r="AM186" s="743">
        <f t="shared" si="15"/>
        <v>15.78</v>
      </c>
    </row>
    <row r="187" spans="1:39" s="560" customFormat="1" ht="14.4" hidden="1" thickBot="1">
      <c r="A187" s="620" t="s">
        <v>278</v>
      </c>
      <c r="B187" s="621" t="s">
        <v>1239</v>
      </c>
      <c r="C187" s="628"/>
      <c r="D187" s="580"/>
      <c r="E187" s="581"/>
      <c r="F187" s="581"/>
      <c r="G187" s="778"/>
      <c r="H187" s="581"/>
      <c r="I187" s="582"/>
      <c r="J187" s="582"/>
      <c r="K187" s="582"/>
      <c r="L187" s="575"/>
      <c r="M187" s="575"/>
      <c r="N187" s="809"/>
      <c r="O187" s="575"/>
      <c r="P187" s="575"/>
      <c r="Q187" s="575"/>
      <c r="R187" s="575"/>
      <c r="S187" s="575"/>
      <c r="T187" s="575"/>
      <c r="U187" s="809"/>
      <c r="V187" s="575"/>
      <c r="W187" s="575"/>
      <c r="X187" s="575"/>
      <c r="Y187" s="575"/>
      <c r="Z187" s="575"/>
      <c r="AA187" s="575"/>
      <c r="AB187" s="809"/>
      <c r="AC187" s="575"/>
      <c r="AD187" s="575"/>
      <c r="AE187" s="575"/>
      <c r="AF187" s="817"/>
      <c r="AG187" s="575"/>
      <c r="AH187" s="575"/>
      <c r="AI187" s="738">
        <f t="shared" si="16"/>
        <v>0</v>
      </c>
      <c r="AJ187" s="582">
        <v>0</v>
      </c>
      <c r="AK187" s="581">
        <f t="shared" si="14"/>
        <v>0</v>
      </c>
      <c r="AL187" s="750"/>
      <c r="AM187" s="743">
        <f t="shared" si="15"/>
        <v>0</v>
      </c>
    </row>
    <row r="188" spans="1:39" s="560" customFormat="1" ht="14.4" hidden="1" thickBot="1">
      <c r="A188" s="620" t="s">
        <v>800</v>
      </c>
      <c r="B188" s="621" t="s">
        <v>1240</v>
      </c>
      <c r="C188" s="628" t="s">
        <v>37</v>
      </c>
      <c r="D188" s="580"/>
      <c r="E188" s="581"/>
      <c r="F188" s="581"/>
      <c r="G188" s="778"/>
      <c r="H188" s="581"/>
      <c r="I188" s="582"/>
      <c r="J188" s="582"/>
      <c r="K188" s="582"/>
      <c r="L188" s="575"/>
      <c r="M188" s="575"/>
      <c r="N188" s="809"/>
      <c r="O188" s="575"/>
      <c r="P188" s="575"/>
      <c r="Q188" s="575"/>
      <c r="R188" s="575"/>
      <c r="S188" s="575"/>
      <c r="T188" s="575"/>
      <c r="U188" s="809"/>
      <c r="V188" s="575"/>
      <c r="W188" s="575"/>
      <c r="X188" s="575"/>
      <c r="Y188" s="575"/>
      <c r="Z188" s="575"/>
      <c r="AA188" s="575"/>
      <c r="AB188" s="809"/>
      <c r="AC188" s="575"/>
      <c r="AD188" s="575"/>
      <c r="AE188" s="575"/>
      <c r="AF188" s="817"/>
      <c r="AG188" s="575"/>
      <c r="AH188" s="575"/>
      <c r="AI188" s="738">
        <f t="shared" si="16"/>
        <v>0</v>
      </c>
      <c r="AJ188" s="582">
        <v>0</v>
      </c>
      <c r="AK188" s="581">
        <f t="shared" si="14"/>
        <v>0</v>
      </c>
      <c r="AL188" s="750" t="s">
        <v>1618</v>
      </c>
      <c r="AM188" s="743">
        <f t="shared" si="15"/>
        <v>11.52</v>
      </c>
    </row>
    <row r="189" spans="1:39" s="560" customFormat="1" ht="14.4" hidden="1" thickBot="1">
      <c r="A189" s="620" t="s">
        <v>801</v>
      </c>
      <c r="B189" s="621" t="s">
        <v>1241</v>
      </c>
      <c r="C189" s="628" t="s">
        <v>36</v>
      </c>
      <c r="D189" s="580"/>
      <c r="E189" s="581"/>
      <c r="F189" s="581"/>
      <c r="G189" s="778"/>
      <c r="H189" s="581"/>
      <c r="I189" s="582"/>
      <c r="J189" s="582"/>
      <c r="K189" s="582"/>
      <c r="L189" s="575"/>
      <c r="M189" s="575"/>
      <c r="N189" s="809"/>
      <c r="O189" s="575"/>
      <c r="P189" s="575"/>
      <c r="Q189" s="575"/>
      <c r="R189" s="575"/>
      <c r="S189" s="575"/>
      <c r="T189" s="575"/>
      <c r="U189" s="809"/>
      <c r="V189" s="575"/>
      <c r="W189" s="575"/>
      <c r="X189" s="575"/>
      <c r="Y189" s="575"/>
      <c r="Z189" s="575"/>
      <c r="AA189" s="575"/>
      <c r="AB189" s="809"/>
      <c r="AC189" s="575"/>
      <c r="AD189" s="575"/>
      <c r="AE189" s="575"/>
      <c r="AF189" s="817"/>
      <c r="AG189" s="575"/>
      <c r="AH189" s="575"/>
      <c r="AI189" s="738">
        <f t="shared" si="16"/>
        <v>0</v>
      </c>
      <c r="AJ189" s="582">
        <v>0</v>
      </c>
      <c r="AK189" s="581">
        <f t="shared" si="14"/>
        <v>0</v>
      </c>
      <c r="AL189" s="750" t="s">
        <v>1619</v>
      </c>
      <c r="AM189" s="743">
        <f t="shared" si="15"/>
        <v>5.18</v>
      </c>
    </row>
    <row r="190" spans="1:39" s="560" customFormat="1" ht="14.4" hidden="1" thickBot="1">
      <c r="A190" s="620" t="s">
        <v>279</v>
      </c>
      <c r="B190" s="621" t="s">
        <v>1242</v>
      </c>
      <c r="C190" s="628"/>
      <c r="D190" s="580"/>
      <c r="E190" s="581"/>
      <c r="F190" s="581"/>
      <c r="G190" s="778"/>
      <c r="H190" s="581"/>
      <c r="I190" s="582"/>
      <c r="J190" s="582"/>
      <c r="K190" s="582"/>
      <c r="L190" s="575"/>
      <c r="M190" s="575"/>
      <c r="N190" s="809"/>
      <c r="O190" s="575"/>
      <c r="P190" s="575"/>
      <c r="Q190" s="575"/>
      <c r="R190" s="575"/>
      <c r="S190" s="575"/>
      <c r="T190" s="575"/>
      <c r="U190" s="809"/>
      <c r="V190" s="575"/>
      <c r="W190" s="575"/>
      <c r="X190" s="575"/>
      <c r="Y190" s="575"/>
      <c r="Z190" s="575"/>
      <c r="AA190" s="575"/>
      <c r="AB190" s="809"/>
      <c r="AC190" s="575"/>
      <c r="AD190" s="575"/>
      <c r="AE190" s="575"/>
      <c r="AF190" s="817"/>
      <c r="AG190" s="575"/>
      <c r="AH190" s="575"/>
      <c r="AI190" s="738">
        <f t="shared" si="16"/>
        <v>0</v>
      </c>
      <c r="AJ190" s="582">
        <v>0</v>
      </c>
      <c r="AK190" s="581">
        <f t="shared" si="14"/>
        <v>0</v>
      </c>
      <c r="AL190" s="750"/>
      <c r="AM190" s="743">
        <f t="shared" si="15"/>
        <v>0</v>
      </c>
    </row>
    <row r="191" spans="1:39" s="560" customFormat="1" ht="14.4" hidden="1" thickBot="1">
      <c r="A191" s="620" t="s">
        <v>802</v>
      </c>
      <c r="B191" s="621" t="s">
        <v>1243</v>
      </c>
      <c r="C191" s="628" t="s">
        <v>36</v>
      </c>
      <c r="D191" s="580"/>
      <c r="E191" s="581"/>
      <c r="F191" s="581"/>
      <c r="G191" s="778"/>
      <c r="H191" s="581"/>
      <c r="I191" s="582"/>
      <c r="J191" s="582"/>
      <c r="K191" s="582"/>
      <c r="L191" s="575"/>
      <c r="M191" s="575"/>
      <c r="N191" s="809"/>
      <c r="O191" s="575"/>
      <c r="P191" s="575"/>
      <c r="Q191" s="575"/>
      <c r="R191" s="575"/>
      <c r="S191" s="575"/>
      <c r="T191" s="575"/>
      <c r="U191" s="809"/>
      <c r="V191" s="575"/>
      <c r="W191" s="575"/>
      <c r="X191" s="575"/>
      <c r="Y191" s="575"/>
      <c r="Z191" s="575"/>
      <c r="AA191" s="575"/>
      <c r="AB191" s="809"/>
      <c r="AC191" s="575"/>
      <c r="AD191" s="575"/>
      <c r="AE191" s="575"/>
      <c r="AF191" s="817"/>
      <c r="AG191" s="575"/>
      <c r="AH191" s="575"/>
      <c r="AI191" s="738">
        <f t="shared" si="16"/>
        <v>0</v>
      </c>
      <c r="AJ191" s="582">
        <v>0</v>
      </c>
      <c r="AK191" s="581">
        <f t="shared" si="14"/>
        <v>0</v>
      </c>
      <c r="AL191" s="750" t="s">
        <v>1620</v>
      </c>
      <c r="AM191" s="743">
        <f t="shared" si="15"/>
        <v>73.5</v>
      </c>
    </row>
    <row r="192" spans="1:39" s="560" customFormat="1" ht="14.4" hidden="1" thickBot="1">
      <c r="A192" s="620" t="s">
        <v>280</v>
      </c>
      <c r="B192" s="621" t="s">
        <v>1244</v>
      </c>
      <c r="C192" s="628"/>
      <c r="D192" s="580"/>
      <c r="E192" s="581"/>
      <c r="F192" s="581"/>
      <c r="G192" s="778"/>
      <c r="H192" s="581"/>
      <c r="I192" s="582"/>
      <c r="J192" s="582"/>
      <c r="K192" s="582"/>
      <c r="L192" s="575"/>
      <c r="M192" s="575"/>
      <c r="N192" s="809"/>
      <c r="O192" s="575"/>
      <c r="P192" s="575"/>
      <c r="Q192" s="575"/>
      <c r="R192" s="575"/>
      <c r="S192" s="575"/>
      <c r="T192" s="575"/>
      <c r="U192" s="809"/>
      <c r="V192" s="575"/>
      <c r="W192" s="575"/>
      <c r="X192" s="575"/>
      <c r="Y192" s="575"/>
      <c r="Z192" s="575"/>
      <c r="AA192" s="575"/>
      <c r="AB192" s="809"/>
      <c r="AC192" s="575"/>
      <c r="AD192" s="575"/>
      <c r="AE192" s="575"/>
      <c r="AF192" s="817"/>
      <c r="AG192" s="575"/>
      <c r="AH192" s="575"/>
      <c r="AI192" s="738">
        <f t="shared" si="16"/>
        <v>0</v>
      </c>
      <c r="AJ192" s="582">
        <v>0</v>
      </c>
      <c r="AK192" s="581">
        <f t="shared" si="14"/>
        <v>0</v>
      </c>
      <c r="AL192" s="750"/>
      <c r="AM192" s="743">
        <f t="shared" si="15"/>
        <v>0</v>
      </c>
    </row>
    <row r="193" spans="1:39" s="560" customFormat="1" ht="14.4" hidden="1" thickBot="1">
      <c r="A193" s="620" t="s">
        <v>803</v>
      </c>
      <c r="B193" s="621" t="s">
        <v>1245</v>
      </c>
      <c r="C193" s="628" t="s">
        <v>36</v>
      </c>
      <c r="D193" s="580"/>
      <c r="E193" s="581"/>
      <c r="F193" s="581"/>
      <c r="G193" s="778"/>
      <c r="H193" s="581"/>
      <c r="I193" s="582"/>
      <c r="J193" s="582"/>
      <c r="K193" s="582"/>
      <c r="L193" s="575"/>
      <c r="M193" s="575"/>
      <c r="N193" s="809"/>
      <c r="O193" s="575"/>
      <c r="P193" s="575"/>
      <c r="Q193" s="575"/>
      <c r="R193" s="575"/>
      <c r="S193" s="575"/>
      <c r="T193" s="575"/>
      <c r="U193" s="809"/>
      <c r="V193" s="575"/>
      <c r="W193" s="575"/>
      <c r="X193" s="575"/>
      <c r="Y193" s="575"/>
      <c r="Z193" s="575"/>
      <c r="AA193" s="575"/>
      <c r="AB193" s="809"/>
      <c r="AC193" s="575"/>
      <c r="AD193" s="575"/>
      <c r="AE193" s="575"/>
      <c r="AF193" s="817"/>
      <c r="AG193" s="575"/>
      <c r="AH193" s="575"/>
      <c r="AI193" s="738">
        <f t="shared" si="16"/>
        <v>0</v>
      </c>
      <c r="AJ193" s="582">
        <v>0</v>
      </c>
      <c r="AK193" s="581">
        <f t="shared" si="14"/>
        <v>0</v>
      </c>
      <c r="AL193" s="750" t="s">
        <v>1621</v>
      </c>
      <c r="AM193" s="743">
        <f t="shared" si="15"/>
        <v>15.8</v>
      </c>
    </row>
    <row r="194" spans="1:39" s="560" customFormat="1" ht="14.4" hidden="1" thickBot="1">
      <c r="A194" s="620" t="s">
        <v>804</v>
      </c>
      <c r="B194" s="621" t="s">
        <v>1246</v>
      </c>
      <c r="C194" s="628" t="s">
        <v>37</v>
      </c>
      <c r="D194" s="580"/>
      <c r="E194" s="581"/>
      <c r="F194" s="581"/>
      <c r="G194" s="778"/>
      <c r="H194" s="581"/>
      <c r="I194" s="582"/>
      <c r="J194" s="582"/>
      <c r="K194" s="582"/>
      <c r="L194" s="575"/>
      <c r="M194" s="575"/>
      <c r="N194" s="809"/>
      <c r="O194" s="575"/>
      <c r="P194" s="575"/>
      <c r="Q194" s="575"/>
      <c r="R194" s="575"/>
      <c r="S194" s="575"/>
      <c r="T194" s="575"/>
      <c r="U194" s="809"/>
      <c r="V194" s="575"/>
      <c r="W194" s="575"/>
      <c r="X194" s="575"/>
      <c r="Y194" s="575"/>
      <c r="Z194" s="575"/>
      <c r="AA194" s="575"/>
      <c r="AB194" s="809"/>
      <c r="AC194" s="575"/>
      <c r="AD194" s="575"/>
      <c r="AE194" s="575"/>
      <c r="AF194" s="817"/>
      <c r="AG194" s="575"/>
      <c r="AH194" s="575"/>
      <c r="AI194" s="738">
        <f t="shared" si="16"/>
        <v>0</v>
      </c>
      <c r="AJ194" s="582">
        <v>0</v>
      </c>
      <c r="AK194" s="581">
        <f t="shared" si="14"/>
        <v>0</v>
      </c>
      <c r="AL194" s="750" t="s">
        <v>1622</v>
      </c>
      <c r="AM194" s="743">
        <f t="shared" si="15"/>
        <v>27.62</v>
      </c>
    </row>
    <row r="195" spans="1:39" s="560" customFormat="1" ht="14.4" hidden="1" thickBot="1">
      <c r="A195" s="620" t="s">
        <v>805</v>
      </c>
      <c r="B195" s="621" t="s">
        <v>1247</v>
      </c>
      <c r="C195" s="628" t="s">
        <v>37</v>
      </c>
      <c r="D195" s="580"/>
      <c r="E195" s="581"/>
      <c r="F195" s="581"/>
      <c r="G195" s="778"/>
      <c r="H195" s="581"/>
      <c r="I195" s="582"/>
      <c r="J195" s="582"/>
      <c r="K195" s="582"/>
      <c r="L195" s="575"/>
      <c r="M195" s="575"/>
      <c r="N195" s="809"/>
      <c r="O195" s="575"/>
      <c r="P195" s="575"/>
      <c r="Q195" s="575"/>
      <c r="R195" s="575"/>
      <c r="S195" s="575"/>
      <c r="T195" s="575"/>
      <c r="U195" s="809"/>
      <c r="V195" s="575"/>
      <c r="W195" s="575"/>
      <c r="X195" s="575"/>
      <c r="Y195" s="575"/>
      <c r="Z195" s="575"/>
      <c r="AA195" s="575"/>
      <c r="AB195" s="809"/>
      <c r="AC195" s="575"/>
      <c r="AD195" s="575"/>
      <c r="AE195" s="575"/>
      <c r="AF195" s="817"/>
      <c r="AG195" s="575"/>
      <c r="AH195" s="575"/>
      <c r="AI195" s="738">
        <f t="shared" si="16"/>
        <v>0</v>
      </c>
      <c r="AJ195" s="582">
        <v>0</v>
      </c>
      <c r="AK195" s="581">
        <f t="shared" si="14"/>
        <v>0</v>
      </c>
      <c r="AL195" s="750" t="s">
        <v>1623</v>
      </c>
      <c r="AM195" s="743">
        <f t="shared" si="15"/>
        <v>30.2</v>
      </c>
    </row>
    <row r="196" spans="1:39" s="560" customFormat="1" ht="14.4" hidden="1" thickBot="1">
      <c r="A196" s="620" t="s">
        <v>281</v>
      </c>
      <c r="B196" s="621" t="s">
        <v>1184</v>
      </c>
      <c r="C196" s="628"/>
      <c r="D196" s="580"/>
      <c r="E196" s="581"/>
      <c r="F196" s="581"/>
      <c r="G196" s="778"/>
      <c r="H196" s="581"/>
      <c r="I196" s="582"/>
      <c r="J196" s="582"/>
      <c r="K196" s="582"/>
      <c r="L196" s="575"/>
      <c r="M196" s="575"/>
      <c r="N196" s="809"/>
      <c r="O196" s="575"/>
      <c r="P196" s="575"/>
      <c r="Q196" s="575"/>
      <c r="R196" s="575"/>
      <c r="S196" s="575"/>
      <c r="T196" s="575"/>
      <c r="U196" s="809"/>
      <c r="V196" s="575"/>
      <c r="W196" s="575"/>
      <c r="X196" s="575"/>
      <c r="Y196" s="575"/>
      <c r="Z196" s="575"/>
      <c r="AA196" s="575"/>
      <c r="AB196" s="809"/>
      <c r="AC196" s="575"/>
      <c r="AD196" s="575"/>
      <c r="AE196" s="575"/>
      <c r="AF196" s="817"/>
      <c r="AG196" s="575"/>
      <c r="AH196" s="575"/>
      <c r="AI196" s="738">
        <f t="shared" si="16"/>
        <v>0</v>
      </c>
      <c r="AJ196" s="582">
        <v>0</v>
      </c>
      <c r="AK196" s="581">
        <f t="shared" si="14"/>
        <v>0</v>
      </c>
      <c r="AL196" s="750"/>
      <c r="AM196" s="743">
        <f t="shared" si="15"/>
        <v>0</v>
      </c>
    </row>
    <row r="197" spans="1:39" s="560" customFormat="1" ht="14.4" hidden="1" thickBot="1">
      <c r="A197" s="620" t="s">
        <v>806</v>
      </c>
      <c r="B197" s="621" t="s">
        <v>1248</v>
      </c>
      <c r="C197" s="628" t="s">
        <v>36</v>
      </c>
      <c r="D197" s="580"/>
      <c r="E197" s="581"/>
      <c r="F197" s="581"/>
      <c r="G197" s="778"/>
      <c r="H197" s="581"/>
      <c r="I197" s="582"/>
      <c r="J197" s="582"/>
      <c r="K197" s="582"/>
      <c r="L197" s="575"/>
      <c r="M197" s="575"/>
      <c r="N197" s="809"/>
      <c r="O197" s="575"/>
      <c r="P197" s="575"/>
      <c r="Q197" s="575"/>
      <c r="R197" s="575"/>
      <c r="S197" s="575"/>
      <c r="T197" s="575"/>
      <c r="U197" s="809"/>
      <c r="V197" s="575"/>
      <c r="W197" s="575"/>
      <c r="X197" s="575"/>
      <c r="Y197" s="575"/>
      <c r="Z197" s="575"/>
      <c r="AA197" s="575"/>
      <c r="AB197" s="809"/>
      <c r="AC197" s="575"/>
      <c r="AD197" s="575"/>
      <c r="AE197" s="575"/>
      <c r="AF197" s="817"/>
      <c r="AG197" s="575"/>
      <c r="AH197" s="575"/>
      <c r="AI197" s="738">
        <f t="shared" si="16"/>
        <v>0</v>
      </c>
      <c r="AJ197" s="582">
        <v>0</v>
      </c>
      <c r="AK197" s="581">
        <f t="shared" si="14"/>
        <v>0</v>
      </c>
      <c r="AL197" s="750" t="s">
        <v>1624</v>
      </c>
      <c r="AM197" s="743">
        <f t="shared" si="15"/>
        <v>90.78</v>
      </c>
    </row>
    <row r="198" spans="1:39" s="560" customFormat="1" ht="14.4" hidden="1" thickBot="1">
      <c r="A198" s="620" t="s">
        <v>807</v>
      </c>
      <c r="B198" s="621" t="s">
        <v>1249</v>
      </c>
      <c r="C198" s="628" t="s">
        <v>37</v>
      </c>
      <c r="D198" s="580"/>
      <c r="E198" s="581"/>
      <c r="F198" s="581"/>
      <c r="G198" s="778"/>
      <c r="H198" s="581"/>
      <c r="I198" s="582"/>
      <c r="J198" s="582"/>
      <c r="K198" s="582"/>
      <c r="L198" s="575"/>
      <c r="M198" s="575"/>
      <c r="N198" s="809"/>
      <c r="O198" s="575"/>
      <c r="P198" s="575"/>
      <c r="Q198" s="575"/>
      <c r="R198" s="575"/>
      <c r="S198" s="575"/>
      <c r="T198" s="575"/>
      <c r="U198" s="809"/>
      <c r="V198" s="575"/>
      <c r="W198" s="575"/>
      <c r="X198" s="575"/>
      <c r="Y198" s="575"/>
      <c r="Z198" s="575"/>
      <c r="AA198" s="575"/>
      <c r="AB198" s="809"/>
      <c r="AC198" s="575"/>
      <c r="AD198" s="575"/>
      <c r="AE198" s="575"/>
      <c r="AF198" s="817"/>
      <c r="AG198" s="575"/>
      <c r="AH198" s="575"/>
      <c r="AI198" s="738">
        <f t="shared" si="16"/>
        <v>0</v>
      </c>
      <c r="AJ198" s="582">
        <v>0</v>
      </c>
      <c r="AK198" s="581">
        <f t="shared" si="14"/>
        <v>0</v>
      </c>
      <c r="AL198" s="750" t="s">
        <v>1625</v>
      </c>
      <c r="AM198" s="743">
        <f t="shared" si="15"/>
        <v>29.18</v>
      </c>
    </row>
    <row r="199" spans="1:39" s="560" customFormat="1" ht="14.4" hidden="1" thickBot="1">
      <c r="A199" s="620" t="s">
        <v>808</v>
      </c>
      <c r="B199" s="621" t="s">
        <v>1250</v>
      </c>
      <c r="C199" s="628"/>
      <c r="D199" s="580"/>
      <c r="E199" s="581"/>
      <c r="F199" s="581"/>
      <c r="G199" s="778"/>
      <c r="H199" s="581"/>
      <c r="I199" s="582"/>
      <c r="J199" s="582"/>
      <c r="K199" s="582"/>
      <c r="L199" s="575"/>
      <c r="M199" s="575"/>
      <c r="N199" s="809"/>
      <c r="O199" s="575"/>
      <c r="P199" s="575"/>
      <c r="Q199" s="575"/>
      <c r="R199" s="575"/>
      <c r="S199" s="575"/>
      <c r="T199" s="575"/>
      <c r="U199" s="809"/>
      <c r="V199" s="575"/>
      <c r="W199" s="575"/>
      <c r="X199" s="575"/>
      <c r="Y199" s="575"/>
      <c r="Z199" s="575"/>
      <c r="AA199" s="575"/>
      <c r="AB199" s="809"/>
      <c r="AC199" s="575"/>
      <c r="AD199" s="575"/>
      <c r="AE199" s="575"/>
      <c r="AF199" s="817"/>
      <c r="AG199" s="575"/>
      <c r="AH199" s="575"/>
      <c r="AI199" s="738">
        <f t="shared" si="16"/>
        <v>0</v>
      </c>
      <c r="AJ199" s="582">
        <v>0</v>
      </c>
      <c r="AK199" s="581">
        <f t="shared" si="14"/>
        <v>0</v>
      </c>
      <c r="AL199" s="750"/>
      <c r="AM199" s="743">
        <f t="shared" si="15"/>
        <v>0</v>
      </c>
    </row>
    <row r="200" spans="1:39" s="560" customFormat="1" ht="14.4" hidden="1" thickBot="1">
      <c r="A200" s="620" t="s">
        <v>809</v>
      </c>
      <c r="B200" s="621" t="s">
        <v>1251</v>
      </c>
      <c r="C200" s="628" t="s">
        <v>36</v>
      </c>
      <c r="D200" s="580"/>
      <c r="E200" s="581"/>
      <c r="F200" s="581"/>
      <c r="G200" s="778"/>
      <c r="H200" s="581"/>
      <c r="I200" s="582"/>
      <c r="J200" s="582"/>
      <c r="K200" s="582"/>
      <c r="L200" s="575"/>
      <c r="M200" s="575"/>
      <c r="N200" s="809"/>
      <c r="O200" s="575"/>
      <c r="P200" s="575"/>
      <c r="Q200" s="575"/>
      <c r="R200" s="575"/>
      <c r="S200" s="575"/>
      <c r="T200" s="575"/>
      <c r="U200" s="809"/>
      <c r="V200" s="575"/>
      <c r="W200" s="575"/>
      <c r="X200" s="575"/>
      <c r="Y200" s="575"/>
      <c r="Z200" s="575"/>
      <c r="AA200" s="575"/>
      <c r="AB200" s="809"/>
      <c r="AC200" s="575"/>
      <c r="AD200" s="575"/>
      <c r="AE200" s="575"/>
      <c r="AF200" s="817"/>
      <c r="AG200" s="575"/>
      <c r="AH200" s="575"/>
      <c r="AI200" s="738">
        <f t="shared" si="16"/>
        <v>0</v>
      </c>
      <c r="AJ200" s="582">
        <v>0</v>
      </c>
      <c r="AK200" s="581">
        <f t="shared" si="14"/>
        <v>0</v>
      </c>
      <c r="AL200" s="750" t="s">
        <v>1626</v>
      </c>
      <c r="AM200" s="743">
        <f t="shared" si="15"/>
        <v>6.3</v>
      </c>
    </row>
    <row r="201" spans="1:39" s="560" customFormat="1" ht="14.4" hidden="1" thickBot="1">
      <c r="A201" s="620" t="s">
        <v>810</v>
      </c>
      <c r="B201" s="621" t="s">
        <v>1252</v>
      </c>
      <c r="C201" s="628"/>
      <c r="D201" s="580"/>
      <c r="E201" s="581"/>
      <c r="F201" s="581"/>
      <c r="G201" s="778"/>
      <c r="H201" s="581"/>
      <c r="I201" s="582"/>
      <c r="J201" s="582"/>
      <c r="K201" s="582"/>
      <c r="L201" s="575"/>
      <c r="M201" s="575"/>
      <c r="N201" s="809"/>
      <c r="O201" s="575"/>
      <c r="P201" s="575"/>
      <c r="Q201" s="575"/>
      <c r="R201" s="575"/>
      <c r="S201" s="575"/>
      <c r="T201" s="575"/>
      <c r="U201" s="809"/>
      <c r="V201" s="575"/>
      <c r="W201" s="575"/>
      <c r="X201" s="575"/>
      <c r="Y201" s="575"/>
      <c r="Z201" s="575"/>
      <c r="AA201" s="575"/>
      <c r="AB201" s="809"/>
      <c r="AC201" s="575"/>
      <c r="AD201" s="575"/>
      <c r="AE201" s="575"/>
      <c r="AF201" s="817"/>
      <c r="AG201" s="575"/>
      <c r="AH201" s="575"/>
      <c r="AI201" s="738">
        <f t="shared" si="16"/>
        <v>0</v>
      </c>
      <c r="AJ201" s="582">
        <v>0</v>
      </c>
      <c r="AK201" s="581">
        <f t="shared" si="14"/>
        <v>0</v>
      </c>
      <c r="AL201" s="750"/>
      <c r="AM201" s="743">
        <f t="shared" si="15"/>
        <v>0</v>
      </c>
    </row>
    <row r="202" spans="1:39" s="560" customFormat="1" ht="14.4" hidden="1" thickBot="1">
      <c r="A202" s="620" t="s">
        <v>811</v>
      </c>
      <c r="B202" s="621" t="s">
        <v>1253</v>
      </c>
      <c r="C202" s="628" t="s">
        <v>1437</v>
      </c>
      <c r="D202" s="580"/>
      <c r="E202" s="581"/>
      <c r="F202" s="581"/>
      <c r="G202" s="778"/>
      <c r="H202" s="581"/>
      <c r="I202" s="582"/>
      <c r="J202" s="582"/>
      <c r="K202" s="582"/>
      <c r="L202" s="575"/>
      <c r="M202" s="575"/>
      <c r="N202" s="809"/>
      <c r="O202" s="575"/>
      <c r="P202" s="575"/>
      <c r="Q202" s="575"/>
      <c r="R202" s="575"/>
      <c r="S202" s="575"/>
      <c r="T202" s="575"/>
      <c r="U202" s="809"/>
      <c r="V202" s="575"/>
      <c r="W202" s="575"/>
      <c r="X202" s="575"/>
      <c r="Y202" s="575"/>
      <c r="Z202" s="575"/>
      <c r="AA202" s="575"/>
      <c r="AB202" s="809"/>
      <c r="AC202" s="575"/>
      <c r="AD202" s="575"/>
      <c r="AE202" s="575"/>
      <c r="AF202" s="817"/>
      <c r="AG202" s="575"/>
      <c r="AH202" s="575"/>
      <c r="AI202" s="738">
        <f t="shared" si="16"/>
        <v>0</v>
      </c>
      <c r="AJ202" s="582">
        <v>0</v>
      </c>
      <c r="AK202" s="581">
        <f t="shared" si="14"/>
        <v>0</v>
      </c>
      <c r="AL202" s="750" t="s">
        <v>1627</v>
      </c>
      <c r="AM202" s="743">
        <f t="shared" si="15"/>
        <v>9</v>
      </c>
    </row>
    <row r="203" spans="1:39" s="560" customFormat="1" ht="14.4" hidden="1" thickBot="1">
      <c r="A203" s="620" t="s">
        <v>812</v>
      </c>
      <c r="B203" s="621" t="s">
        <v>1254</v>
      </c>
      <c r="C203" s="628" t="s">
        <v>35</v>
      </c>
      <c r="D203" s="580"/>
      <c r="E203" s="581"/>
      <c r="F203" s="581"/>
      <c r="G203" s="778"/>
      <c r="H203" s="581"/>
      <c r="I203" s="582"/>
      <c r="J203" s="582"/>
      <c r="K203" s="582"/>
      <c r="L203" s="575"/>
      <c r="M203" s="575"/>
      <c r="N203" s="809"/>
      <c r="O203" s="575"/>
      <c r="P203" s="575"/>
      <c r="Q203" s="575"/>
      <c r="R203" s="575"/>
      <c r="S203" s="575"/>
      <c r="T203" s="575"/>
      <c r="U203" s="809"/>
      <c r="V203" s="575"/>
      <c r="W203" s="575"/>
      <c r="X203" s="575"/>
      <c r="Y203" s="575"/>
      <c r="Z203" s="575"/>
      <c r="AA203" s="575"/>
      <c r="AB203" s="809"/>
      <c r="AC203" s="575"/>
      <c r="AD203" s="575"/>
      <c r="AE203" s="575"/>
      <c r="AF203" s="817"/>
      <c r="AG203" s="575"/>
      <c r="AH203" s="575"/>
      <c r="AI203" s="738">
        <f t="shared" si="16"/>
        <v>0</v>
      </c>
      <c r="AJ203" s="582">
        <v>0</v>
      </c>
      <c r="AK203" s="581">
        <f t="shared" si="14"/>
        <v>0</v>
      </c>
      <c r="AL203" s="750" t="s">
        <v>1604</v>
      </c>
      <c r="AM203" s="743">
        <f t="shared" si="15"/>
        <v>3</v>
      </c>
    </row>
    <row r="204" spans="1:39" s="560" customFormat="1" ht="14.4" hidden="1" thickBot="1">
      <c r="A204" s="620" t="s">
        <v>813</v>
      </c>
      <c r="B204" s="621" t="s">
        <v>1255</v>
      </c>
      <c r="C204" s="628"/>
      <c r="D204" s="580"/>
      <c r="E204" s="581"/>
      <c r="F204" s="581"/>
      <c r="G204" s="778"/>
      <c r="H204" s="581"/>
      <c r="I204" s="582"/>
      <c r="J204" s="582"/>
      <c r="K204" s="582"/>
      <c r="L204" s="575"/>
      <c r="M204" s="575"/>
      <c r="N204" s="809"/>
      <c r="O204" s="575"/>
      <c r="P204" s="575"/>
      <c r="Q204" s="575"/>
      <c r="R204" s="575"/>
      <c r="S204" s="575"/>
      <c r="T204" s="575"/>
      <c r="U204" s="809"/>
      <c r="V204" s="575"/>
      <c r="W204" s="575"/>
      <c r="X204" s="575"/>
      <c r="Y204" s="575"/>
      <c r="Z204" s="575"/>
      <c r="AA204" s="575"/>
      <c r="AB204" s="809"/>
      <c r="AC204" s="575"/>
      <c r="AD204" s="575"/>
      <c r="AE204" s="575"/>
      <c r="AF204" s="817"/>
      <c r="AG204" s="575"/>
      <c r="AH204" s="575"/>
      <c r="AI204" s="738">
        <f t="shared" si="16"/>
        <v>0</v>
      </c>
      <c r="AJ204" s="582">
        <v>0</v>
      </c>
      <c r="AK204" s="581">
        <f t="shared" si="14"/>
        <v>0</v>
      </c>
      <c r="AL204" s="750"/>
      <c r="AM204" s="743">
        <f t="shared" si="15"/>
        <v>0</v>
      </c>
    </row>
    <row r="205" spans="1:39" s="560" customFormat="1" ht="14.4" hidden="1" thickBot="1">
      <c r="A205" s="620" t="s">
        <v>814</v>
      </c>
      <c r="B205" s="621" t="s">
        <v>1256</v>
      </c>
      <c r="C205" s="628" t="s">
        <v>36</v>
      </c>
      <c r="D205" s="580"/>
      <c r="E205" s="581"/>
      <c r="F205" s="581"/>
      <c r="G205" s="778"/>
      <c r="H205" s="581"/>
      <c r="I205" s="582"/>
      <c r="J205" s="582"/>
      <c r="K205" s="582"/>
      <c r="L205" s="575"/>
      <c r="M205" s="575"/>
      <c r="N205" s="809"/>
      <c r="O205" s="575"/>
      <c r="P205" s="575"/>
      <c r="Q205" s="575"/>
      <c r="R205" s="575"/>
      <c r="S205" s="575"/>
      <c r="T205" s="575"/>
      <c r="U205" s="809"/>
      <c r="V205" s="575"/>
      <c r="W205" s="575"/>
      <c r="X205" s="575"/>
      <c r="Y205" s="575"/>
      <c r="Z205" s="575"/>
      <c r="AA205" s="575"/>
      <c r="AB205" s="809"/>
      <c r="AC205" s="575"/>
      <c r="AD205" s="575"/>
      <c r="AE205" s="575"/>
      <c r="AF205" s="817"/>
      <c r="AG205" s="575"/>
      <c r="AH205" s="575"/>
      <c r="AI205" s="738">
        <f t="shared" si="16"/>
        <v>0</v>
      </c>
      <c r="AJ205" s="582">
        <v>0</v>
      </c>
      <c r="AK205" s="581">
        <f t="shared" si="14"/>
        <v>0</v>
      </c>
      <c r="AL205" s="750" t="s">
        <v>1628</v>
      </c>
      <c r="AM205" s="743">
        <f t="shared" si="15"/>
        <v>19.149999999999999</v>
      </c>
    </row>
    <row r="206" spans="1:39" s="560" customFormat="1" ht="14.4" hidden="1" thickBot="1">
      <c r="A206" s="620" t="s">
        <v>815</v>
      </c>
      <c r="B206" s="621" t="s">
        <v>1257</v>
      </c>
      <c r="C206" s="628" t="s">
        <v>36</v>
      </c>
      <c r="D206" s="580"/>
      <c r="E206" s="581"/>
      <c r="F206" s="581"/>
      <c r="G206" s="778"/>
      <c r="H206" s="581"/>
      <c r="I206" s="582"/>
      <c r="J206" s="582"/>
      <c r="K206" s="582"/>
      <c r="L206" s="575"/>
      <c r="M206" s="575"/>
      <c r="N206" s="809"/>
      <c r="O206" s="575"/>
      <c r="P206" s="575"/>
      <c r="Q206" s="575"/>
      <c r="R206" s="575"/>
      <c r="S206" s="575"/>
      <c r="T206" s="575"/>
      <c r="U206" s="809"/>
      <c r="V206" s="575"/>
      <c r="W206" s="575"/>
      <c r="X206" s="575"/>
      <c r="Y206" s="575"/>
      <c r="Z206" s="575"/>
      <c r="AA206" s="575"/>
      <c r="AB206" s="809"/>
      <c r="AC206" s="575"/>
      <c r="AD206" s="575"/>
      <c r="AE206" s="575"/>
      <c r="AF206" s="817"/>
      <c r="AG206" s="575"/>
      <c r="AH206" s="575"/>
      <c r="AI206" s="738">
        <f t="shared" si="16"/>
        <v>0</v>
      </c>
      <c r="AJ206" s="582">
        <v>0</v>
      </c>
      <c r="AK206" s="581">
        <f t="shared" si="14"/>
        <v>0</v>
      </c>
      <c r="AL206" s="750" t="s">
        <v>1629</v>
      </c>
      <c r="AM206" s="743">
        <f t="shared" si="15"/>
        <v>1.5</v>
      </c>
    </row>
    <row r="207" spans="1:39" s="560" customFormat="1" ht="14.4" hidden="1" thickBot="1">
      <c r="A207" s="620" t="s">
        <v>816</v>
      </c>
      <c r="B207" s="621" t="s">
        <v>1258</v>
      </c>
      <c r="C207" s="628"/>
      <c r="D207" s="580"/>
      <c r="E207" s="581"/>
      <c r="F207" s="581"/>
      <c r="G207" s="778"/>
      <c r="H207" s="581"/>
      <c r="I207" s="582"/>
      <c r="J207" s="582"/>
      <c r="K207" s="582"/>
      <c r="L207" s="575"/>
      <c r="M207" s="575"/>
      <c r="N207" s="809"/>
      <c r="O207" s="575"/>
      <c r="P207" s="575"/>
      <c r="Q207" s="575"/>
      <c r="R207" s="575"/>
      <c r="S207" s="575"/>
      <c r="T207" s="575"/>
      <c r="U207" s="809"/>
      <c r="V207" s="575"/>
      <c r="W207" s="575"/>
      <c r="X207" s="575"/>
      <c r="Y207" s="575"/>
      <c r="Z207" s="575"/>
      <c r="AA207" s="575"/>
      <c r="AB207" s="809"/>
      <c r="AC207" s="575"/>
      <c r="AD207" s="575"/>
      <c r="AE207" s="575"/>
      <c r="AF207" s="817"/>
      <c r="AG207" s="575"/>
      <c r="AH207" s="575"/>
      <c r="AI207" s="738">
        <f t="shared" si="16"/>
        <v>0</v>
      </c>
      <c r="AJ207" s="582">
        <v>0</v>
      </c>
      <c r="AK207" s="581">
        <f t="shared" si="14"/>
        <v>0</v>
      </c>
      <c r="AL207" s="750"/>
      <c r="AM207" s="743">
        <f t="shared" si="15"/>
        <v>0</v>
      </c>
    </row>
    <row r="208" spans="1:39" s="560" customFormat="1" ht="14.4" hidden="1" thickBot="1">
      <c r="A208" s="620" t="s">
        <v>817</v>
      </c>
      <c r="B208" s="621" t="s">
        <v>1259</v>
      </c>
      <c r="C208" s="628" t="s">
        <v>36</v>
      </c>
      <c r="D208" s="580"/>
      <c r="E208" s="581"/>
      <c r="F208" s="581"/>
      <c r="G208" s="778"/>
      <c r="H208" s="581"/>
      <c r="I208" s="582"/>
      <c r="J208" s="582"/>
      <c r="K208" s="582"/>
      <c r="L208" s="575"/>
      <c r="M208" s="575"/>
      <c r="N208" s="809"/>
      <c r="O208" s="575"/>
      <c r="P208" s="575"/>
      <c r="Q208" s="575"/>
      <c r="R208" s="575"/>
      <c r="S208" s="575"/>
      <c r="T208" s="575"/>
      <c r="U208" s="809"/>
      <c r="V208" s="575"/>
      <c r="W208" s="575"/>
      <c r="X208" s="575"/>
      <c r="Y208" s="575"/>
      <c r="Z208" s="575"/>
      <c r="AA208" s="575"/>
      <c r="AB208" s="809"/>
      <c r="AC208" s="575"/>
      <c r="AD208" s="575"/>
      <c r="AE208" s="575"/>
      <c r="AF208" s="817"/>
      <c r="AG208" s="575"/>
      <c r="AH208" s="575"/>
      <c r="AI208" s="738">
        <f t="shared" si="16"/>
        <v>0</v>
      </c>
      <c r="AJ208" s="582">
        <v>0</v>
      </c>
      <c r="AK208" s="581">
        <f t="shared" si="14"/>
        <v>0</v>
      </c>
      <c r="AL208" s="750" t="s">
        <v>1614</v>
      </c>
      <c r="AM208" s="743">
        <f t="shared" si="15"/>
        <v>90.62</v>
      </c>
    </row>
    <row r="209" spans="1:39" s="560" customFormat="1" ht="14.4" hidden="1" thickBot="1">
      <c r="A209" s="620" t="s">
        <v>818</v>
      </c>
      <c r="B209" s="621" t="s">
        <v>1260</v>
      </c>
      <c r="C209" s="628" t="s">
        <v>36</v>
      </c>
      <c r="D209" s="580"/>
      <c r="E209" s="581"/>
      <c r="F209" s="581"/>
      <c r="G209" s="778"/>
      <c r="H209" s="581"/>
      <c r="I209" s="582"/>
      <c r="J209" s="582"/>
      <c r="K209" s="582"/>
      <c r="L209" s="575"/>
      <c r="M209" s="575"/>
      <c r="N209" s="809"/>
      <c r="O209" s="575"/>
      <c r="P209" s="575"/>
      <c r="Q209" s="575"/>
      <c r="R209" s="575"/>
      <c r="S209" s="575"/>
      <c r="T209" s="575"/>
      <c r="U209" s="809"/>
      <c r="V209" s="575"/>
      <c r="W209" s="575"/>
      <c r="X209" s="575"/>
      <c r="Y209" s="575"/>
      <c r="Z209" s="575"/>
      <c r="AA209" s="575"/>
      <c r="AB209" s="809"/>
      <c r="AC209" s="575"/>
      <c r="AD209" s="575"/>
      <c r="AE209" s="575"/>
      <c r="AF209" s="817"/>
      <c r="AG209" s="575"/>
      <c r="AH209" s="575"/>
      <c r="AI209" s="738">
        <f t="shared" si="16"/>
        <v>0</v>
      </c>
      <c r="AJ209" s="582">
        <v>0</v>
      </c>
      <c r="AK209" s="581">
        <f t="shared" si="14"/>
        <v>0</v>
      </c>
      <c r="AL209" s="750" t="s">
        <v>1607</v>
      </c>
      <c r="AM209" s="743">
        <f t="shared" si="15"/>
        <v>123.1</v>
      </c>
    </row>
    <row r="210" spans="1:39" s="560" customFormat="1" ht="14.4" hidden="1" thickBot="1">
      <c r="A210" s="620" t="s">
        <v>819</v>
      </c>
      <c r="B210" s="621" t="s">
        <v>1261</v>
      </c>
      <c r="C210" s="628" t="s">
        <v>36</v>
      </c>
      <c r="D210" s="580"/>
      <c r="E210" s="581"/>
      <c r="F210" s="581"/>
      <c r="G210" s="778"/>
      <c r="H210" s="581"/>
      <c r="I210" s="582"/>
      <c r="J210" s="582"/>
      <c r="K210" s="582"/>
      <c r="L210" s="575"/>
      <c r="M210" s="575"/>
      <c r="N210" s="809"/>
      <c r="O210" s="575"/>
      <c r="P210" s="575"/>
      <c r="Q210" s="575"/>
      <c r="R210" s="575"/>
      <c r="S210" s="575"/>
      <c r="T210" s="575"/>
      <c r="U210" s="809"/>
      <c r="V210" s="575"/>
      <c r="W210" s="575"/>
      <c r="X210" s="575"/>
      <c r="Y210" s="575"/>
      <c r="Z210" s="575"/>
      <c r="AA210" s="575"/>
      <c r="AB210" s="809"/>
      <c r="AC210" s="575"/>
      <c r="AD210" s="575"/>
      <c r="AE210" s="575"/>
      <c r="AF210" s="817"/>
      <c r="AG210" s="575"/>
      <c r="AH210" s="575"/>
      <c r="AI210" s="738">
        <f t="shared" si="16"/>
        <v>0</v>
      </c>
      <c r="AJ210" s="582">
        <v>0</v>
      </c>
      <c r="AK210" s="581">
        <f t="shared" si="14"/>
        <v>0</v>
      </c>
      <c r="AL210" s="750" t="s">
        <v>1608</v>
      </c>
      <c r="AM210" s="743">
        <f t="shared" si="15"/>
        <v>54.38</v>
      </c>
    </row>
    <row r="211" spans="1:39" s="560" customFormat="1" ht="14.4" hidden="1" thickBot="1">
      <c r="A211" s="620" t="s">
        <v>820</v>
      </c>
      <c r="B211" s="621" t="s">
        <v>1262</v>
      </c>
      <c r="C211" s="628" t="s">
        <v>36</v>
      </c>
      <c r="D211" s="580"/>
      <c r="E211" s="581"/>
      <c r="F211" s="581"/>
      <c r="G211" s="778"/>
      <c r="H211" s="581"/>
      <c r="I211" s="582"/>
      <c r="J211" s="582"/>
      <c r="K211" s="582"/>
      <c r="L211" s="575"/>
      <c r="M211" s="575"/>
      <c r="N211" s="809"/>
      <c r="O211" s="575"/>
      <c r="P211" s="575"/>
      <c r="Q211" s="575"/>
      <c r="R211" s="575"/>
      <c r="S211" s="575"/>
      <c r="T211" s="575"/>
      <c r="U211" s="809"/>
      <c r="V211" s="575"/>
      <c r="W211" s="575"/>
      <c r="X211" s="575"/>
      <c r="Y211" s="575"/>
      <c r="Z211" s="575"/>
      <c r="AA211" s="575"/>
      <c r="AB211" s="809"/>
      <c r="AC211" s="575"/>
      <c r="AD211" s="575"/>
      <c r="AE211" s="575"/>
      <c r="AF211" s="817"/>
      <c r="AG211" s="575"/>
      <c r="AH211" s="575"/>
      <c r="AI211" s="738">
        <f t="shared" si="16"/>
        <v>0</v>
      </c>
      <c r="AJ211" s="582">
        <v>0</v>
      </c>
      <c r="AK211" s="581">
        <f t="shared" si="14"/>
        <v>0</v>
      </c>
      <c r="AL211" s="750" t="s">
        <v>1609</v>
      </c>
      <c r="AM211" s="743">
        <f t="shared" si="15"/>
        <v>34.44</v>
      </c>
    </row>
    <row r="212" spans="1:39" s="560" customFormat="1" ht="14.4" hidden="1" thickBot="1">
      <c r="A212" s="620" t="s">
        <v>821</v>
      </c>
      <c r="B212" s="621" t="s">
        <v>1263</v>
      </c>
      <c r="C212" s="628" t="s">
        <v>36</v>
      </c>
      <c r="D212" s="580"/>
      <c r="E212" s="581"/>
      <c r="F212" s="581"/>
      <c r="G212" s="778"/>
      <c r="H212" s="581"/>
      <c r="I212" s="582"/>
      <c r="J212" s="582"/>
      <c r="K212" s="582"/>
      <c r="L212" s="575"/>
      <c r="M212" s="575"/>
      <c r="N212" s="809"/>
      <c r="O212" s="575"/>
      <c r="P212" s="575"/>
      <c r="Q212" s="575"/>
      <c r="R212" s="575"/>
      <c r="S212" s="575"/>
      <c r="T212" s="575"/>
      <c r="U212" s="809"/>
      <c r="V212" s="575"/>
      <c r="W212" s="575"/>
      <c r="X212" s="575"/>
      <c r="Y212" s="575"/>
      <c r="Z212" s="575"/>
      <c r="AA212" s="575"/>
      <c r="AB212" s="809"/>
      <c r="AC212" s="575"/>
      <c r="AD212" s="575"/>
      <c r="AE212" s="575"/>
      <c r="AF212" s="817"/>
      <c r="AG212" s="575"/>
      <c r="AH212" s="575"/>
      <c r="AI212" s="738">
        <f t="shared" si="16"/>
        <v>0</v>
      </c>
      <c r="AJ212" s="582">
        <v>0</v>
      </c>
      <c r="AK212" s="581">
        <f t="shared" si="14"/>
        <v>0</v>
      </c>
      <c r="AL212" s="750" t="s">
        <v>1610</v>
      </c>
      <c r="AM212" s="743">
        <f t="shared" si="15"/>
        <v>30.39</v>
      </c>
    </row>
    <row r="213" spans="1:39" s="560" customFormat="1" ht="14.4" hidden="1" thickBot="1">
      <c r="A213" s="620" t="s">
        <v>822</v>
      </c>
      <c r="B213" s="621" t="s">
        <v>1264</v>
      </c>
      <c r="C213" s="628" t="s">
        <v>36</v>
      </c>
      <c r="D213" s="580"/>
      <c r="E213" s="581"/>
      <c r="F213" s="581"/>
      <c r="G213" s="778"/>
      <c r="H213" s="581"/>
      <c r="I213" s="582"/>
      <c r="J213" s="582"/>
      <c r="K213" s="582"/>
      <c r="L213" s="575"/>
      <c r="M213" s="575"/>
      <c r="N213" s="809"/>
      <c r="O213" s="575"/>
      <c r="P213" s="575"/>
      <c r="Q213" s="575"/>
      <c r="R213" s="575"/>
      <c r="S213" s="575"/>
      <c r="T213" s="575"/>
      <c r="U213" s="809"/>
      <c r="V213" s="575"/>
      <c r="W213" s="575"/>
      <c r="X213" s="575"/>
      <c r="Y213" s="575"/>
      <c r="Z213" s="575"/>
      <c r="AA213" s="575"/>
      <c r="AB213" s="809"/>
      <c r="AC213" s="575"/>
      <c r="AD213" s="575"/>
      <c r="AE213" s="575"/>
      <c r="AF213" s="817"/>
      <c r="AG213" s="575"/>
      <c r="AH213" s="575"/>
      <c r="AI213" s="738">
        <f t="shared" si="16"/>
        <v>0</v>
      </c>
      <c r="AJ213" s="582">
        <v>0</v>
      </c>
      <c r="AK213" s="581">
        <f t="shared" si="14"/>
        <v>0</v>
      </c>
      <c r="AL213" s="750" t="s">
        <v>1621</v>
      </c>
      <c r="AM213" s="743">
        <f t="shared" si="15"/>
        <v>15.8</v>
      </c>
    </row>
    <row r="214" spans="1:39" s="560" customFormat="1" ht="14.4" hidden="1" thickBot="1">
      <c r="A214" s="620" t="s">
        <v>823</v>
      </c>
      <c r="B214" s="621" t="s">
        <v>1265</v>
      </c>
      <c r="C214" s="628" t="s">
        <v>36</v>
      </c>
      <c r="D214" s="580"/>
      <c r="E214" s="581"/>
      <c r="F214" s="581"/>
      <c r="G214" s="778"/>
      <c r="H214" s="581"/>
      <c r="I214" s="582"/>
      <c r="J214" s="582"/>
      <c r="K214" s="582"/>
      <c r="L214" s="575"/>
      <c r="M214" s="575"/>
      <c r="N214" s="809"/>
      <c r="O214" s="575"/>
      <c r="P214" s="575"/>
      <c r="Q214" s="575"/>
      <c r="R214" s="575"/>
      <c r="S214" s="575"/>
      <c r="T214" s="575"/>
      <c r="U214" s="809"/>
      <c r="V214" s="575"/>
      <c r="W214" s="575"/>
      <c r="X214" s="575"/>
      <c r="Y214" s="575"/>
      <c r="Z214" s="575"/>
      <c r="AA214" s="575"/>
      <c r="AB214" s="809"/>
      <c r="AC214" s="575"/>
      <c r="AD214" s="575"/>
      <c r="AE214" s="575"/>
      <c r="AF214" s="817"/>
      <c r="AG214" s="575"/>
      <c r="AH214" s="575"/>
      <c r="AI214" s="738">
        <f t="shared" si="16"/>
        <v>0</v>
      </c>
      <c r="AJ214" s="582">
        <v>0</v>
      </c>
      <c r="AK214" s="581">
        <f t="shared" ref="AK214:AK277" si="17">AI214+AJ214</f>
        <v>0</v>
      </c>
      <c r="AL214" s="750" t="s">
        <v>1630</v>
      </c>
      <c r="AM214" s="743">
        <f t="shared" ref="AM214:AM277" si="18">AL214-AK214</f>
        <v>12.6</v>
      </c>
    </row>
    <row r="215" spans="1:39" s="560" customFormat="1" ht="14.4" hidden="1" thickBot="1">
      <c r="A215" s="620" t="s">
        <v>824</v>
      </c>
      <c r="B215" s="621" t="s">
        <v>1266</v>
      </c>
      <c r="C215" s="628"/>
      <c r="D215" s="580"/>
      <c r="E215" s="581"/>
      <c r="F215" s="581"/>
      <c r="G215" s="778"/>
      <c r="H215" s="581"/>
      <c r="I215" s="582"/>
      <c r="J215" s="582"/>
      <c r="K215" s="582"/>
      <c r="L215" s="575"/>
      <c r="M215" s="575"/>
      <c r="N215" s="809"/>
      <c r="O215" s="575"/>
      <c r="P215" s="575"/>
      <c r="Q215" s="575"/>
      <c r="R215" s="575"/>
      <c r="S215" s="575"/>
      <c r="T215" s="575"/>
      <c r="U215" s="809"/>
      <c r="V215" s="575"/>
      <c r="W215" s="575"/>
      <c r="X215" s="575"/>
      <c r="Y215" s="575"/>
      <c r="Z215" s="575"/>
      <c r="AA215" s="575"/>
      <c r="AB215" s="809"/>
      <c r="AC215" s="575"/>
      <c r="AD215" s="575"/>
      <c r="AE215" s="575"/>
      <c r="AF215" s="817"/>
      <c r="AG215" s="575"/>
      <c r="AH215" s="575"/>
      <c r="AI215" s="738">
        <f t="shared" si="16"/>
        <v>0</v>
      </c>
      <c r="AJ215" s="582">
        <v>0</v>
      </c>
      <c r="AK215" s="581">
        <f t="shared" si="17"/>
        <v>0</v>
      </c>
      <c r="AL215" s="750"/>
      <c r="AM215" s="743">
        <f t="shared" si="18"/>
        <v>0</v>
      </c>
    </row>
    <row r="216" spans="1:39" s="560" customFormat="1" ht="14.4" hidden="1" thickBot="1">
      <c r="A216" s="620" t="s">
        <v>825</v>
      </c>
      <c r="B216" s="621" t="s">
        <v>1267</v>
      </c>
      <c r="C216" s="628" t="s">
        <v>1436</v>
      </c>
      <c r="D216" s="580"/>
      <c r="E216" s="581"/>
      <c r="F216" s="581"/>
      <c r="G216" s="778"/>
      <c r="H216" s="581"/>
      <c r="I216" s="582"/>
      <c r="J216" s="582"/>
      <c r="K216" s="582"/>
      <c r="L216" s="575"/>
      <c r="M216" s="575"/>
      <c r="N216" s="809"/>
      <c r="O216" s="575"/>
      <c r="P216" s="575"/>
      <c r="Q216" s="575"/>
      <c r="R216" s="575"/>
      <c r="S216" s="575"/>
      <c r="T216" s="575"/>
      <c r="U216" s="809"/>
      <c r="V216" s="575"/>
      <c r="W216" s="575"/>
      <c r="X216" s="575"/>
      <c r="Y216" s="575"/>
      <c r="Z216" s="575"/>
      <c r="AA216" s="575"/>
      <c r="AB216" s="809"/>
      <c r="AC216" s="575"/>
      <c r="AD216" s="575"/>
      <c r="AE216" s="575"/>
      <c r="AF216" s="817"/>
      <c r="AG216" s="575"/>
      <c r="AH216" s="575"/>
      <c r="AI216" s="738">
        <f t="shared" si="16"/>
        <v>0</v>
      </c>
      <c r="AJ216" s="582">
        <v>0</v>
      </c>
      <c r="AK216" s="581">
        <f t="shared" si="17"/>
        <v>0</v>
      </c>
      <c r="AL216" s="750" t="s">
        <v>1627</v>
      </c>
      <c r="AM216" s="743">
        <f t="shared" si="18"/>
        <v>9</v>
      </c>
    </row>
    <row r="217" spans="1:39" s="560" customFormat="1" ht="14.4" hidden="1" thickBot="1">
      <c r="A217" s="620" t="s">
        <v>826</v>
      </c>
      <c r="B217" s="621" t="s">
        <v>1268</v>
      </c>
      <c r="C217" s="628" t="s">
        <v>63</v>
      </c>
      <c r="D217" s="580"/>
      <c r="E217" s="581"/>
      <c r="F217" s="581"/>
      <c r="G217" s="778"/>
      <c r="H217" s="581"/>
      <c r="I217" s="582"/>
      <c r="J217" s="582"/>
      <c r="K217" s="582"/>
      <c r="L217" s="575"/>
      <c r="M217" s="575"/>
      <c r="N217" s="809"/>
      <c r="O217" s="575"/>
      <c r="P217" s="575"/>
      <c r="Q217" s="575"/>
      <c r="R217" s="575"/>
      <c r="S217" s="575"/>
      <c r="T217" s="575"/>
      <c r="U217" s="809"/>
      <c r="V217" s="575"/>
      <c r="W217" s="575"/>
      <c r="X217" s="575"/>
      <c r="Y217" s="575"/>
      <c r="Z217" s="575"/>
      <c r="AA217" s="575"/>
      <c r="AB217" s="809"/>
      <c r="AC217" s="575"/>
      <c r="AD217" s="575"/>
      <c r="AE217" s="575"/>
      <c r="AF217" s="817"/>
      <c r="AG217" s="575"/>
      <c r="AH217" s="575"/>
      <c r="AI217" s="738">
        <f t="shared" si="16"/>
        <v>0</v>
      </c>
      <c r="AJ217" s="582">
        <v>0</v>
      </c>
      <c r="AK217" s="581">
        <f t="shared" si="17"/>
        <v>0</v>
      </c>
      <c r="AL217" s="750" t="s">
        <v>1441</v>
      </c>
      <c r="AM217" s="743">
        <f t="shared" si="18"/>
        <v>1</v>
      </c>
    </row>
    <row r="218" spans="1:39" s="560" customFormat="1" ht="14.4" hidden="1" thickBot="1">
      <c r="A218" s="620" t="s">
        <v>827</v>
      </c>
      <c r="B218" s="621" t="s">
        <v>1269</v>
      </c>
      <c r="C218" s="628" t="s">
        <v>36</v>
      </c>
      <c r="D218" s="580"/>
      <c r="E218" s="581"/>
      <c r="F218" s="581"/>
      <c r="G218" s="778"/>
      <c r="H218" s="581"/>
      <c r="I218" s="582"/>
      <c r="J218" s="582"/>
      <c r="K218" s="582"/>
      <c r="L218" s="575"/>
      <c r="M218" s="575"/>
      <c r="N218" s="809"/>
      <c r="O218" s="575"/>
      <c r="P218" s="575"/>
      <c r="Q218" s="575"/>
      <c r="R218" s="575"/>
      <c r="S218" s="575"/>
      <c r="T218" s="575"/>
      <c r="U218" s="809"/>
      <c r="V218" s="575"/>
      <c r="W218" s="575"/>
      <c r="X218" s="575"/>
      <c r="Y218" s="575"/>
      <c r="Z218" s="575"/>
      <c r="AA218" s="575"/>
      <c r="AB218" s="809"/>
      <c r="AC218" s="575"/>
      <c r="AD218" s="575"/>
      <c r="AE218" s="575"/>
      <c r="AF218" s="817"/>
      <c r="AG218" s="575"/>
      <c r="AH218" s="575"/>
      <c r="AI218" s="738">
        <f t="shared" si="16"/>
        <v>0</v>
      </c>
      <c r="AJ218" s="582">
        <v>0</v>
      </c>
      <c r="AK218" s="581">
        <f t="shared" si="17"/>
        <v>0</v>
      </c>
      <c r="AL218" s="750" t="s">
        <v>1631</v>
      </c>
      <c r="AM218" s="743">
        <f t="shared" si="18"/>
        <v>21.02</v>
      </c>
    </row>
    <row r="219" spans="1:39" s="560" customFormat="1" ht="14.4" hidden="1" thickBot="1">
      <c r="A219" s="620" t="s">
        <v>461</v>
      </c>
      <c r="B219" s="621" t="s">
        <v>1270</v>
      </c>
      <c r="C219" s="628"/>
      <c r="D219" s="580"/>
      <c r="E219" s="581"/>
      <c r="F219" s="581"/>
      <c r="G219" s="778"/>
      <c r="H219" s="581"/>
      <c r="I219" s="582"/>
      <c r="J219" s="582"/>
      <c r="K219" s="582"/>
      <c r="L219" s="575"/>
      <c r="M219" s="575"/>
      <c r="N219" s="809"/>
      <c r="O219" s="575"/>
      <c r="P219" s="575"/>
      <c r="Q219" s="575"/>
      <c r="R219" s="575"/>
      <c r="S219" s="575"/>
      <c r="T219" s="575"/>
      <c r="U219" s="809"/>
      <c r="V219" s="575"/>
      <c r="W219" s="575"/>
      <c r="X219" s="575"/>
      <c r="Y219" s="575"/>
      <c r="Z219" s="575"/>
      <c r="AA219" s="575"/>
      <c r="AB219" s="809"/>
      <c r="AC219" s="575"/>
      <c r="AD219" s="575"/>
      <c r="AE219" s="575"/>
      <c r="AF219" s="817"/>
      <c r="AG219" s="575"/>
      <c r="AH219" s="575"/>
      <c r="AI219" s="738">
        <f t="shared" si="16"/>
        <v>0</v>
      </c>
      <c r="AJ219" s="582">
        <v>0</v>
      </c>
      <c r="AK219" s="581">
        <f t="shared" si="17"/>
        <v>0</v>
      </c>
      <c r="AL219" s="750"/>
      <c r="AM219" s="743">
        <f t="shared" si="18"/>
        <v>0</v>
      </c>
    </row>
    <row r="220" spans="1:39" s="560" customFormat="1" ht="14.4" hidden="1" thickBot="1">
      <c r="A220" s="620" t="s">
        <v>462</v>
      </c>
      <c r="B220" s="621" t="s">
        <v>1222</v>
      </c>
      <c r="C220" s="628"/>
      <c r="D220" s="580"/>
      <c r="E220" s="581"/>
      <c r="F220" s="581"/>
      <c r="G220" s="778"/>
      <c r="H220" s="581"/>
      <c r="I220" s="582"/>
      <c r="J220" s="582"/>
      <c r="K220" s="582"/>
      <c r="L220" s="575"/>
      <c r="M220" s="575"/>
      <c r="N220" s="809"/>
      <c r="O220" s="575"/>
      <c r="P220" s="575"/>
      <c r="Q220" s="575"/>
      <c r="R220" s="575"/>
      <c r="S220" s="575"/>
      <c r="T220" s="575"/>
      <c r="U220" s="809"/>
      <c r="V220" s="575"/>
      <c r="W220" s="575"/>
      <c r="X220" s="575"/>
      <c r="Y220" s="575"/>
      <c r="Z220" s="575"/>
      <c r="AA220" s="575"/>
      <c r="AB220" s="809"/>
      <c r="AC220" s="575"/>
      <c r="AD220" s="575"/>
      <c r="AE220" s="575"/>
      <c r="AF220" s="817"/>
      <c r="AG220" s="575"/>
      <c r="AH220" s="575"/>
      <c r="AI220" s="738">
        <f t="shared" si="16"/>
        <v>0</v>
      </c>
      <c r="AJ220" s="582">
        <v>0</v>
      </c>
      <c r="AK220" s="581">
        <f t="shared" si="17"/>
        <v>0</v>
      </c>
      <c r="AL220" s="750"/>
      <c r="AM220" s="743">
        <f t="shared" si="18"/>
        <v>0</v>
      </c>
    </row>
    <row r="221" spans="1:39" s="560" customFormat="1" ht="14.4" hidden="1" thickBot="1">
      <c r="A221" s="620" t="s">
        <v>828</v>
      </c>
      <c r="B221" s="621" t="s">
        <v>1223</v>
      </c>
      <c r="C221" s="628" t="s">
        <v>36</v>
      </c>
      <c r="D221" s="580"/>
      <c r="E221" s="581"/>
      <c r="F221" s="581"/>
      <c r="G221" s="778"/>
      <c r="H221" s="581"/>
      <c r="I221" s="582"/>
      <c r="J221" s="582"/>
      <c r="K221" s="582"/>
      <c r="L221" s="575"/>
      <c r="M221" s="575"/>
      <c r="N221" s="809"/>
      <c r="O221" s="575"/>
      <c r="P221" s="575"/>
      <c r="Q221" s="575"/>
      <c r="R221" s="575"/>
      <c r="S221" s="575"/>
      <c r="T221" s="575"/>
      <c r="U221" s="809"/>
      <c r="V221" s="575"/>
      <c r="W221" s="575"/>
      <c r="X221" s="575"/>
      <c r="Y221" s="575"/>
      <c r="Z221" s="575"/>
      <c r="AA221" s="575"/>
      <c r="AB221" s="809"/>
      <c r="AC221" s="575"/>
      <c r="AD221" s="575"/>
      <c r="AE221" s="575"/>
      <c r="AF221" s="817"/>
      <c r="AG221" s="575"/>
      <c r="AH221" s="575"/>
      <c r="AI221" s="738">
        <f t="shared" si="16"/>
        <v>0</v>
      </c>
      <c r="AJ221" s="582">
        <v>0</v>
      </c>
      <c r="AK221" s="581">
        <f t="shared" si="17"/>
        <v>0</v>
      </c>
      <c r="AL221" s="750" t="s">
        <v>1632</v>
      </c>
      <c r="AM221" s="743">
        <f t="shared" si="18"/>
        <v>73.59</v>
      </c>
    </row>
    <row r="222" spans="1:39" s="560" customFormat="1" ht="14.4" hidden="1" thickBot="1">
      <c r="A222" s="620" t="s">
        <v>829</v>
      </c>
      <c r="B222" s="621" t="s">
        <v>1224</v>
      </c>
      <c r="C222" s="628" t="s">
        <v>36</v>
      </c>
      <c r="D222" s="580"/>
      <c r="E222" s="581"/>
      <c r="F222" s="581"/>
      <c r="G222" s="778"/>
      <c r="H222" s="581"/>
      <c r="I222" s="582"/>
      <c r="J222" s="582"/>
      <c r="K222" s="582"/>
      <c r="L222" s="575"/>
      <c r="M222" s="575"/>
      <c r="N222" s="809"/>
      <c r="O222" s="575"/>
      <c r="P222" s="575"/>
      <c r="Q222" s="575"/>
      <c r="R222" s="575"/>
      <c r="S222" s="575"/>
      <c r="T222" s="575"/>
      <c r="U222" s="809"/>
      <c r="V222" s="575"/>
      <c r="W222" s="575"/>
      <c r="X222" s="575"/>
      <c r="Y222" s="575"/>
      <c r="Z222" s="575"/>
      <c r="AA222" s="575"/>
      <c r="AB222" s="809"/>
      <c r="AC222" s="575"/>
      <c r="AD222" s="575"/>
      <c r="AE222" s="575"/>
      <c r="AF222" s="817"/>
      <c r="AG222" s="575"/>
      <c r="AH222" s="575"/>
      <c r="AI222" s="738">
        <f t="shared" si="16"/>
        <v>0</v>
      </c>
      <c r="AJ222" s="582">
        <v>0</v>
      </c>
      <c r="AK222" s="581">
        <f t="shared" si="17"/>
        <v>0</v>
      </c>
      <c r="AL222" s="750" t="s">
        <v>1633</v>
      </c>
      <c r="AM222" s="743">
        <f t="shared" si="18"/>
        <v>6.44</v>
      </c>
    </row>
    <row r="223" spans="1:39" s="560" customFormat="1" ht="14.4" hidden="1" thickBot="1">
      <c r="A223" s="620" t="s">
        <v>463</v>
      </c>
      <c r="B223" s="621" t="s">
        <v>1225</v>
      </c>
      <c r="C223" s="628"/>
      <c r="D223" s="580"/>
      <c r="E223" s="581"/>
      <c r="F223" s="581"/>
      <c r="G223" s="778"/>
      <c r="H223" s="581"/>
      <c r="I223" s="582"/>
      <c r="J223" s="582"/>
      <c r="K223" s="582"/>
      <c r="L223" s="575"/>
      <c r="M223" s="575"/>
      <c r="N223" s="809"/>
      <c r="O223" s="575"/>
      <c r="P223" s="575"/>
      <c r="Q223" s="575"/>
      <c r="R223" s="575"/>
      <c r="S223" s="575"/>
      <c r="T223" s="575"/>
      <c r="U223" s="809"/>
      <c r="V223" s="575"/>
      <c r="W223" s="575"/>
      <c r="X223" s="575"/>
      <c r="Y223" s="575"/>
      <c r="Z223" s="575"/>
      <c r="AA223" s="575"/>
      <c r="AB223" s="809"/>
      <c r="AC223" s="575"/>
      <c r="AD223" s="575"/>
      <c r="AE223" s="575"/>
      <c r="AF223" s="817"/>
      <c r="AG223" s="575"/>
      <c r="AH223" s="575"/>
      <c r="AI223" s="738">
        <f t="shared" si="16"/>
        <v>0</v>
      </c>
      <c r="AJ223" s="582">
        <v>0</v>
      </c>
      <c r="AK223" s="581">
        <f t="shared" si="17"/>
        <v>0</v>
      </c>
      <c r="AL223" s="750"/>
      <c r="AM223" s="743">
        <f t="shared" si="18"/>
        <v>0</v>
      </c>
    </row>
    <row r="224" spans="1:39" s="560" customFormat="1" ht="14.4" hidden="1" thickBot="1">
      <c r="A224" s="620" t="s">
        <v>830</v>
      </c>
      <c r="B224" s="621" t="s">
        <v>1226</v>
      </c>
      <c r="C224" s="628" t="s">
        <v>36</v>
      </c>
      <c r="D224" s="580"/>
      <c r="E224" s="581"/>
      <c r="F224" s="581"/>
      <c r="G224" s="778"/>
      <c r="H224" s="581"/>
      <c r="I224" s="582"/>
      <c r="J224" s="582"/>
      <c r="K224" s="582"/>
      <c r="L224" s="575"/>
      <c r="M224" s="575"/>
      <c r="N224" s="809"/>
      <c r="O224" s="575"/>
      <c r="P224" s="575"/>
      <c r="Q224" s="575"/>
      <c r="R224" s="575"/>
      <c r="S224" s="575"/>
      <c r="T224" s="575"/>
      <c r="U224" s="809"/>
      <c r="V224" s="575"/>
      <c r="W224" s="575"/>
      <c r="X224" s="575"/>
      <c r="Y224" s="575"/>
      <c r="Z224" s="575"/>
      <c r="AA224" s="575"/>
      <c r="AB224" s="809"/>
      <c r="AC224" s="575"/>
      <c r="AD224" s="575"/>
      <c r="AE224" s="575"/>
      <c r="AF224" s="817"/>
      <c r="AG224" s="575"/>
      <c r="AH224" s="575"/>
      <c r="AI224" s="738">
        <f t="shared" si="16"/>
        <v>0</v>
      </c>
      <c r="AJ224" s="582">
        <v>0</v>
      </c>
      <c r="AK224" s="581">
        <f t="shared" si="17"/>
        <v>0</v>
      </c>
      <c r="AL224" s="750" t="s">
        <v>1634</v>
      </c>
      <c r="AM224" s="743">
        <f t="shared" si="18"/>
        <v>99.99</v>
      </c>
    </row>
    <row r="225" spans="1:39" s="560" customFormat="1" ht="14.4" hidden="1" thickBot="1">
      <c r="A225" s="620" t="s">
        <v>831</v>
      </c>
      <c r="B225" s="621" t="s">
        <v>1227</v>
      </c>
      <c r="C225" s="628" t="s">
        <v>36</v>
      </c>
      <c r="D225" s="580"/>
      <c r="E225" s="581"/>
      <c r="F225" s="581"/>
      <c r="G225" s="778"/>
      <c r="H225" s="581"/>
      <c r="I225" s="582"/>
      <c r="J225" s="582"/>
      <c r="K225" s="582"/>
      <c r="L225" s="575"/>
      <c r="M225" s="575"/>
      <c r="N225" s="809"/>
      <c r="O225" s="575"/>
      <c r="P225" s="575"/>
      <c r="Q225" s="575"/>
      <c r="R225" s="575"/>
      <c r="S225" s="575"/>
      <c r="T225" s="575"/>
      <c r="U225" s="809"/>
      <c r="V225" s="575"/>
      <c r="W225" s="575"/>
      <c r="X225" s="575"/>
      <c r="Y225" s="575"/>
      <c r="Z225" s="575"/>
      <c r="AA225" s="575"/>
      <c r="AB225" s="809"/>
      <c r="AC225" s="575"/>
      <c r="AD225" s="575"/>
      <c r="AE225" s="575"/>
      <c r="AF225" s="817"/>
      <c r="AG225" s="575"/>
      <c r="AH225" s="575"/>
      <c r="AI225" s="738">
        <f t="shared" si="16"/>
        <v>0</v>
      </c>
      <c r="AJ225" s="582">
        <v>0</v>
      </c>
      <c r="AK225" s="581">
        <f t="shared" si="17"/>
        <v>0</v>
      </c>
      <c r="AL225" s="750" t="s">
        <v>1635</v>
      </c>
      <c r="AM225" s="743">
        <f t="shared" si="18"/>
        <v>60.07</v>
      </c>
    </row>
    <row r="226" spans="1:39" s="560" customFormat="1" ht="14.4" hidden="1" thickBot="1">
      <c r="A226" s="620" t="s">
        <v>832</v>
      </c>
      <c r="B226" s="621" t="s">
        <v>1228</v>
      </c>
      <c r="C226" s="628" t="s">
        <v>36</v>
      </c>
      <c r="D226" s="580"/>
      <c r="E226" s="581"/>
      <c r="F226" s="581"/>
      <c r="G226" s="778"/>
      <c r="H226" s="581"/>
      <c r="I226" s="582"/>
      <c r="J226" s="582"/>
      <c r="K226" s="582"/>
      <c r="L226" s="575"/>
      <c r="M226" s="575"/>
      <c r="N226" s="809"/>
      <c r="O226" s="575"/>
      <c r="P226" s="575"/>
      <c r="Q226" s="575"/>
      <c r="R226" s="575"/>
      <c r="S226" s="575"/>
      <c r="T226" s="575"/>
      <c r="U226" s="809"/>
      <c r="V226" s="575"/>
      <c r="W226" s="575"/>
      <c r="X226" s="575"/>
      <c r="Y226" s="575"/>
      <c r="Z226" s="575"/>
      <c r="AA226" s="575"/>
      <c r="AB226" s="809"/>
      <c r="AC226" s="575"/>
      <c r="AD226" s="575"/>
      <c r="AE226" s="575"/>
      <c r="AF226" s="817"/>
      <c r="AG226" s="575"/>
      <c r="AH226" s="575"/>
      <c r="AI226" s="738">
        <f t="shared" si="16"/>
        <v>0</v>
      </c>
      <c r="AJ226" s="582">
        <v>0</v>
      </c>
      <c r="AK226" s="581">
        <f t="shared" si="17"/>
        <v>0</v>
      </c>
      <c r="AL226" s="750" t="s">
        <v>1636</v>
      </c>
      <c r="AM226" s="743">
        <f t="shared" si="18"/>
        <v>33.6</v>
      </c>
    </row>
    <row r="227" spans="1:39" s="560" customFormat="1" ht="14.4" hidden="1" thickBot="1">
      <c r="A227" s="620" t="s">
        <v>833</v>
      </c>
      <c r="B227" s="621" t="s">
        <v>1229</v>
      </c>
      <c r="C227" s="628" t="s">
        <v>36</v>
      </c>
      <c r="D227" s="580"/>
      <c r="E227" s="581"/>
      <c r="F227" s="581"/>
      <c r="G227" s="778"/>
      <c r="H227" s="581"/>
      <c r="I227" s="582"/>
      <c r="J227" s="582"/>
      <c r="K227" s="582"/>
      <c r="L227" s="575"/>
      <c r="M227" s="575"/>
      <c r="N227" s="809"/>
      <c r="O227" s="575"/>
      <c r="P227" s="575"/>
      <c r="Q227" s="575"/>
      <c r="R227" s="575"/>
      <c r="S227" s="575"/>
      <c r="T227" s="575"/>
      <c r="U227" s="809"/>
      <c r="V227" s="575"/>
      <c r="W227" s="575"/>
      <c r="X227" s="575"/>
      <c r="Y227" s="575"/>
      <c r="Z227" s="575"/>
      <c r="AA227" s="575"/>
      <c r="AB227" s="809"/>
      <c r="AC227" s="575"/>
      <c r="AD227" s="575"/>
      <c r="AE227" s="575"/>
      <c r="AF227" s="817"/>
      <c r="AG227" s="575"/>
      <c r="AH227" s="575"/>
      <c r="AI227" s="738">
        <f t="shared" si="16"/>
        <v>0</v>
      </c>
      <c r="AJ227" s="582">
        <v>0</v>
      </c>
      <c r="AK227" s="581">
        <f t="shared" si="17"/>
        <v>0</v>
      </c>
      <c r="AL227" s="750" t="s">
        <v>1637</v>
      </c>
      <c r="AM227" s="743">
        <f t="shared" si="18"/>
        <v>27.42</v>
      </c>
    </row>
    <row r="228" spans="1:39" s="560" customFormat="1" ht="14.4" hidden="1" thickBot="1">
      <c r="A228" s="620" t="s">
        <v>834</v>
      </c>
      <c r="B228" s="621" t="s">
        <v>1230</v>
      </c>
      <c r="C228" s="628" t="s">
        <v>36</v>
      </c>
      <c r="D228" s="580"/>
      <c r="E228" s="581"/>
      <c r="F228" s="581"/>
      <c r="G228" s="778"/>
      <c r="H228" s="581"/>
      <c r="I228" s="582"/>
      <c r="J228" s="582"/>
      <c r="K228" s="582"/>
      <c r="L228" s="575"/>
      <c r="M228" s="575"/>
      <c r="N228" s="809"/>
      <c r="O228" s="575"/>
      <c r="P228" s="575"/>
      <c r="Q228" s="575"/>
      <c r="R228" s="575"/>
      <c r="S228" s="575"/>
      <c r="T228" s="575"/>
      <c r="U228" s="809"/>
      <c r="V228" s="575"/>
      <c r="W228" s="575"/>
      <c r="X228" s="575"/>
      <c r="Y228" s="575"/>
      <c r="Z228" s="575"/>
      <c r="AA228" s="575"/>
      <c r="AB228" s="809"/>
      <c r="AC228" s="575"/>
      <c r="AD228" s="575"/>
      <c r="AE228" s="575"/>
      <c r="AF228" s="817"/>
      <c r="AG228" s="575"/>
      <c r="AH228" s="575"/>
      <c r="AI228" s="738">
        <f t="shared" si="16"/>
        <v>0</v>
      </c>
      <c r="AJ228" s="582">
        <v>0</v>
      </c>
      <c r="AK228" s="581">
        <f t="shared" si="17"/>
        <v>0</v>
      </c>
      <c r="AL228" s="750" t="s">
        <v>1638</v>
      </c>
      <c r="AM228" s="743">
        <f t="shared" si="18"/>
        <v>79.459999999999994</v>
      </c>
    </row>
    <row r="229" spans="1:39" s="560" customFormat="1" ht="14.4" hidden="1" thickBot="1">
      <c r="A229" s="620" t="s">
        <v>835</v>
      </c>
      <c r="B229" s="621" t="s">
        <v>1231</v>
      </c>
      <c r="C229" s="628" t="s">
        <v>37</v>
      </c>
      <c r="D229" s="580"/>
      <c r="E229" s="581"/>
      <c r="F229" s="581"/>
      <c r="G229" s="778"/>
      <c r="H229" s="581"/>
      <c r="I229" s="582"/>
      <c r="J229" s="582"/>
      <c r="K229" s="582"/>
      <c r="L229" s="575"/>
      <c r="M229" s="575"/>
      <c r="N229" s="809"/>
      <c r="O229" s="575"/>
      <c r="P229" s="575"/>
      <c r="Q229" s="575"/>
      <c r="R229" s="575"/>
      <c r="S229" s="575"/>
      <c r="T229" s="575"/>
      <c r="U229" s="809"/>
      <c r="V229" s="575"/>
      <c r="W229" s="575"/>
      <c r="X229" s="575"/>
      <c r="Y229" s="575"/>
      <c r="Z229" s="575"/>
      <c r="AA229" s="575"/>
      <c r="AB229" s="809"/>
      <c r="AC229" s="575"/>
      <c r="AD229" s="575"/>
      <c r="AE229" s="575"/>
      <c r="AF229" s="817"/>
      <c r="AG229" s="575"/>
      <c r="AH229" s="575"/>
      <c r="AI229" s="738">
        <f t="shared" si="16"/>
        <v>0</v>
      </c>
      <c r="AJ229" s="582">
        <v>0</v>
      </c>
      <c r="AK229" s="581">
        <f t="shared" si="17"/>
        <v>0</v>
      </c>
      <c r="AL229" s="750" t="s">
        <v>1639</v>
      </c>
      <c r="AM229" s="743">
        <f t="shared" si="18"/>
        <v>80.02</v>
      </c>
    </row>
    <row r="230" spans="1:39" s="560" customFormat="1" ht="14.4" hidden="1" thickBot="1">
      <c r="A230" s="620" t="s">
        <v>836</v>
      </c>
      <c r="B230" s="621" t="s">
        <v>1232</v>
      </c>
      <c r="C230" s="628" t="s">
        <v>37</v>
      </c>
      <c r="D230" s="580"/>
      <c r="E230" s="581"/>
      <c r="F230" s="581"/>
      <c r="G230" s="778"/>
      <c r="H230" s="581"/>
      <c r="I230" s="582"/>
      <c r="J230" s="582"/>
      <c r="K230" s="582"/>
      <c r="L230" s="575"/>
      <c r="M230" s="575"/>
      <c r="N230" s="809"/>
      <c r="O230" s="575"/>
      <c r="P230" s="575"/>
      <c r="Q230" s="575"/>
      <c r="R230" s="575"/>
      <c r="S230" s="575"/>
      <c r="T230" s="575"/>
      <c r="U230" s="809"/>
      <c r="V230" s="575"/>
      <c r="W230" s="575"/>
      <c r="X230" s="575"/>
      <c r="Y230" s="575"/>
      <c r="Z230" s="575"/>
      <c r="AA230" s="575"/>
      <c r="AB230" s="809"/>
      <c r="AC230" s="575"/>
      <c r="AD230" s="575"/>
      <c r="AE230" s="575"/>
      <c r="AF230" s="817"/>
      <c r="AG230" s="575"/>
      <c r="AH230" s="575"/>
      <c r="AI230" s="738">
        <f t="shared" si="16"/>
        <v>0</v>
      </c>
      <c r="AJ230" s="582">
        <v>0</v>
      </c>
      <c r="AK230" s="581">
        <f t="shared" si="17"/>
        <v>0</v>
      </c>
      <c r="AL230" s="750" t="s">
        <v>1640</v>
      </c>
      <c r="AM230" s="743">
        <f t="shared" si="18"/>
        <v>245.52</v>
      </c>
    </row>
    <row r="231" spans="1:39" s="560" customFormat="1" ht="14.4" hidden="1" thickBot="1">
      <c r="A231" s="620" t="s">
        <v>464</v>
      </c>
      <c r="B231" s="621" t="s">
        <v>1233</v>
      </c>
      <c r="C231" s="628"/>
      <c r="D231" s="580"/>
      <c r="E231" s="581"/>
      <c r="F231" s="581"/>
      <c r="G231" s="778"/>
      <c r="H231" s="581"/>
      <c r="I231" s="582"/>
      <c r="J231" s="582"/>
      <c r="K231" s="582"/>
      <c r="L231" s="575"/>
      <c r="M231" s="575"/>
      <c r="N231" s="809"/>
      <c r="O231" s="575"/>
      <c r="P231" s="575"/>
      <c r="Q231" s="575"/>
      <c r="R231" s="575"/>
      <c r="S231" s="575"/>
      <c r="T231" s="575"/>
      <c r="U231" s="809"/>
      <c r="V231" s="575"/>
      <c r="W231" s="575"/>
      <c r="X231" s="575"/>
      <c r="Y231" s="575"/>
      <c r="Z231" s="575"/>
      <c r="AA231" s="575"/>
      <c r="AB231" s="809"/>
      <c r="AC231" s="575"/>
      <c r="AD231" s="575"/>
      <c r="AE231" s="575"/>
      <c r="AF231" s="817"/>
      <c r="AG231" s="575"/>
      <c r="AH231" s="575"/>
      <c r="AI231" s="738">
        <f t="shared" si="16"/>
        <v>0</v>
      </c>
      <c r="AJ231" s="582">
        <v>0</v>
      </c>
      <c r="AK231" s="581">
        <f t="shared" si="17"/>
        <v>0</v>
      </c>
      <c r="AL231" s="750"/>
      <c r="AM231" s="743">
        <f t="shared" si="18"/>
        <v>0</v>
      </c>
    </row>
    <row r="232" spans="1:39" s="560" customFormat="1" ht="14.4" hidden="1" thickBot="1">
      <c r="A232" s="620" t="s">
        <v>837</v>
      </c>
      <c r="B232" s="621" t="s">
        <v>1234</v>
      </c>
      <c r="C232" s="628" t="s">
        <v>36</v>
      </c>
      <c r="D232" s="580"/>
      <c r="E232" s="581"/>
      <c r="F232" s="581"/>
      <c r="G232" s="778"/>
      <c r="H232" s="581"/>
      <c r="I232" s="582"/>
      <c r="J232" s="582"/>
      <c r="K232" s="582"/>
      <c r="L232" s="575"/>
      <c r="M232" s="575"/>
      <c r="N232" s="809"/>
      <c r="O232" s="575"/>
      <c r="P232" s="575"/>
      <c r="Q232" s="575"/>
      <c r="R232" s="575"/>
      <c r="S232" s="575"/>
      <c r="T232" s="575"/>
      <c r="U232" s="809"/>
      <c r="V232" s="575"/>
      <c r="W232" s="575"/>
      <c r="X232" s="575"/>
      <c r="Y232" s="575"/>
      <c r="Z232" s="575"/>
      <c r="AA232" s="575"/>
      <c r="AB232" s="809"/>
      <c r="AC232" s="575"/>
      <c r="AD232" s="575"/>
      <c r="AE232" s="575"/>
      <c r="AF232" s="817"/>
      <c r="AG232" s="575"/>
      <c r="AH232" s="575"/>
      <c r="AI232" s="738">
        <f t="shared" si="16"/>
        <v>0</v>
      </c>
      <c r="AJ232" s="582">
        <v>0</v>
      </c>
      <c r="AK232" s="581">
        <f t="shared" si="17"/>
        <v>0</v>
      </c>
      <c r="AL232" s="750" t="s">
        <v>1641</v>
      </c>
      <c r="AM232" s="743">
        <f t="shared" si="18"/>
        <v>65.92</v>
      </c>
    </row>
    <row r="233" spans="1:39" s="560" customFormat="1" ht="14.4" hidden="1" thickBot="1">
      <c r="A233" s="620" t="s">
        <v>465</v>
      </c>
      <c r="B233" s="621" t="s">
        <v>1235</v>
      </c>
      <c r="C233" s="628"/>
      <c r="D233" s="580"/>
      <c r="E233" s="581"/>
      <c r="F233" s="581"/>
      <c r="G233" s="778"/>
      <c r="H233" s="581"/>
      <c r="I233" s="582"/>
      <c r="J233" s="582"/>
      <c r="K233" s="582"/>
      <c r="L233" s="575"/>
      <c r="M233" s="575"/>
      <c r="N233" s="809"/>
      <c r="O233" s="575"/>
      <c r="P233" s="575"/>
      <c r="Q233" s="575"/>
      <c r="R233" s="575"/>
      <c r="S233" s="575"/>
      <c r="T233" s="575"/>
      <c r="U233" s="809"/>
      <c r="V233" s="575"/>
      <c r="W233" s="575"/>
      <c r="X233" s="575"/>
      <c r="Y233" s="575"/>
      <c r="Z233" s="575"/>
      <c r="AA233" s="575"/>
      <c r="AB233" s="809"/>
      <c r="AC233" s="575"/>
      <c r="AD233" s="575"/>
      <c r="AE233" s="575"/>
      <c r="AF233" s="817"/>
      <c r="AG233" s="575"/>
      <c r="AH233" s="575"/>
      <c r="AI233" s="738">
        <f t="shared" si="16"/>
        <v>0</v>
      </c>
      <c r="AJ233" s="582">
        <v>0</v>
      </c>
      <c r="AK233" s="581">
        <f t="shared" si="17"/>
        <v>0</v>
      </c>
      <c r="AL233" s="750"/>
      <c r="AM233" s="743">
        <f t="shared" si="18"/>
        <v>0</v>
      </c>
    </row>
    <row r="234" spans="1:39" s="560" customFormat="1" ht="14.4" hidden="1" thickBot="1">
      <c r="A234" s="620" t="s">
        <v>838</v>
      </c>
      <c r="B234" s="621" t="s">
        <v>1236</v>
      </c>
      <c r="C234" s="628" t="s">
        <v>36</v>
      </c>
      <c r="D234" s="580"/>
      <c r="E234" s="581"/>
      <c r="F234" s="581"/>
      <c r="G234" s="778"/>
      <c r="H234" s="581"/>
      <c r="I234" s="582"/>
      <c r="J234" s="582"/>
      <c r="K234" s="582"/>
      <c r="L234" s="575"/>
      <c r="M234" s="575"/>
      <c r="N234" s="809"/>
      <c r="O234" s="575"/>
      <c r="P234" s="575"/>
      <c r="Q234" s="575"/>
      <c r="R234" s="575"/>
      <c r="S234" s="575"/>
      <c r="T234" s="575"/>
      <c r="U234" s="809"/>
      <c r="V234" s="575"/>
      <c r="W234" s="575"/>
      <c r="X234" s="575"/>
      <c r="Y234" s="575"/>
      <c r="Z234" s="575"/>
      <c r="AA234" s="575"/>
      <c r="AB234" s="809"/>
      <c r="AC234" s="575"/>
      <c r="AD234" s="575"/>
      <c r="AE234" s="575"/>
      <c r="AF234" s="817"/>
      <c r="AG234" s="575"/>
      <c r="AH234" s="575"/>
      <c r="AI234" s="738">
        <f t="shared" si="16"/>
        <v>0</v>
      </c>
      <c r="AJ234" s="582">
        <v>0</v>
      </c>
      <c r="AK234" s="581">
        <f t="shared" si="17"/>
        <v>0</v>
      </c>
      <c r="AL234" s="750" t="s">
        <v>1642</v>
      </c>
      <c r="AM234" s="743">
        <f t="shared" si="18"/>
        <v>57.88</v>
      </c>
    </row>
    <row r="235" spans="1:39" s="560" customFormat="1" ht="14.4" hidden="1" thickBot="1">
      <c r="A235" s="620" t="s">
        <v>839</v>
      </c>
      <c r="B235" s="621" t="s">
        <v>1271</v>
      </c>
      <c r="C235" s="628" t="s">
        <v>36</v>
      </c>
      <c r="D235" s="580"/>
      <c r="E235" s="581"/>
      <c r="F235" s="581"/>
      <c r="G235" s="778"/>
      <c r="H235" s="581"/>
      <c r="I235" s="582"/>
      <c r="J235" s="582"/>
      <c r="K235" s="582"/>
      <c r="L235" s="575"/>
      <c r="M235" s="575"/>
      <c r="N235" s="809"/>
      <c r="O235" s="575"/>
      <c r="P235" s="575"/>
      <c r="Q235" s="575"/>
      <c r="R235" s="575"/>
      <c r="S235" s="575"/>
      <c r="T235" s="575"/>
      <c r="U235" s="809"/>
      <c r="V235" s="575"/>
      <c r="W235" s="575"/>
      <c r="X235" s="575"/>
      <c r="Y235" s="575"/>
      <c r="Z235" s="575"/>
      <c r="AA235" s="575"/>
      <c r="AB235" s="809"/>
      <c r="AC235" s="575"/>
      <c r="AD235" s="575"/>
      <c r="AE235" s="575"/>
      <c r="AF235" s="817"/>
      <c r="AG235" s="575"/>
      <c r="AH235" s="575"/>
      <c r="AI235" s="738">
        <f t="shared" si="16"/>
        <v>0</v>
      </c>
      <c r="AJ235" s="582">
        <v>0</v>
      </c>
      <c r="AK235" s="581">
        <f t="shared" si="17"/>
        <v>0</v>
      </c>
      <c r="AL235" s="750" t="s">
        <v>1643</v>
      </c>
      <c r="AM235" s="743">
        <f t="shared" si="18"/>
        <v>40.200000000000003</v>
      </c>
    </row>
    <row r="236" spans="1:39" s="560" customFormat="1" ht="14.4" hidden="1" thickBot="1">
      <c r="A236" s="620" t="s">
        <v>840</v>
      </c>
      <c r="B236" s="621" t="s">
        <v>1237</v>
      </c>
      <c r="C236" s="628" t="s">
        <v>36</v>
      </c>
      <c r="D236" s="580"/>
      <c r="E236" s="581"/>
      <c r="F236" s="581"/>
      <c r="G236" s="778"/>
      <c r="H236" s="581"/>
      <c r="I236" s="582"/>
      <c r="J236" s="582"/>
      <c r="K236" s="582"/>
      <c r="L236" s="575"/>
      <c r="M236" s="575"/>
      <c r="N236" s="809"/>
      <c r="O236" s="575"/>
      <c r="P236" s="575"/>
      <c r="Q236" s="575"/>
      <c r="R236" s="575"/>
      <c r="S236" s="575"/>
      <c r="T236" s="575"/>
      <c r="U236" s="809"/>
      <c r="V236" s="575"/>
      <c r="W236" s="575"/>
      <c r="X236" s="575"/>
      <c r="Y236" s="575"/>
      <c r="Z236" s="575"/>
      <c r="AA236" s="575"/>
      <c r="AB236" s="809"/>
      <c r="AC236" s="575"/>
      <c r="AD236" s="575"/>
      <c r="AE236" s="575"/>
      <c r="AF236" s="817"/>
      <c r="AG236" s="575"/>
      <c r="AH236" s="575"/>
      <c r="AI236" s="738">
        <f t="shared" si="16"/>
        <v>0</v>
      </c>
      <c r="AJ236" s="582">
        <v>0</v>
      </c>
      <c r="AK236" s="581">
        <f t="shared" si="17"/>
        <v>0</v>
      </c>
      <c r="AL236" s="750" t="s">
        <v>1644</v>
      </c>
      <c r="AM236" s="743">
        <f t="shared" si="18"/>
        <v>5.72</v>
      </c>
    </row>
    <row r="237" spans="1:39" s="560" customFormat="1" ht="14.4" hidden="1" thickBot="1">
      <c r="A237" s="620" t="s">
        <v>841</v>
      </c>
      <c r="B237" s="621" t="s">
        <v>1238</v>
      </c>
      <c r="C237" s="628" t="s">
        <v>36</v>
      </c>
      <c r="D237" s="580"/>
      <c r="E237" s="581"/>
      <c r="F237" s="581"/>
      <c r="G237" s="778"/>
      <c r="H237" s="581"/>
      <c r="I237" s="582"/>
      <c r="J237" s="582"/>
      <c r="K237" s="582"/>
      <c r="L237" s="575"/>
      <c r="M237" s="575"/>
      <c r="N237" s="809"/>
      <c r="O237" s="575"/>
      <c r="P237" s="575"/>
      <c r="Q237" s="575"/>
      <c r="R237" s="575"/>
      <c r="S237" s="575"/>
      <c r="T237" s="575"/>
      <c r="U237" s="809"/>
      <c r="V237" s="575"/>
      <c r="W237" s="575"/>
      <c r="X237" s="575"/>
      <c r="Y237" s="575"/>
      <c r="Z237" s="575"/>
      <c r="AA237" s="575"/>
      <c r="AB237" s="809"/>
      <c r="AC237" s="575"/>
      <c r="AD237" s="575"/>
      <c r="AE237" s="575"/>
      <c r="AF237" s="817"/>
      <c r="AG237" s="575"/>
      <c r="AH237" s="575"/>
      <c r="AI237" s="738">
        <f t="shared" si="16"/>
        <v>0</v>
      </c>
      <c r="AJ237" s="582">
        <v>0</v>
      </c>
      <c r="AK237" s="581">
        <f t="shared" si="17"/>
        <v>0</v>
      </c>
      <c r="AL237" s="750" t="s">
        <v>1645</v>
      </c>
      <c r="AM237" s="743">
        <f t="shared" si="18"/>
        <v>11.96</v>
      </c>
    </row>
    <row r="238" spans="1:39" s="560" customFormat="1" ht="14.4" hidden="1" thickBot="1">
      <c r="A238" s="620" t="s">
        <v>466</v>
      </c>
      <c r="B238" s="621" t="s">
        <v>1242</v>
      </c>
      <c r="C238" s="628"/>
      <c r="D238" s="580"/>
      <c r="E238" s="581"/>
      <c r="F238" s="581"/>
      <c r="G238" s="778"/>
      <c r="H238" s="581"/>
      <c r="I238" s="582"/>
      <c r="J238" s="582"/>
      <c r="K238" s="582"/>
      <c r="L238" s="575"/>
      <c r="M238" s="575"/>
      <c r="N238" s="809"/>
      <c r="O238" s="575"/>
      <c r="P238" s="575"/>
      <c r="Q238" s="575"/>
      <c r="R238" s="575"/>
      <c r="S238" s="575"/>
      <c r="T238" s="575"/>
      <c r="U238" s="809"/>
      <c r="V238" s="575"/>
      <c r="W238" s="575"/>
      <c r="X238" s="575"/>
      <c r="Y238" s="575"/>
      <c r="Z238" s="575"/>
      <c r="AA238" s="575"/>
      <c r="AB238" s="809"/>
      <c r="AC238" s="575"/>
      <c r="AD238" s="575"/>
      <c r="AE238" s="575"/>
      <c r="AF238" s="817"/>
      <c r="AG238" s="575"/>
      <c r="AH238" s="575"/>
      <c r="AI238" s="738">
        <f t="shared" si="16"/>
        <v>0</v>
      </c>
      <c r="AJ238" s="582">
        <v>0</v>
      </c>
      <c r="AK238" s="581">
        <f t="shared" si="17"/>
        <v>0</v>
      </c>
      <c r="AL238" s="750"/>
      <c r="AM238" s="743">
        <f t="shared" si="18"/>
        <v>0</v>
      </c>
    </row>
    <row r="239" spans="1:39" s="560" customFormat="1" ht="14.4" hidden="1" thickBot="1">
      <c r="A239" s="620" t="s">
        <v>842</v>
      </c>
      <c r="B239" s="621" t="s">
        <v>1243</v>
      </c>
      <c r="C239" s="628" t="s">
        <v>36</v>
      </c>
      <c r="D239" s="580"/>
      <c r="E239" s="581"/>
      <c r="F239" s="581"/>
      <c r="G239" s="778"/>
      <c r="H239" s="581"/>
      <c r="I239" s="582"/>
      <c r="J239" s="582"/>
      <c r="K239" s="582"/>
      <c r="L239" s="575"/>
      <c r="M239" s="575"/>
      <c r="N239" s="809"/>
      <c r="O239" s="575"/>
      <c r="P239" s="575"/>
      <c r="Q239" s="575"/>
      <c r="R239" s="575"/>
      <c r="S239" s="575"/>
      <c r="T239" s="575"/>
      <c r="U239" s="809"/>
      <c r="V239" s="575"/>
      <c r="W239" s="575"/>
      <c r="X239" s="575"/>
      <c r="Y239" s="575"/>
      <c r="Z239" s="575"/>
      <c r="AA239" s="575"/>
      <c r="AB239" s="809"/>
      <c r="AC239" s="575"/>
      <c r="AD239" s="575"/>
      <c r="AE239" s="575"/>
      <c r="AF239" s="817"/>
      <c r="AG239" s="575"/>
      <c r="AH239" s="575"/>
      <c r="AI239" s="738">
        <f t="shared" si="16"/>
        <v>0</v>
      </c>
      <c r="AJ239" s="582">
        <v>0</v>
      </c>
      <c r="AK239" s="581">
        <f t="shared" si="17"/>
        <v>0</v>
      </c>
      <c r="AL239" s="750" t="s">
        <v>1646</v>
      </c>
      <c r="AM239" s="743">
        <f t="shared" si="18"/>
        <v>55.35</v>
      </c>
    </row>
    <row r="240" spans="1:39" s="560" customFormat="1" ht="14.4" hidden="1" thickBot="1">
      <c r="A240" s="620" t="s">
        <v>467</v>
      </c>
      <c r="B240" s="621" t="s">
        <v>1244</v>
      </c>
      <c r="C240" s="628"/>
      <c r="D240" s="580"/>
      <c r="E240" s="581"/>
      <c r="F240" s="581"/>
      <c r="G240" s="778"/>
      <c r="H240" s="581"/>
      <c r="I240" s="582"/>
      <c r="J240" s="582"/>
      <c r="K240" s="582"/>
      <c r="L240" s="575"/>
      <c r="M240" s="575"/>
      <c r="N240" s="809"/>
      <c r="O240" s="575"/>
      <c r="P240" s="575"/>
      <c r="Q240" s="575"/>
      <c r="R240" s="575"/>
      <c r="S240" s="575"/>
      <c r="T240" s="575"/>
      <c r="U240" s="809"/>
      <c r="V240" s="575"/>
      <c r="W240" s="575"/>
      <c r="X240" s="575"/>
      <c r="Y240" s="575"/>
      <c r="Z240" s="575"/>
      <c r="AA240" s="575"/>
      <c r="AB240" s="809"/>
      <c r="AC240" s="575"/>
      <c r="AD240" s="575"/>
      <c r="AE240" s="575"/>
      <c r="AF240" s="817"/>
      <c r="AG240" s="575"/>
      <c r="AH240" s="575"/>
      <c r="AI240" s="738">
        <f t="shared" si="16"/>
        <v>0</v>
      </c>
      <c r="AJ240" s="582">
        <v>0</v>
      </c>
      <c r="AK240" s="581">
        <f t="shared" si="17"/>
        <v>0</v>
      </c>
      <c r="AL240" s="750"/>
      <c r="AM240" s="743">
        <f t="shared" si="18"/>
        <v>0</v>
      </c>
    </row>
    <row r="241" spans="1:39" s="560" customFormat="1" ht="14.4" hidden="1" thickBot="1">
      <c r="A241" s="620" t="s">
        <v>843</v>
      </c>
      <c r="B241" s="621" t="s">
        <v>1245</v>
      </c>
      <c r="C241" s="628" t="s">
        <v>36</v>
      </c>
      <c r="D241" s="580"/>
      <c r="E241" s="581"/>
      <c r="F241" s="581"/>
      <c r="G241" s="778"/>
      <c r="H241" s="581"/>
      <c r="I241" s="582"/>
      <c r="J241" s="582"/>
      <c r="K241" s="582"/>
      <c r="L241" s="575"/>
      <c r="M241" s="575"/>
      <c r="N241" s="809"/>
      <c r="O241" s="575"/>
      <c r="P241" s="575"/>
      <c r="Q241" s="575"/>
      <c r="R241" s="575"/>
      <c r="S241" s="575"/>
      <c r="T241" s="575"/>
      <c r="U241" s="809"/>
      <c r="V241" s="575"/>
      <c r="W241" s="575"/>
      <c r="X241" s="575"/>
      <c r="Y241" s="575"/>
      <c r="Z241" s="575"/>
      <c r="AA241" s="575"/>
      <c r="AB241" s="809"/>
      <c r="AC241" s="575"/>
      <c r="AD241" s="575"/>
      <c r="AE241" s="575"/>
      <c r="AF241" s="817"/>
      <c r="AG241" s="575"/>
      <c r="AH241" s="575"/>
      <c r="AI241" s="738">
        <f t="shared" si="16"/>
        <v>0</v>
      </c>
      <c r="AJ241" s="582">
        <v>0</v>
      </c>
      <c r="AK241" s="581">
        <f t="shared" si="17"/>
        <v>0</v>
      </c>
      <c r="AL241" s="750" t="s">
        <v>1621</v>
      </c>
      <c r="AM241" s="743">
        <f t="shared" si="18"/>
        <v>15.8</v>
      </c>
    </row>
    <row r="242" spans="1:39" s="560" customFormat="1" ht="14.4" hidden="1" thickBot="1">
      <c r="A242" s="620" t="s">
        <v>844</v>
      </c>
      <c r="B242" s="621" t="s">
        <v>1272</v>
      </c>
      <c r="C242" s="628" t="s">
        <v>36</v>
      </c>
      <c r="D242" s="580"/>
      <c r="E242" s="581"/>
      <c r="F242" s="581"/>
      <c r="G242" s="778"/>
      <c r="H242" s="581"/>
      <c r="I242" s="582"/>
      <c r="J242" s="582"/>
      <c r="K242" s="582"/>
      <c r="L242" s="575"/>
      <c r="M242" s="575"/>
      <c r="N242" s="809"/>
      <c r="O242" s="575"/>
      <c r="P242" s="575"/>
      <c r="Q242" s="575"/>
      <c r="R242" s="575"/>
      <c r="S242" s="575"/>
      <c r="T242" s="575"/>
      <c r="U242" s="809"/>
      <c r="V242" s="575"/>
      <c r="W242" s="575"/>
      <c r="X242" s="575"/>
      <c r="Y242" s="575"/>
      <c r="Z242" s="575"/>
      <c r="AA242" s="575"/>
      <c r="AB242" s="809"/>
      <c r="AC242" s="575"/>
      <c r="AD242" s="575"/>
      <c r="AE242" s="575"/>
      <c r="AF242" s="817"/>
      <c r="AG242" s="575"/>
      <c r="AH242" s="575"/>
      <c r="AI242" s="738">
        <f t="shared" si="16"/>
        <v>0</v>
      </c>
      <c r="AJ242" s="582">
        <v>0</v>
      </c>
      <c r="AK242" s="581">
        <f t="shared" si="17"/>
        <v>0</v>
      </c>
      <c r="AL242" s="750" t="s">
        <v>1647</v>
      </c>
      <c r="AM242" s="743">
        <f t="shared" si="18"/>
        <v>29.4</v>
      </c>
    </row>
    <row r="243" spans="1:39" s="560" customFormat="1" ht="14.4" hidden="1" thickBot="1">
      <c r="A243" s="620" t="s">
        <v>845</v>
      </c>
      <c r="B243" s="621" t="s">
        <v>1247</v>
      </c>
      <c r="C243" s="628" t="s">
        <v>37</v>
      </c>
      <c r="D243" s="580"/>
      <c r="E243" s="581"/>
      <c r="F243" s="581"/>
      <c r="G243" s="778"/>
      <c r="H243" s="581"/>
      <c r="I243" s="582"/>
      <c r="J243" s="582"/>
      <c r="K243" s="582"/>
      <c r="L243" s="575"/>
      <c r="M243" s="575"/>
      <c r="N243" s="809"/>
      <c r="O243" s="575"/>
      <c r="P243" s="575"/>
      <c r="Q243" s="575"/>
      <c r="R243" s="575"/>
      <c r="S243" s="575"/>
      <c r="T243" s="575"/>
      <c r="U243" s="809"/>
      <c r="V243" s="575"/>
      <c r="W243" s="575"/>
      <c r="X243" s="575"/>
      <c r="Y243" s="575"/>
      <c r="Z243" s="575"/>
      <c r="AA243" s="575"/>
      <c r="AB243" s="809"/>
      <c r="AC243" s="575"/>
      <c r="AD243" s="575"/>
      <c r="AE243" s="575"/>
      <c r="AF243" s="817"/>
      <c r="AG243" s="575"/>
      <c r="AH243" s="575"/>
      <c r="AI243" s="738">
        <f t="shared" ref="AI243:AI306" si="19">ROUND((SUM(D243:L243)),2)</f>
        <v>0</v>
      </c>
      <c r="AJ243" s="582">
        <v>0</v>
      </c>
      <c r="AK243" s="581">
        <f t="shared" si="17"/>
        <v>0</v>
      </c>
      <c r="AL243" s="750" t="s">
        <v>1648</v>
      </c>
      <c r="AM243" s="743">
        <f t="shared" si="18"/>
        <v>9.6</v>
      </c>
    </row>
    <row r="244" spans="1:39" s="560" customFormat="1" ht="14.4" hidden="1" thickBot="1">
      <c r="A244" s="620" t="s">
        <v>846</v>
      </c>
      <c r="B244" s="621" t="s">
        <v>1273</v>
      </c>
      <c r="C244" s="628" t="s">
        <v>37</v>
      </c>
      <c r="D244" s="580"/>
      <c r="E244" s="581"/>
      <c r="F244" s="581"/>
      <c r="G244" s="778"/>
      <c r="H244" s="581"/>
      <c r="I244" s="582"/>
      <c r="J244" s="582"/>
      <c r="K244" s="582"/>
      <c r="L244" s="575"/>
      <c r="M244" s="575"/>
      <c r="N244" s="809"/>
      <c r="O244" s="575"/>
      <c r="P244" s="575"/>
      <c r="Q244" s="575"/>
      <c r="R244" s="575"/>
      <c r="S244" s="575"/>
      <c r="T244" s="575"/>
      <c r="U244" s="809"/>
      <c r="V244" s="575"/>
      <c r="W244" s="575"/>
      <c r="X244" s="575"/>
      <c r="Y244" s="575"/>
      <c r="Z244" s="575"/>
      <c r="AA244" s="575"/>
      <c r="AB244" s="809"/>
      <c r="AC244" s="575"/>
      <c r="AD244" s="575"/>
      <c r="AE244" s="575"/>
      <c r="AF244" s="817"/>
      <c r="AG244" s="575"/>
      <c r="AH244" s="575"/>
      <c r="AI244" s="738">
        <f t="shared" si="19"/>
        <v>0</v>
      </c>
      <c r="AJ244" s="582">
        <v>0</v>
      </c>
      <c r="AK244" s="581">
        <f t="shared" si="17"/>
        <v>0</v>
      </c>
      <c r="AL244" s="750" t="s">
        <v>1649</v>
      </c>
      <c r="AM244" s="743">
        <f t="shared" si="18"/>
        <v>23.08</v>
      </c>
    </row>
    <row r="245" spans="1:39" s="560" customFormat="1" ht="14.4" hidden="1" thickBot="1">
      <c r="A245" s="620" t="s">
        <v>468</v>
      </c>
      <c r="B245" s="621" t="s">
        <v>1184</v>
      </c>
      <c r="C245" s="628"/>
      <c r="D245" s="580"/>
      <c r="E245" s="581"/>
      <c r="F245" s="581"/>
      <c r="G245" s="778"/>
      <c r="H245" s="581"/>
      <c r="I245" s="582"/>
      <c r="J245" s="582"/>
      <c r="K245" s="582"/>
      <c r="L245" s="575"/>
      <c r="M245" s="575"/>
      <c r="N245" s="809"/>
      <c r="O245" s="575"/>
      <c r="P245" s="575"/>
      <c r="Q245" s="575"/>
      <c r="R245" s="575"/>
      <c r="S245" s="575"/>
      <c r="T245" s="575"/>
      <c r="U245" s="809"/>
      <c r="V245" s="575"/>
      <c r="W245" s="575"/>
      <c r="X245" s="575"/>
      <c r="Y245" s="575"/>
      <c r="Z245" s="575"/>
      <c r="AA245" s="575"/>
      <c r="AB245" s="809"/>
      <c r="AC245" s="575"/>
      <c r="AD245" s="575"/>
      <c r="AE245" s="575"/>
      <c r="AF245" s="817"/>
      <c r="AG245" s="575"/>
      <c r="AH245" s="575"/>
      <c r="AI245" s="738">
        <f t="shared" si="19"/>
        <v>0</v>
      </c>
      <c r="AJ245" s="582">
        <v>0</v>
      </c>
      <c r="AK245" s="581">
        <f t="shared" si="17"/>
        <v>0</v>
      </c>
      <c r="AL245" s="750"/>
      <c r="AM245" s="743">
        <f t="shared" si="18"/>
        <v>0</v>
      </c>
    </row>
    <row r="246" spans="1:39" s="560" customFormat="1" ht="14.4" hidden="1" thickBot="1">
      <c r="A246" s="620" t="s">
        <v>847</v>
      </c>
      <c r="B246" s="621" t="s">
        <v>1248</v>
      </c>
      <c r="C246" s="628" t="s">
        <v>36</v>
      </c>
      <c r="D246" s="580"/>
      <c r="E246" s="581"/>
      <c r="F246" s="581"/>
      <c r="G246" s="778"/>
      <c r="H246" s="581"/>
      <c r="I246" s="582"/>
      <c r="J246" s="582"/>
      <c r="K246" s="582"/>
      <c r="L246" s="575"/>
      <c r="M246" s="575"/>
      <c r="N246" s="809"/>
      <c r="O246" s="575"/>
      <c r="P246" s="575"/>
      <c r="Q246" s="575"/>
      <c r="R246" s="575"/>
      <c r="S246" s="575"/>
      <c r="T246" s="575"/>
      <c r="U246" s="809"/>
      <c r="V246" s="575"/>
      <c r="W246" s="575"/>
      <c r="X246" s="575"/>
      <c r="Y246" s="575"/>
      <c r="Z246" s="575"/>
      <c r="AA246" s="575"/>
      <c r="AB246" s="809"/>
      <c r="AC246" s="575"/>
      <c r="AD246" s="575"/>
      <c r="AE246" s="575"/>
      <c r="AF246" s="817"/>
      <c r="AG246" s="575"/>
      <c r="AH246" s="575"/>
      <c r="AI246" s="738">
        <f t="shared" si="19"/>
        <v>0</v>
      </c>
      <c r="AJ246" s="582">
        <v>0</v>
      </c>
      <c r="AK246" s="581">
        <f t="shared" si="17"/>
        <v>0</v>
      </c>
      <c r="AL246" s="750" t="s">
        <v>1650</v>
      </c>
      <c r="AM246" s="743">
        <f t="shared" si="18"/>
        <v>48.24</v>
      </c>
    </row>
    <row r="247" spans="1:39" s="560" customFormat="1" ht="14.4" hidden="1" thickBot="1">
      <c r="A247" s="620" t="s">
        <v>848</v>
      </c>
      <c r="B247" s="621" t="s">
        <v>1249</v>
      </c>
      <c r="C247" s="628" t="s">
        <v>37</v>
      </c>
      <c r="D247" s="580"/>
      <c r="E247" s="581"/>
      <c r="F247" s="581"/>
      <c r="G247" s="778"/>
      <c r="H247" s="581"/>
      <c r="I247" s="582"/>
      <c r="J247" s="582"/>
      <c r="K247" s="582"/>
      <c r="L247" s="575"/>
      <c r="M247" s="575"/>
      <c r="N247" s="809"/>
      <c r="O247" s="575"/>
      <c r="P247" s="575"/>
      <c r="Q247" s="575"/>
      <c r="R247" s="575"/>
      <c r="S247" s="575"/>
      <c r="T247" s="575"/>
      <c r="U247" s="809"/>
      <c r="V247" s="575"/>
      <c r="W247" s="575"/>
      <c r="X247" s="575"/>
      <c r="Y247" s="575"/>
      <c r="Z247" s="575"/>
      <c r="AA247" s="575"/>
      <c r="AB247" s="809"/>
      <c r="AC247" s="575"/>
      <c r="AD247" s="575"/>
      <c r="AE247" s="575"/>
      <c r="AF247" s="817"/>
      <c r="AG247" s="575"/>
      <c r="AH247" s="575"/>
      <c r="AI247" s="738">
        <f t="shared" si="19"/>
        <v>0</v>
      </c>
      <c r="AJ247" s="582">
        <v>0</v>
      </c>
      <c r="AK247" s="581">
        <f t="shared" si="17"/>
        <v>0</v>
      </c>
      <c r="AL247" s="750" t="s">
        <v>1651</v>
      </c>
      <c r="AM247" s="743">
        <f t="shared" si="18"/>
        <v>34.880000000000003</v>
      </c>
    </row>
    <row r="248" spans="1:39" s="560" customFormat="1" ht="14.4" hidden="1" thickBot="1">
      <c r="A248" s="620" t="s">
        <v>849</v>
      </c>
      <c r="B248" s="621" t="s">
        <v>1274</v>
      </c>
      <c r="C248" s="628" t="s">
        <v>36</v>
      </c>
      <c r="D248" s="580"/>
      <c r="E248" s="581"/>
      <c r="F248" s="581"/>
      <c r="G248" s="778"/>
      <c r="H248" s="581"/>
      <c r="I248" s="582"/>
      <c r="J248" s="582"/>
      <c r="K248" s="582"/>
      <c r="L248" s="575"/>
      <c r="M248" s="575"/>
      <c r="N248" s="809"/>
      <c r="O248" s="575"/>
      <c r="P248" s="575"/>
      <c r="Q248" s="575"/>
      <c r="R248" s="575"/>
      <c r="S248" s="575"/>
      <c r="T248" s="575"/>
      <c r="U248" s="809"/>
      <c r="V248" s="575"/>
      <c r="W248" s="575"/>
      <c r="X248" s="575"/>
      <c r="Y248" s="575"/>
      <c r="Z248" s="575"/>
      <c r="AA248" s="575"/>
      <c r="AB248" s="809"/>
      <c r="AC248" s="575"/>
      <c r="AD248" s="575"/>
      <c r="AE248" s="575"/>
      <c r="AF248" s="817"/>
      <c r="AG248" s="575"/>
      <c r="AH248" s="575"/>
      <c r="AI248" s="738">
        <f t="shared" si="19"/>
        <v>0</v>
      </c>
      <c r="AJ248" s="582">
        <v>0</v>
      </c>
      <c r="AK248" s="581">
        <f t="shared" si="17"/>
        <v>0</v>
      </c>
      <c r="AL248" s="750" t="s">
        <v>1652</v>
      </c>
      <c r="AM248" s="743">
        <f t="shared" si="18"/>
        <v>22.97</v>
      </c>
    </row>
    <row r="249" spans="1:39" s="560" customFormat="1" ht="14.4" hidden="1" thickBot="1">
      <c r="A249" s="620" t="s">
        <v>469</v>
      </c>
      <c r="B249" s="621" t="s">
        <v>1250</v>
      </c>
      <c r="C249" s="628"/>
      <c r="D249" s="580"/>
      <c r="E249" s="581"/>
      <c r="F249" s="581"/>
      <c r="G249" s="778"/>
      <c r="H249" s="581"/>
      <c r="I249" s="582"/>
      <c r="J249" s="582"/>
      <c r="K249" s="582"/>
      <c r="L249" s="575"/>
      <c r="M249" s="575"/>
      <c r="N249" s="809"/>
      <c r="O249" s="575"/>
      <c r="P249" s="575"/>
      <c r="Q249" s="575"/>
      <c r="R249" s="575"/>
      <c r="S249" s="575"/>
      <c r="T249" s="575"/>
      <c r="U249" s="809"/>
      <c r="V249" s="575"/>
      <c r="W249" s="575"/>
      <c r="X249" s="575"/>
      <c r="Y249" s="575"/>
      <c r="Z249" s="575"/>
      <c r="AA249" s="575"/>
      <c r="AB249" s="809"/>
      <c r="AC249" s="575"/>
      <c r="AD249" s="575"/>
      <c r="AE249" s="575"/>
      <c r="AF249" s="817"/>
      <c r="AG249" s="575"/>
      <c r="AH249" s="575"/>
      <c r="AI249" s="738">
        <f t="shared" si="19"/>
        <v>0</v>
      </c>
      <c r="AJ249" s="582">
        <v>0</v>
      </c>
      <c r="AK249" s="581">
        <f t="shared" si="17"/>
        <v>0</v>
      </c>
      <c r="AL249" s="750"/>
      <c r="AM249" s="743">
        <f t="shared" si="18"/>
        <v>0</v>
      </c>
    </row>
    <row r="250" spans="1:39" s="560" customFormat="1" ht="14.4" hidden="1" thickBot="1">
      <c r="A250" s="620" t="s">
        <v>850</v>
      </c>
      <c r="B250" s="621" t="s">
        <v>1275</v>
      </c>
      <c r="C250" s="628" t="s">
        <v>36</v>
      </c>
      <c r="D250" s="580"/>
      <c r="E250" s="581"/>
      <c r="F250" s="581"/>
      <c r="G250" s="778"/>
      <c r="H250" s="581"/>
      <c r="I250" s="582"/>
      <c r="J250" s="582"/>
      <c r="K250" s="582"/>
      <c r="L250" s="575"/>
      <c r="M250" s="575"/>
      <c r="N250" s="809"/>
      <c r="O250" s="575"/>
      <c r="P250" s="575"/>
      <c r="Q250" s="575"/>
      <c r="R250" s="575"/>
      <c r="S250" s="575"/>
      <c r="T250" s="575"/>
      <c r="U250" s="809"/>
      <c r="V250" s="575"/>
      <c r="W250" s="575"/>
      <c r="X250" s="575"/>
      <c r="Y250" s="575"/>
      <c r="Z250" s="575"/>
      <c r="AA250" s="575"/>
      <c r="AB250" s="809"/>
      <c r="AC250" s="575"/>
      <c r="AD250" s="575"/>
      <c r="AE250" s="575"/>
      <c r="AF250" s="817"/>
      <c r="AG250" s="575"/>
      <c r="AH250" s="575"/>
      <c r="AI250" s="738">
        <f t="shared" si="19"/>
        <v>0</v>
      </c>
      <c r="AJ250" s="582">
        <v>0</v>
      </c>
      <c r="AK250" s="581">
        <f t="shared" si="17"/>
        <v>0</v>
      </c>
      <c r="AL250" s="750" t="s">
        <v>1653</v>
      </c>
      <c r="AM250" s="743">
        <f t="shared" si="18"/>
        <v>5.88</v>
      </c>
    </row>
    <row r="251" spans="1:39" s="560" customFormat="1" ht="14.4" hidden="1" thickBot="1">
      <c r="A251" s="620" t="s">
        <v>851</v>
      </c>
      <c r="B251" s="621" t="s">
        <v>1276</v>
      </c>
      <c r="C251" s="628" t="s">
        <v>36</v>
      </c>
      <c r="D251" s="580"/>
      <c r="E251" s="581"/>
      <c r="F251" s="581"/>
      <c r="G251" s="778"/>
      <c r="H251" s="581"/>
      <c r="I251" s="582"/>
      <c r="J251" s="582"/>
      <c r="K251" s="582"/>
      <c r="L251" s="575"/>
      <c r="M251" s="575"/>
      <c r="N251" s="809"/>
      <c r="O251" s="575"/>
      <c r="P251" s="575"/>
      <c r="Q251" s="575"/>
      <c r="R251" s="575"/>
      <c r="S251" s="575"/>
      <c r="T251" s="575"/>
      <c r="U251" s="809"/>
      <c r="V251" s="575"/>
      <c r="W251" s="575"/>
      <c r="X251" s="575"/>
      <c r="Y251" s="575"/>
      <c r="Z251" s="575"/>
      <c r="AA251" s="575"/>
      <c r="AB251" s="809"/>
      <c r="AC251" s="575"/>
      <c r="AD251" s="575"/>
      <c r="AE251" s="575"/>
      <c r="AF251" s="817"/>
      <c r="AG251" s="575"/>
      <c r="AH251" s="575"/>
      <c r="AI251" s="738">
        <f t="shared" si="19"/>
        <v>0</v>
      </c>
      <c r="AJ251" s="582">
        <v>0</v>
      </c>
      <c r="AK251" s="581">
        <f t="shared" si="17"/>
        <v>0</v>
      </c>
      <c r="AL251" s="750" t="s">
        <v>1654</v>
      </c>
      <c r="AM251" s="743">
        <f t="shared" si="18"/>
        <v>1.68</v>
      </c>
    </row>
    <row r="252" spans="1:39" s="560" customFormat="1" ht="14.4" hidden="1" thickBot="1">
      <c r="A252" s="620" t="s">
        <v>852</v>
      </c>
      <c r="B252" s="621" t="s">
        <v>1277</v>
      </c>
      <c r="C252" s="628"/>
      <c r="D252" s="580"/>
      <c r="E252" s="581"/>
      <c r="F252" s="581"/>
      <c r="G252" s="778"/>
      <c r="H252" s="581"/>
      <c r="I252" s="582"/>
      <c r="J252" s="582"/>
      <c r="K252" s="582"/>
      <c r="L252" s="575"/>
      <c r="M252" s="575"/>
      <c r="N252" s="809"/>
      <c r="O252" s="575"/>
      <c r="P252" s="575"/>
      <c r="Q252" s="575"/>
      <c r="R252" s="575"/>
      <c r="S252" s="575"/>
      <c r="T252" s="575"/>
      <c r="U252" s="809"/>
      <c r="V252" s="575"/>
      <c r="W252" s="575"/>
      <c r="X252" s="575"/>
      <c r="Y252" s="575"/>
      <c r="Z252" s="575"/>
      <c r="AA252" s="575"/>
      <c r="AB252" s="809"/>
      <c r="AC252" s="575"/>
      <c r="AD252" s="575"/>
      <c r="AE252" s="575"/>
      <c r="AF252" s="817"/>
      <c r="AG252" s="575"/>
      <c r="AH252" s="575"/>
      <c r="AI252" s="738">
        <f t="shared" si="19"/>
        <v>0</v>
      </c>
      <c r="AJ252" s="582">
        <v>0</v>
      </c>
      <c r="AK252" s="581">
        <f t="shared" si="17"/>
        <v>0</v>
      </c>
      <c r="AL252" s="750"/>
      <c r="AM252" s="743">
        <f t="shared" si="18"/>
        <v>0</v>
      </c>
    </row>
    <row r="253" spans="1:39" s="560" customFormat="1" ht="14.4" hidden="1" thickBot="1">
      <c r="A253" s="620" t="s">
        <v>853</v>
      </c>
      <c r="B253" s="621" t="s">
        <v>1278</v>
      </c>
      <c r="C253" s="628" t="s">
        <v>36</v>
      </c>
      <c r="D253" s="580"/>
      <c r="E253" s="581"/>
      <c r="F253" s="581"/>
      <c r="G253" s="778"/>
      <c r="H253" s="581"/>
      <c r="I253" s="582"/>
      <c r="J253" s="582"/>
      <c r="K253" s="582"/>
      <c r="L253" s="575"/>
      <c r="M253" s="575"/>
      <c r="N253" s="809"/>
      <c r="O253" s="575"/>
      <c r="P253" s="575"/>
      <c r="Q253" s="575"/>
      <c r="R253" s="575"/>
      <c r="S253" s="575"/>
      <c r="T253" s="575"/>
      <c r="U253" s="809"/>
      <c r="V253" s="575"/>
      <c r="W253" s="575"/>
      <c r="X253" s="575"/>
      <c r="Y253" s="575"/>
      <c r="Z253" s="575"/>
      <c r="AA253" s="575"/>
      <c r="AB253" s="809"/>
      <c r="AC253" s="575"/>
      <c r="AD253" s="575"/>
      <c r="AE253" s="575"/>
      <c r="AF253" s="817"/>
      <c r="AG253" s="575"/>
      <c r="AH253" s="575"/>
      <c r="AI253" s="738">
        <f t="shared" si="19"/>
        <v>0</v>
      </c>
      <c r="AJ253" s="582">
        <v>0</v>
      </c>
      <c r="AK253" s="581">
        <f t="shared" si="17"/>
        <v>0</v>
      </c>
      <c r="AL253" s="750" t="s">
        <v>1655</v>
      </c>
      <c r="AM253" s="743">
        <f t="shared" si="18"/>
        <v>9.24</v>
      </c>
    </row>
    <row r="254" spans="1:39" s="560" customFormat="1" ht="14.4" hidden="1" thickBot="1">
      <c r="A254" s="620" t="s">
        <v>854</v>
      </c>
      <c r="B254" s="621" t="s">
        <v>1252</v>
      </c>
      <c r="C254" s="628"/>
      <c r="D254" s="580"/>
      <c r="E254" s="581"/>
      <c r="F254" s="581"/>
      <c r="G254" s="778"/>
      <c r="H254" s="581"/>
      <c r="I254" s="582"/>
      <c r="J254" s="582"/>
      <c r="K254" s="582"/>
      <c r="L254" s="575"/>
      <c r="M254" s="575"/>
      <c r="N254" s="809"/>
      <c r="O254" s="575"/>
      <c r="P254" s="575"/>
      <c r="Q254" s="575"/>
      <c r="R254" s="575"/>
      <c r="S254" s="575"/>
      <c r="T254" s="575"/>
      <c r="U254" s="809"/>
      <c r="V254" s="575"/>
      <c r="W254" s="575"/>
      <c r="X254" s="575"/>
      <c r="Y254" s="575"/>
      <c r="Z254" s="575"/>
      <c r="AA254" s="575"/>
      <c r="AB254" s="809"/>
      <c r="AC254" s="575"/>
      <c r="AD254" s="575"/>
      <c r="AE254" s="575"/>
      <c r="AF254" s="817"/>
      <c r="AG254" s="575"/>
      <c r="AH254" s="575"/>
      <c r="AI254" s="738">
        <f t="shared" si="19"/>
        <v>0</v>
      </c>
      <c r="AJ254" s="582">
        <v>0</v>
      </c>
      <c r="AK254" s="581">
        <f t="shared" si="17"/>
        <v>0</v>
      </c>
      <c r="AL254" s="750"/>
      <c r="AM254" s="743">
        <f t="shared" si="18"/>
        <v>0</v>
      </c>
    </row>
    <row r="255" spans="1:39" s="560" customFormat="1" ht="14.4" hidden="1" thickBot="1">
      <c r="A255" s="620" t="s">
        <v>855</v>
      </c>
      <c r="B255" s="621" t="s">
        <v>1253</v>
      </c>
      <c r="C255" s="628" t="s">
        <v>1437</v>
      </c>
      <c r="D255" s="580"/>
      <c r="E255" s="581"/>
      <c r="F255" s="581"/>
      <c r="G255" s="778"/>
      <c r="H255" s="581"/>
      <c r="I255" s="582"/>
      <c r="J255" s="582"/>
      <c r="K255" s="582"/>
      <c r="L255" s="575"/>
      <c r="M255" s="575"/>
      <c r="N255" s="809"/>
      <c r="O255" s="575"/>
      <c r="P255" s="575"/>
      <c r="Q255" s="575"/>
      <c r="R255" s="575"/>
      <c r="S255" s="575"/>
      <c r="T255" s="575"/>
      <c r="U255" s="809"/>
      <c r="V255" s="575"/>
      <c r="W255" s="575"/>
      <c r="X255" s="575"/>
      <c r="Y255" s="575"/>
      <c r="Z255" s="575"/>
      <c r="AA255" s="575"/>
      <c r="AB255" s="809"/>
      <c r="AC255" s="575"/>
      <c r="AD255" s="575"/>
      <c r="AE255" s="575"/>
      <c r="AF255" s="817"/>
      <c r="AG255" s="575"/>
      <c r="AH255" s="575"/>
      <c r="AI255" s="738">
        <f t="shared" si="19"/>
        <v>0</v>
      </c>
      <c r="AJ255" s="582">
        <v>0</v>
      </c>
      <c r="AK255" s="581">
        <f t="shared" si="17"/>
        <v>0</v>
      </c>
      <c r="AL255" s="750" t="s">
        <v>1656</v>
      </c>
      <c r="AM255" s="743">
        <f t="shared" si="18"/>
        <v>20</v>
      </c>
    </row>
    <row r="256" spans="1:39" s="560" customFormat="1" ht="14.4" hidden="1" thickBot="1">
      <c r="A256" s="620" t="s">
        <v>856</v>
      </c>
      <c r="B256" s="621" t="s">
        <v>1254</v>
      </c>
      <c r="C256" s="628" t="s">
        <v>35</v>
      </c>
      <c r="D256" s="580"/>
      <c r="E256" s="581"/>
      <c r="F256" s="581"/>
      <c r="G256" s="778"/>
      <c r="H256" s="581"/>
      <c r="I256" s="582"/>
      <c r="J256" s="582"/>
      <c r="K256" s="582"/>
      <c r="L256" s="575"/>
      <c r="M256" s="575"/>
      <c r="N256" s="809"/>
      <c r="O256" s="575"/>
      <c r="P256" s="575"/>
      <c r="Q256" s="575"/>
      <c r="R256" s="575"/>
      <c r="S256" s="575"/>
      <c r="T256" s="575"/>
      <c r="U256" s="809"/>
      <c r="V256" s="575"/>
      <c r="W256" s="575"/>
      <c r="X256" s="575"/>
      <c r="Y256" s="575"/>
      <c r="Z256" s="575"/>
      <c r="AA256" s="575"/>
      <c r="AB256" s="809"/>
      <c r="AC256" s="575"/>
      <c r="AD256" s="575"/>
      <c r="AE256" s="575"/>
      <c r="AF256" s="817"/>
      <c r="AG256" s="575"/>
      <c r="AH256" s="575"/>
      <c r="AI256" s="738">
        <f t="shared" si="19"/>
        <v>0</v>
      </c>
      <c r="AJ256" s="582">
        <v>0</v>
      </c>
      <c r="AK256" s="581">
        <f t="shared" si="17"/>
        <v>0</v>
      </c>
      <c r="AL256" s="750" t="s">
        <v>1657</v>
      </c>
      <c r="AM256" s="743">
        <f t="shared" si="18"/>
        <v>4</v>
      </c>
    </row>
    <row r="257" spans="1:39" s="560" customFormat="1" ht="14.4" hidden="1" thickBot="1">
      <c r="A257" s="620" t="s">
        <v>857</v>
      </c>
      <c r="B257" s="621" t="s">
        <v>1279</v>
      </c>
      <c r="C257" s="628" t="s">
        <v>1437</v>
      </c>
      <c r="D257" s="580"/>
      <c r="E257" s="581"/>
      <c r="F257" s="581"/>
      <c r="G257" s="778"/>
      <c r="H257" s="581"/>
      <c r="I257" s="582"/>
      <c r="J257" s="582"/>
      <c r="K257" s="582"/>
      <c r="L257" s="575"/>
      <c r="M257" s="575"/>
      <c r="N257" s="809"/>
      <c r="O257" s="575"/>
      <c r="P257" s="575"/>
      <c r="Q257" s="575"/>
      <c r="R257" s="575"/>
      <c r="S257" s="575"/>
      <c r="T257" s="575"/>
      <c r="U257" s="809"/>
      <c r="V257" s="575"/>
      <c r="W257" s="575"/>
      <c r="X257" s="575"/>
      <c r="Y257" s="575"/>
      <c r="Z257" s="575"/>
      <c r="AA257" s="575"/>
      <c r="AB257" s="809"/>
      <c r="AC257" s="575"/>
      <c r="AD257" s="575"/>
      <c r="AE257" s="575"/>
      <c r="AF257" s="817"/>
      <c r="AG257" s="575"/>
      <c r="AH257" s="575"/>
      <c r="AI257" s="738">
        <f t="shared" si="19"/>
        <v>0</v>
      </c>
      <c r="AJ257" s="582">
        <v>0</v>
      </c>
      <c r="AK257" s="581">
        <f t="shared" si="17"/>
        <v>0</v>
      </c>
      <c r="AL257" s="750" t="s">
        <v>1657</v>
      </c>
      <c r="AM257" s="743">
        <f t="shared" si="18"/>
        <v>4</v>
      </c>
    </row>
    <row r="258" spans="1:39" s="560" customFormat="1" ht="14.4" hidden="1" thickBot="1">
      <c r="A258" s="620" t="s">
        <v>858</v>
      </c>
      <c r="B258" s="621" t="s">
        <v>1255</v>
      </c>
      <c r="C258" s="628"/>
      <c r="D258" s="580"/>
      <c r="E258" s="581"/>
      <c r="F258" s="581"/>
      <c r="G258" s="778"/>
      <c r="H258" s="581"/>
      <c r="I258" s="582"/>
      <c r="J258" s="582"/>
      <c r="K258" s="582"/>
      <c r="L258" s="575"/>
      <c r="M258" s="575"/>
      <c r="N258" s="809"/>
      <c r="O258" s="575"/>
      <c r="P258" s="575"/>
      <c r="Q258" s="575"/>
      <c r="R258" s="575"/>
      <c r="S258" s="575"/>
      <c r="T258" s="575"/>
      <c r="U258" s="809"/>
      <c r="V258" s="575"/>
      <c r="W258" s="575"/>
      <c r="X258" s="575"/>
      <c r="Y258" s="575"/>
      <c r="Z258" s="575"/>
      <c r="AA258" s="575"/>
      <c r="AB258" s="809"/>
      <c r="AC258" s="575"/>
      <c r="AD258" s="575"/>
      <c r="AE258" s="575"/>
      <c r="AF258" s="817"/>
      <c r="AG258" s="575"/>
      <c r="AH258" s="575"/>
      <c r="AI258" s="738">
        <f t="shared" si="19"/>
        <v>0</v>
      </c>
      <c r="AJ258" s="582">
        <v>0</v>
      </c>
      <c r="AK258" s="581">
        <f t="shared" si="17"/>
        <v>0</v>
      </c>
      <c r="AL258" s="750"/>
      <c r="AM258" s="743">
        <f t="shared" si="18"/>
        <v>0</v>
      </c>
    </row>
    <row r="259" spans="1:39" s="560" customFormat="1" ht="14.4" hidden="1" thickBot="1">
      <c r="A259" s="620" t="s">
        <v>859</v>
      </c>
      <c r="B259" s="621" t="s">
        <v>1256</v>
      </c>
      <c r="C259" s="628" t="s">
        <v>36</v>
      </c>
      <c r="D259" s="580"/>
      <c r="E259" s="581"/>
      <c r="F259" s="581"/>
      <c r="G259" s="778"/>
      <c r="H259" s="581"/>
      <c r="I259" s="582"/>
      <c r="J259" s="582"/>
      <c r="K259" s="582"/>
      <c r="L259" s="575"/>
      <c r="M259" s="575"/>
      <c r="N259" s="809"/>
      <c r="O259" s="575"/>
      <c r="P259" s="575"/>
      <c r="Q259" s="575"/>
      <c r="R259" s="575"/>
      <c r="S259" s="575"/>
      <c r="T259" s="575"/>
      <c r="U259" s="809"/>
      <c r="V259" s="575"/>
      <c r="W259" s="575"/>
      <c r="X259" s="575"/>
      <c r="Y259" s="575"/>
      <c r="Z259" s="575"/>
      <c r="AA259" s="575"/>
      <c r="AB259" s="809"/>
      <c r="AC259" s="575"/>
      <c r="AD259" s="575"/>
      <c r="AE259" s="575"/>
      <c r="AF259" s="817"/>
      <c r="AG259" s="575"/>
      <c r="AH259" s="575"/>
      <c r="AI259" s="738">
        <f t="shared" si="19"/>
        <v>0</v>
      </c>
      <c r="AJ259" s="582">
        <v>0</v>
      </c>
      <c r="AK259" s="581">
        <f t="shared" si="17"/>
        <v>0</v>
      </c>
      <c r="AL259" s="750" t="s">
        <v>1658</v>
      </c>
      <c r="AM259" s="743">
        <f t="shared" si="18"/>
        <v>18.09</v>
      </c>
    </row>
    <row r="260" spans="1:39" s="560" customFormat="1" ht="14.4" hidden="1" thickBot="1">
      <c r="A260" s="620" t="s">
        <v>860</v>
      </c>
      <c r="B260" s="621" t="s">
        <v>1257</v>
      </c>
      <c r="C260" s="628" t="s">
        <v>36</v>
      </c>
      <c r="D260" s="580"/>
      <c r="E260" s="581"/>
      <c r="F260" s="581"/>
      <c r="G260" s="778"/>
      <c r="H260" s="581"/>
      <c r="I260" s="582"/>
      <c r="J260" s="582"/>
      <c r="K260" s="582"/>
      <c r="L260" s="575"/>
      <c r="M260" s="575"/>
      <c r="N260" s="809"/>
      <c r="O260" s="575"/>
      <c r="P260" s="575"/>
      <c r="Q260" s="575"/>
      <c r="R260" s="575"/>
      <c r="S260" s="575"/>
      <c r="T260" s="575"/>
      <c r="U260" s="809"/>
      <c r="V260" s="575"/>
      <c r="W260" s="575"/>
      <c r="X260" s="575"/>
      <c r="Y260" s="575"/>
      <c r="Z260" s="575"/>
      <c r="AA260" s="575"/>
      <c r="AB260" s="809"/>
      <c r="AC260" s="575"/>
      <c r="AD260" s="575"/>
      <c r="AE260" s="575"/>
      <c r="AF260" s="817"/>
      <c r="AG260" s="575"/>
      <c r="AH260" s="575"/>
      <c r="AI260" s="738">
        <f t="shared" si="19"/>
        <v>0</v>
      </c>
      <c r="AJ260" s="582">
        <v>0</v>
      </c>
      <c r="AK260" s="581">
        <f t="shared" si="17"/>
        <v>0</v>
      </c>
      <c r="AL260" s="750" t="s">
        <v>1659</v>
      </c>
      <c r="AM260" s="743">
        <f t="shared" si="18"/>
        <v>1.75</v>
      </c>
    </row>
    <row r="261" spans="1:39" s="560" customFormat="1" ht="14.4" hidden="1" thickBot="1">
      <c r="A261" s="620" t="s">
        <v>861</v>
      </c>
      <c r="B261" s="621" t="s">
        <v>1258</v>
      </c>
      <c r="C261" s="628"/>
      <c r="D261" s="580"/>
      <c r="E261" s="581"/>
      <c r="F261" s="581"/>
      <c r="G261" s="778"/>
      <c r="H261" s="581"/>
      <c r="I261" s="582"/>
      <c r="J261" s="582"/>
      <c r="K261" s="582"/>
      <c r="L261" s="575"/>
      <c r="M261" s="575"/>
      <c r="N261" s="809"/>
      <c r="O261" s="575"/>
      <c r="P261" s="575"/>
      <c r="Q261" s="575"/>
      <c r="R261" s="575"/>
      <c r="S261" s="575"/>
      <c r="T261" s="575"/>
      <c r="U261" s="809"/>
      <c r="V261" s="575"/>
      <c r="W261" s="575"/>
      <c r="X261" s="575"/>
      <c r="Y261" s="575"/>
      <c r="Z261" s="575"/>
      <c r="AA261" s="575"/>
      <c r="AB261" s="809"/>
      <c r="AC261" s="575"/>
      <c r="AD261" s="575"/>
      <c r="AE261" s="575"/>
      <c r="AF261" s="817"/>
      <c r="AG261" s="575"/>
      <c r="AH261" s="575"/>
      <c r="AI261" s="738">
        <f t="shared" si="19"/>
        <v>0</v>
      </c>
      <c r="AJ261" s="582">
        <v>0</v>
      </c>
      <c r="AK261" s="581">
        <f t="shared" si="17"/>
        <v>0</v>
      </c>
      <c r="AL261" s="750"/>
      <c r="AM261" s="743">
        <f t="shared" si="18"/>
        <v>0</v>
      </c>
    </row>
    <row r="262" spans="1:39" s="560" customFormat="1" ht="14.4" hidden="1" thickBot="1">
      <c r="A262" s="620" t="s">
        <v>862</v>
      </c>
      <c r="B262" s="621" t="s">
        <v>1259</v>
      </c>
      <c r="C262" s="628" t="s">
        <v>36</v>
      </c>
      <c r="D262" s="580"/>
      <c r="E262" s="581"/>
      <c r="F262" s="581"/>
      <c r="G262" s="778"/>
      <c r="H262" s="581"/>
      <c r="I262" s="582"/>
      <c r="J262" s="582"/>
      <c r="K262" s="582"/>
      <c r="L262" s="575"/>
      <c r="M262" s="575"/>
      <c r="N262" s="809"/>
      <c r="O262" s="575"/>
      <c r="P262" s="575"/>
      <c r="Q262" s="575"/>
      <c r="R262" s="575"/>
      <c r="S262" s="575"/>
      <c r="T262" s="575"/>
      <c r="U262" s="809"/>
      <c r="V262" s="575"/>
      <c r="W262" s="575"/>
      <c r="X262" s="575"/>
      <c r="Y262" s="575"/>
      <c r="Z262" s="575"/>
      <c r="AA262" s="575"/>
      <c r="AB262" s="809"/>
      <c r="AC262" s="575"/>
      <c r="AD262" s="575"/>
      <c r="AE262" s="575"/>
      <c r="AF262" s="817"/>
      <c r="AG262" s="575"/>
      <c r="AH262" s="575"/>
      <c r="AI262" s="738">
        <f t="shared" si="19"/>
        <v>0</v>
      </c>
      <c r="AJ262" s="582">
        <v>0</v>
      </c>
      <c r="AK262" s="581">
        <f t="shared" si="17"/>
        <v>0</v>
      </c>
      <c r="AL262" s="750" t="s">
        <v>1641</v>
      </c>
      <c r="AM262" s="743">
        <f t="shared" si="18"/>
        <v>65.92</v>
      </c>
    </row>
    <row r="263" spans="1:39" s="560" customFormat="1" ht="14.4" hidden="1" thickBot="1">
      <c r="A263" s="620" t="s">
        <v>863</v>
      </c>
      <c r="B263" s="621" t="s">
        <v>1260</v>
      </c>
      <c r="C263" s="628" t="s">
        <v>36</v>
      </c>
      <c r="D263" s="580"/>
      <c r="E263" s="581"/>
      <c r="F263" s="581"/>
      <c r="G263" s="778"/>
      <c r="H263" s="581"/>
      <c r="I263" s="582"/>
      <c r="J263" s="582"/>
      <c r="K263" s="582"/>
      <c r="L263" s="575"/>
      <c r="M263" s="575"/>
      <c r="N263" s="809"/>
      <c r="O263" s="575"/>
      <c r="P263" s="575"/>
      <c r="Q263" s="575"/>
      <c r="R263" s="575"/>
      <c r="S263" s="575"/>
      <c r="T263" s="575"/>
      <c r="U263" s="809"/>
      <c r="V263" s="575"/>
      <c r="W263" s="575"/>
      <c r="X263" s="575"/>
      <c r="Y263" s="575"/>
      <c r="Z263" s="575"/>
      <c r="AA263" s="575"/>
      <c r="AB263" s="809"/>
      <c r="AC263" s="575"/>
      <c r="AD263" s="575"/>
      <c r="AE263" s="575"/>
      <c r="AF263" s="817"/>
      <c r="AG263" s="575"/>
      <c r="AH263" s="575"/>
      <c r="AI263" s="738">
        <f t="shared" si="19"/>
        <v>0</v>
      </c>
      <c r="AJ263" s="582">
        <v>0</v>
      </c>
      <c r="AK263" s="581">
        <f t="shared" si="17"/>
        <v>0</v>
      </c>
      <c r="AL263" s="750" t="s">
        <v>1634</v>
      </c>
      <c r="AM263" s="743">
        <f t="shared" si="18"/>
        <v>99.99</v>
      </c>
    </row>
    <row r="264" spans="1:39" s="560" customFormat="1" ht="14.4" hidden="1" thickBot="1">
      <c r="A264" s="620" t="s">
        <v>864</v>
      </c>
      <c r="B264" s="621" t="s">
        <v>1261</v>
      </c>
      <c r="C264" s="628" t="s">
        <v>36</v>
      </c>
      <c r="D264" s="580"/>
      <c r="E264" s="581"/>
      <c r="F264" s="581"/>
      <c r="G264" s="778"/>
      <c r="H264" s="581"/>
      <c r="I264" s="582"/>
      <c r="J264" s="582"/>
      <c r="K264" s="582"/>
      <c r="L264" s="575"/>
      <c r="M264" s="575"/>
      <c r="N264" s="809"/>
      <c r="O264" s="575"/>
      <c r="P264" s="575"/>
      <c r="Q264" s="575"/>
      <c r="R264" s="575"/>
      <c r="S264" s="575"/>
      <c r="T264" s="575"/>
      <c r="U264" s="809"/>
      <c r="V264" s="575"/>
      <c r="W264" s="575"/>
      <c r="X264" s="575"/>
      <c r="Y264" s="575"/>
      <c r="Z264" s="575"/>
      <c r="AA264" s="575"/>
      <c r="AB264" s="809"/>
      <c r="AC264" s="575"/>
      <c r="AD264" s="575"/>
      <c r="AE264" s="575"/>
      <c r="AF264" s="817"/>
      <c r="AG264" s="575"/>
      <c r="AH264" s="575"/>
      <c r="AI264" s="738">
        <f t="shared" si="19"/>
        <v>0</v>
      </c>
      <c r="AJ264" s="582">
        <v>0</v>
      </c>
      <c r="AK264" s="581">
        <f t="shared" si="17"/>
        <v>0</v>
      </c>
      <c r="AL264" s="750" t="s">
        <v>1635</v>
      </c>
      <c r="AM264" s="743">
        <f t="shared" si="18"/>
        <v>60.07</v>
      </c>
    </row>
    <row r="265" spans="1:39" s="560" customFormat="1" ht="14.4" hidden="1" thickBot="1">
      <c r="A265" s="620" t="s">
        <v>865</v>
      </c>
      <c r="B265" s="621" t="s">
        <v>1262</v>
      </c>
      <c r="C265" s="628" t="s">
        <v>36</v>
      </c>
      <c r="D265" s="580"/>
      <c r="E265" s="581"/>
      <c r="F265" s="581"/>
      <c r="G265" s="778"/>
      <c r="H265" s="581"/>
      <c r="I265" s="582"/>
      <c r="J265" s="582"/>
      <c r="K265" s="582"/>
      <c r="L265" s="575"/>
      <c r="M265" s="575"/>
      <c r="N265" s="809"/>
      <c r="O265" s="575"/>
      <c r="P265" s="575"/>
      <c r="Q265" s="575"/>
      <c r="R265" s="575"/>
      <c r="S265" s="575"/>
      <c r="T265" s="575"/>
      <c r="U265" s="809"/>
      <c r="V265" s="575"/>
      <c r="W265" s="575"/>
      <c r="X265" s="575"/>
      <c r="Y265" s="575"/>
      <c r="Z265" s="575"/>
      <c r="AA265" s="575"/>
      <c r="AB265" s="809"/>
      <c r="AC265" s="575"/>
      <c r="AD265" s="575"/>
      <c r="AE265" s="575"/>
      <c r="AF265" s="817"/>
      <c r="AG265" s="575"/>
      <c r="AH265" s="575"/>
      <c r="AI265" s="738">
        <f t="shared" si="19"/>
        <v>0</v>
      </c>
      <c r="AJ265" s="582">
        <v>0</v>
      </c>
      <c r="AK265" s="581">
        <f t="shared" si="17"/>
        <v>0</v>
      </c>
      <c r="AL265" s="750" t="s">
        <v>1636</v>
      </c>
      <c r="AM265" s="743">
        <f t="shared" si="18"/>
        <v>33.6</v>
      </c>
    </row>
    <row r="266" spans="1:39" s="560" customFormat="1" ht="14.4" hidden="1" thickBot="1">
      <c r="A266" s="620" t="s">
        <v>866</v>
      </c>
      <c r="B266" s="621" t="s">
        <v>1263</v>
      </c>
      <c r="C266" s="628" t="s">
        <v>36</v>
      </c>
      <c r="D266" s="580"/>
      <c r="E266" s="581"/>
      <c r="F266" s="581"/>
      <c r="G266" s="778"/>
      <c r="H266" s="581"/>
      <c r="I266" s="582"/>
      <c r="J266" s="582"/>
      <c r="K266" s="582"/>
      <c r="L266" s="575"/>
      <c r="M266" s="575"/>
      <c r="N266" s="809"/>
      <c r="O266" s="575"/>
      <c r="P266" s="575"/>
      <c r="Q266" s="575"/>
      <c r="R266" s="575"/>
      <c r="S266" s="575"/>
      <c r="T266" s="575"/>
      <c r="U266" s="809"/>
      <c r="V266" s="575"/>
      <c r="W266" s="575"/>
      <c r="X266" s="575"/>
      <c r="Y266" s="575"/>
      <c r="Z266" s="575"/>
      <c r="AA266" s="575"/>
      <c r="AB266" s="809"/>
      <c r="AC266" s="575"/>
      <c r="AD266" s="575"/>
      <c r="AE266" s="575"/>
      <c r="AF266" s="817"/>
      <c r="AG266" s="575"/>
      <c r="AH266" s="575"/>
      <c r="AI266" s="738">
        <f t="shared" si="19"/>
        <v>0</v>
      </c>
      <c r="AJ266" s="582">
        <v>0</v>
      </c>
      <c r="AK266" s="581">
        <f t="shared" si="17"/>
        <v>0</v>
      </c>
      <c r="AL266" s="750" t="s">
        <v>1637</v>
      </c>
      <c r="AM266" s="743">
        <f t="shared" si="18"/>
        <v>27.42</v>
      </c>
    </row>
    <row r="267" spans="1:39" s="560" customFormat="1" ht="14.4" hidden="1" thickBot="1">
      <c r="A267" s="620" t="s">
        <v>867</v>
      </c>
      <c r="B267" s="621" t="s">
        <v>1264</v>
      </c>
      <c r="C267" s="628" t="s">
        <v>36</v>
      </c>
      <c r="D267" s="580"/>
      <c r="E267" s="581"/>
      <c r="F267" s="581"/>
      <c r="G267" s="778"/>
      <c r="H267" s="581"/>
      <c r="I267" s="582"/>
      <c r="J267" s="582"/>
      <c r="K267" s="582"/>
      <c r="L267" s="575"/>
      <c r="M267" s="575"/>
      <c r="N267" s="809"/>
      <c r="O267" s="575"/>
      <c r="P267" s="575"/>
      <c r="Q267" s="575"/>
      <c r="R267" s="575"/>
      <c r="S267" s="575"/>
      <c r="T267" s="575"/>
      <c r="U267" s="809"/>
      <c r="V267" s="575"/>
      <c r="W267" s="575"/>
      <c r="X267" s="575"/>
      <c r="Y267" s="575"/>
      <c r="Z267" s="575"/>
      <c r="AA267" s="575"/>
      <c r="AB267" s="809"/>
      <c r="AC267" s="575"/>
      <c r="AD267" s="575"/>
      <c r="AE267" s="575"/>
      <c r="AF267" s="817"/>
      <c r="AG267" s="575"/>
      <c r="AH267" s="575"/>
      <c r="AI267" s="738">
        <f t="shared" si="19"/>
        <v>0</v>
      </c>
      <c r="AJ267" s="582">
        <v>0</v>
      </c>
      <c r="AK267" s="581">
        <f t="shared" si="17"/>
        <v>0</v>
      </c>
      <c r="AL267" s="750" t="s">
        <v>1621</v>
      </c>
      <c r="AM267" s="743">
        <f t="shared" si="18"/>
        <v>15.8</v>
      </c>
    </row>
    <row r="268" spans="1:39" s="560" customFormat="1" ht="14.4" hidden="1" thickBot="1">
      <c r="A268" s="620" t="s">
        <v>868</v>
      </c>
      <c r="B268" s="621" t="s">
        <v>1265</v>
      </c>
      <c r="C268" s="628" t="s">
        <v>36</v>
      </c>
      <c r="D268" s="580"/>
      <c r="E268" s="581"/>
      <c r="F268" s="581"/>
      <c r="G268" s="778"/>
      <c r="H268" s="581"/>
      <c r="I268" s="582"/>
      <c r="J268" s="582"/>
      <c r="K268" s="582"/>
      <c r="L268" s="575"/>
      <c r="M268" s="575"/>
      <c r="N268" s="809"/>
      <c r="O268" s="575"/>
      <c r="P268" s="575"/>
      <c r="Q268" s="575"/>
      <c r="R268" s="575"/>
      <c r="S268" s="575"/>
      <c r="T268" s="575"/>
      <c r="U268" s="809"/>
      <c r="V268" s="575"/>
      <c r="W268" s="575"/>
      <c r="X268" s="575"/>
      <c r="Y268" s="575"/>
      <c r="Z268" s="575"/>
      <c r="AA268" s="575"/>
      <c r="AB268" s="809"/>
      <c r="AC268" s="575"/>
      <c r="AD268" s="575"/>
      <c r="AE268" s="575"/>
      <c r="AF268" s="817"/>
      <c r="AG268" s="575"/>
      <c r="AH268" s="575"/>
      <c r="AI268" s="738">
        <f t="shared" si="19"/>
        <v>0</v>
      </c>
      <c r="AJ268" s="582">
        <v>0</v>
      </c>
      <c r="AK268" s="581">
        <f t="shared" si="17"/>
        <v>0</v>
      </c>
      <c r="AL268" s="750" t="s">
        <v>1660</v>
      </c>
      <c r="AM268" s="743">
        <f t="shared" si="18"/>
        <v>14.7</v>
      </c>
    </row>
    <row r="269" spans="1:39" s="560" customFormat="1" ht="14.4" hidden="1" thickBot="1">
      <c r="A269" s="620" t="s">
        <v>869</v>
      </c>
      <c r="B269" s="621" t="s">
        <v>1266</v>
      </c>
      <c r="C269" s="628"/>
      <c r="D269" s="580"/>
      <c r="E269" s="581"/>
      <c r="F269" s="581"/>
      <c r="G269" s="778"/>
      <c r="H269" s="581"/>
      <c r="I269" s="582"/>
      <c r="J269" s="582"/>
      <c r="K269" s="582"/>
      <c r="L269" s="575"/>
      <c r="M269" s="575"/>
      <c r="N269" s="809"/>
      <c r="O269" s="575"/>
      <c r="P269" s="575"/>
      <c r="Q269" s="575"/>
      <c r="R269" s="575"/>
      <c r="S269" s="575"/>
      <c r="T269" s="575"/>
      <c r="U269" s="809"/>
      <c r="V269" s="575"/>
      <c r="W269" s="575"/>
      <c r="X269" s="575"/>
      <c r="Y269" s="575"/>
      <c r="Z269" s="575"/>
      <c r="AA269" s="575"/>
      <c r="AB269" s="809"/>
      <c r="AC269" s="575"/>
      <c r="AD269" s="575"/>
      <c r="AE269" s="575"/>
      <c r="AF269" s="817"/>
      <c r="AG269" s="575"/>
      <c r="AH269" s="575"/>
      <c r="AI269" s="738">
        <f t="shared" si="19"/>
        <v>0</v>
      </c>
      <c r="AJ269" s="582">
        <v>0</v>
      </c>
      <c r="AK269" s="581">
        <f t="shared" si="17"/>
        <v>0</v>
      </c>
      <c r="AL269" s="750"/>
      <c r="AM269" s="743">
        <f t="shared" si="18"/>
        <v>0</v>
      </c>
    </row>
    <row r="270" spans="1:39" s="560" customFormat="1" ht="14.4" hidden="1" thickBot="1">
      <c r="A270" s="620" t="s">
        <v>870</v>
      </c>
      <c r="B270" s="621" t="s">
        <v>1267</v>
      </c>
      <c r="C270" s="628" t="s">
        <v>1436</v>
      </c>
      <c r="D270" s="580"/>
      <c r="E270" s="581"/>
      <c r="F270" s="581"/>
      <c r="G270" s="778"/>
      <c r="H270" s="581"/>
      <c r="I270" s="582"/>
      <c r="J270" s="582"/>
      <c r="K270" s="582"/>
      <c r="L270" s="575"/>
      <c r="M270" s="575"/>
      <c r="N270" s="809"/>
      <c r="O270" s="575"/>
      <c r="P270" s="575"/>
      <c r="Q270" s="575"/>
      <c r="R270" s="575"/>
      <c r="S270" s="575"/>
      <c r="T270" s="575"/>
      <c r="U270" s="809"/>
      <c r="V270" s="575"/>
      <c r="W270" s="575"/>
      <c r="X270" s="575"/>
      <c r="Y270" s="575"/>
      <c r="Z270" s="575"/>
      <c r="AA270" s="575"/>
      <c r="AB270" s="809"/>
      <c r="AC270" s="575"/>
      <c r="AD270" s="575"/>
      <c r="AE270" s="575"/>
      <c r="AF270" s="817"/>
      <c r="AG270" s="575"/>
      <c r="AH270" s="575"/>
      <c r="AI270" s="738">
        <f t="shared" si="19"/>
        <v>0</v>
      </c>
      <c r="AJ270" s="582">
        <v>0</v>
      </c>
      <c r="AK270" s="581">
        <f t="shared" si="17"/>
        <v>0</v>
      </c>
      <c r="AL270" s="750" t="s">
        <v>1661</v>
      </c>
      <c r="AM270" s="743">
        <f t="shared" si="18"/>
        <v>8</v>
      </c>
    </row>
    <row r="271" spans="1:39" s="560" customFormat="1" ht="14.4" hidden="1" thickBot="1">
      <c r="A271" s="620" t="s">
        <v>871</v>
      </c>
      <c r="B271" s="621" t="s">
        <v>1268</v>
      </c>
      <c r="C271" s="628" t="s">
        <v>63</v>
      </c>
      <c r="D271" s="580"/>
      <c r="E271" s="581"/>
      <c r="F271" s="581"/>
      <c r="G271" s="778"/>
      <c r="H271" s="581"/>
      <c r="I271" s="582"/>
      <c r="J271" s="582"/>
      <c r="K271" s="582"/>
      <c r="L271" s="575"/>
      <c r="M271" s="575"/>
      <c r="N271" s="809"/>
      <c r="O271" s="575"/>
      <c r="P271" s="575"/>
      <c r="Q271" s="575"/>
      <c r="R271" s="575"/>
      <c r="S271" s="575"/>
      <c r="T271" s="575"/>
      <c r="U271" s="809"/>
      <c r="V271" s="575"/>
      <c r="W271" s="575"/>
      <c r="X271" s="575"/>
      <c r="Y271" s="575"/>
      <c r="Z271" s="575"/>
      <c r="AA271" s="575"/>
      <c r="AB271" s="809"/>
      <c r="AC271" s="575"/>
      <c r="AD271" s="575"/>
      <c r="AE271" s="575"/>
      <c r="AF271" s="817"/>
      <c r="AG271" s="575"/>
      <c r="AH271" s="575"/>
      <c r="AI271" s="738">
        <f t="shared" si="19"/>
        <v>0</v>
      </c>
      <c r="AJ271" s="582">
        <v>0</v>
      </c>
      <c r="AK271" s="581">
        <f t="shared" si="17"/>
        <v>0</v>
      </c>
      <c r="AL271" s="750" t="s">
        <v>1441</v>
      </c>
      <c r="AM271" s="743">
        <f t="shared" si="18"/>
        <v>1</v>
      </c>
    </row>
    <row r="272" spans="1:39" s="560" customFormat="1" ht="14.4" hidden="1" thickBot="1">
      <c r="A272" s="620" t="s">
        <v>872</v>
      </c>
      <c r="B272" s="621" t="s">
        <v>1269</v>
      </c>
      <c r="C272" s="628" t="s">
        <v>36</v>
      </c>
      <c r="D272" s="580"/>
      <c r="E272" s="581"/>
      <c r="F272" s="581"/>
      <c r="G272" s="778"/>
      <c r="H272" s="581"/>
      <c r="I272" s="582"/>
      <c r="J272" s="582"/>
      <c r="K272" s="582"/>
      <c r="L272" s="575"/>
      <c r="M272" s="575"/>
      <c r="N272" s="809"/>
      <c r="O272" s="575"/>
      <c r="P272" s="575"/>
      <c r="Q272" s="575"/>
      <c r="R272" s="575"/>
      <c r="S272" s="575"/>
      <c r="T272" s="575"/>
      <c r="U272" s="809"/>
      <c r="V272" s="575"/>
      <c r="W272" s="575"/>
      <c r="X272" s="575"/>
      <c r="Y272" s="575"/>
      <c r="Z272" s="575"/>
      <c r="AA272" s="575"/>
      <c r="AB272" s="809"/>
      <c r="AC272" s="575"/>
      <c r="AD272" s="575"/>
      <c r="AE272" s="575"/>
      <c r="AF272" s="817"/>
      <c r="AG272" s="575"/>
      <c r="AH272" s="575"/>
      <c r="AI272" s="738">
        <f t="shared" si="19"/>
        <v>0</v>
      </c>
      <c r="AJ272" s="582">
        <v>0</v>
      </c>
      <c r="AK272" s="581">
        <f t="shared" si="17"/>
        <v>0</v>
      </c>
      <c r="AL272" s="750" t="s">
        <v>1662</v>
      </c>
      <c r="AM272" s="743">
        <f t="shared" si="18"/>
        <v>19.84</v>
      </c>
    </row>
    <row r="273" spans="1:39" s="560" customFormat="1" ht="14.4" hidden="1" thickBot="1">
      <c r="A273" s="620" t="s">
        <v>470</v>
      </c>
      <c r="B273" s="621" t="s">
        <v>1141</v>
      </c>
      <c r="C273" s="628"/>
      <c r="D273" s="580"/>
      <c r="E273" s="581"/>
      <c r="F273" s="581"/>
      <c r="G273" s="778"/>
      <c r="H273" s="581"/>
      <c r="I273" s="582"/>
      <c r="J273" s="582"/>
      <c r="K273" s="582"/>
      <c r="L273" s="575"/>
      <c r="M273" s="575"/>
      <c r="N273" s="809"/>
      <c r="O273" s="575"/>
      <c r="P273" s="575"/>
      <c r="Q273" s="575"/>
      <c r="R273" s="575"/>
      <c r="S273" s="575"/>
      <c r="T273" s="575"/>
      <c r="U273" s="809"/>
      <c r="V273" s="575"/>
      <c r="W273" s="575"/>
      <c r="X273" s="575"/>
      <c r="Y273" s="575"/>
      <c r="Z273" s="575"/>
      <c r="AA273" s="575"/>
      <c r="AB273" s="809"/>
      <c r="AC273" s="575"/>
      <c r="AD273" s="575"/>
      <c r="AE273" s="575"/>
      <c r="AF273" s="817"/>
      <c r="AG273" s="575"/>
      <c r="AH273" s="575"/>
      <c r="AI273" s="738">
        <f t="shared" si="19"/>
        <v>0</v>
      </c>
      <c r="AJ273" s="582">
        <v>0</v>
      </c>
      <c r="AK273" s="581">
        <f t="shared" si="17"/>
        <v>0</v>
      </c>
      <c r="AL273" s="750"/>
      <c r="AM273" s="743">
        <f t="shared" si="18"/>
        <v>0</v>
      </c>
    </row>
    <row r="274" spans="1:39" s="560" customFormat="1" ht="14.4" hidden="1" thickBot="1">
      <c r="A274" s="620" t="s">
        <v>471</v>
      </c>
      <c r="B274" s="621" t="s">
        <v>1222</v>
      </c>
      <c r="C274" s="628"/>
      <c r="D274" s="580"/>
      <c r="E274" s="581"/>
      <c r="F274" s="581"/>
      <c r="G274" s="778"/>
      <c r="H274" s="581"/>
      <c r="I274" s="582"/>
      <c r="J274" s="582"/>
      <c r="K274" s="582"/>
      <c r="L274" s="575"/>
      <c r="M274" s="575"/>
      <c r="N274" s="809"/>
      <c r="O274" s="575"/>
      <c r="P274" s="575"/>
      <c r="Q274" s="575"/>
      <c r="R274" s="575"/>
      <c r="S274" s="575"/>
      <c r="T274" s="575"/>
      <c r="U274" s="809"/>
      <c r="V274" s="575"/>
      <c r="W274" s="575"/>
      <c r="X274" s="575"/>
      <c r="Y274" s="575"/>
      <c r="Z274" s="575"/>
      <c r="AA274" s="575"/>
      <c r="AB274" s="809"/>
      <c r="AC274" s="575"/>
      <c r="AD274" s="575"/>
      <c r="AE274" s="575"/>
      <c r="AF274" s="817"/>
      <c r="AG274" s="575"/>
      <c r="AH274" s="575"/>
      <c r="AI274" s="738">
        <f t="shared" si="19"/>
        <v>0</v>
      </c>
      <c r="AJ274" s="582">
        <v>0</v>
      </c>
      <c r="AK274" s="581">
        <f t="shared" si="17"/>
        <v>0</v>
      </c>
      <c r="AL274" s="750"/>
      <c r="AM274" s="743">
        <f t="shared" si="18"/>
        <v>0</v>
      </c>
    </row>
    <row r="275" spans="1:39" s="560" customFormat="1" ht="14.4" hidden="1" thickBot="1">
      <c r="A275" s="620" t="s">
        <v>873</v>
      </c>
      <c r="B275" s="621" t="s">
        <v>1223</v>
      </c>
      <c r="C275" s="628" t="s">
        <v>36</v>
      </c>
      <c r="D275" s="580"/>
      <c r="E275" s="581"/>
      <c r="F275" s="581"/>
      <c r="G275" s="778"/>
      <c r="H275" s="581"/>
      <c r="I275" s="582"/>
      <c r="J275" s="582"/>
      <c r="K275" s="582"/>
      <c r="L275" s="575"/>
      <c r="M275" s="575"/>
      <c r="N275" s="809"/>
      <c r="O275" s="575"/>
      <c r="P275" s="575"/>
      <c r="Q275" s="575"/>
      <c r="R275" s="575"/>
      <c r="S275" s="575"/>
      <c r="T275" s="575"/>
      <c r="U275" s="809"/>
      <c r="V275" s="575"/>
      <c r="W275" s="575"/>
      <c r="X275" s="575"/>
      <c r="Y275" s="575"/>
      <c r="Z275" s="575"/>
      <c r="AA275" s="575"/>
      <c r="AB275" s="809"/>
      <c r="AC275" s="575"/>
      <c r="AD275" s="575"/>
      <c r="AE275" s="575"/>
      <c r="AF275" s="817"/>
      <c r="AG275" s="575"/>
      <c r="AH275" s="575"/>
      <c r="AI275" s="738">
        <f t="shared" si="19"/>
        <v>0</v>
      </c>
      <c r="AJ275" s="582">
        <v>0</v>
      </c>
      <c r="AK275" s="581">
        <f t="shared" si="17"/>
        <v>0</v>
      </c>
      <c r="AL275" s="750" t="s">
        <v>1663</v>
      </c>
      <c r="AM275" s="743">
        <f t="shared" si="18"/>
        <v>45.75</v>
      </c>
    </row>
    <row r="276" spans="1:39" s="560" customFormat="1" ht="14.4" hidden="1" thickBot="1">
      <c r="A276" s="620" t="s">
        <v>874</v>
      </c>
      <c r="B276" s="621" t="s">
        <v>1224</v>
      </c>
      <c r="C276" s="628" t="s">
        <v>36</v>
      </c>
      <c r="D276" s="580"/>
      <c r="E276" s="581"/>
      <c r="F276" s="581"/>
      <c r="G276" s="778"/>
      <c r="H276" s="581"/>
      <c r="I276" s="582"/>
      <c r="J276" s="582"/>
      <c r="K276" s="582"/>
      <c r="L276" s="575"/>
      <c r="M276" s="575"/>
      <c r="N276" s="809"/>
      <c r="O276" s="575"/>
      <c r="P276" s="575"/>
      <c r="Q276" s="575"/>
      <c r="R276" s="575"/>
      <c r="S276" s="575"/>
      <c r="T276" s="575"/>
      <c r="U276" s="809"/>
      <c r="V276" s="575"/>
      <c r="W276" s="575"/>
      <c r="X276" s="575"/>
      <c r="Y276" s="575"/>
      <c r="Z276" s="575"/>
      <c r="AA276" s="575"/>
      <c r="AB276" s="809"/>
      <c r="AC276" s="575"/>
      <c r="AD276" s="575"/>
      <c r="AE276" s="575"/>
      <c r="AF276" s="817"/>
      <c r="AG276" s="575"/>
      <c r="AH276" s="575"/>
      <c r="AI276" s="738">
        <f t="shared" si="19"/>
        <v>0</v>
      </c>
      <c r="AJ276" s="582">
        <v>0</v>
      </c>
      <c r="AK276" s="581">
        <f t="shared" si="17"/>
        <v>0</v>
      </c>
      <c r="AL276" s="750" t="s">
        <v>1664</v>
      </c>
      <c r="AM276" s="743">
        <f t="shared" si="18"/>
        <v>18.920000000000002</v>
      </c>
    </row>
    <row r="277" spans="1:39" s="560" customFormat="1" ht="14.4" hidden="1" thickBot="1">
      <c r="A277" s="620" t="s">
        <v>472</v>
      </c>
      <c r="B277" s="621" t="s">
        <v>1225</v>
      </c>
      <c r="C277" s="628"/>
      <c r="D277" s="580"/>
      <c r="E277" s="581"/>
      <c r="F277" s="581"/>
      <c r="G277" s="778"/>
      <c r="H277" s="581"/>
      <c r="I277" s="582"/>
      <c r="J277" s="582"/>
      <c r="K277" s="582"/>
      <c r="L277" s="575"/>
      <c r="M277" s="575"/>
      <c r="N277" s="809"/>
      <c r="O277" s="575"/>
      <c r="P277" s="575"/>
      <c r="Q277" s="575"/>
      <c r="R277" s="575"/>
      <c r="S277" s="575"/>
      <c r="T277" s="575"/>
      <c r="U277" s="809"/>
      <c r="V277" s="575"/>
      <c r="W277" s="575"/>
      <c r="X277" s="575"/>
      <c r="Y277" s="575"/>
      <c r="Z277" s="575"/>
      <c r="AA277" s="575"/>
      <c r="AB277" s="809"/>
      <c r="AC277" s="575"/>
      <c r="AD277" s="575"/>
      <c r="AE277" s="575"/>
      <c r="AF277" s="817"/>
      <c r="AG277" s="575"/>
      <c r="AH277" s="575"/>
      <c r="AI277" s="738">
        <f t="shared" si="19"/>
        <v>0</v>
      </c>
      <c r="AJ277" s="582">
        <v>0</v>
      </c>
      <c r="AK277" s="581">
        <f t="shared" si="17"/>
        <v>0</v>
      </c>
      <c r="AL277" s="750"/>
      <c r="AM277" s="743">
        <f t="shared" si="18"/>
        <v>0</v>
      </c>
    </row>
    <row r="278" spans="1:39" s="560" customFormat="1" ht="14.4" hidden="1" thickBot="1">
      <c r="A278" s="620" t="s">
        <v>875</v>
      </c>
      <c r="B278" s="621" t="s">
        <v>1226</v>
      </c>
      <c r="C278" s="628" t="s">
        <v>36</v>
      </c>
      <c r="D278" s="580"/>
      <c r="E278" s="581"/>
      <c r="F278" s="581"/>
      <c r="G278" s="778"/>
      <c r="H278" s="581"/>
      <c r="I278" s="582"/>
      <c r="J278" s="582"/>
      <c r="K278" s="582"/>
      <c r="L278" s="575"/>
      <c r="M278" s="575"/>
      <c r="N278" s="809"/>
      <c r="O278" s="575"/>
      <c r="P278" s="575"/>
      <c r="Q278" s="575"/>
      <c r="R278" s="575"/>
      <c r="S278" s="575"/>
      <c r="T278" s="575"/>
      <c r="U278" s="809"/>
      <c r="V278" s="575"/>
      <c r="W278" s="575"/>
      <c r="X278" s="575"/>
      <c r="Y278" s="575"/>
      <c r="Z278" s="575"/>
      <c r="AA278" s="575"/>
      <c r="AB278" s="809"/>
      <c r="AC278" s="575"/>
      <c r="AD278" s="575"/>
      <c r="AE278" s="575"/>
      <c r="AF278" s="817"/>
      <c r="AG278" s="575"/>
      <c r="AH278" s="575"/>
      <c r="AI278" s="738">
        <f t="shared" si="19"/>
        <v>0</v>
      </c>
      <c r="AJ278" s="582">
        <v>0</v>
      </c>
      <c r="AK278" s="581">
        <f t="shared" ref="AK278:AK341" si="20">AI278+AJ278</f>
        <v>0</v>
      </c>
      <c r="AL278" s="750" t="s">
        <v>1665</v>
      </c>
      <c r="AM278" s="743">
        <f t="shared" ref="AM278:AM341" si="21">AL278-AK278</f>
        <v>83.58</v>
      </c>
    </row>
    <row r="279" spans="1:39" s="560" customFormat="1" ht="14.4" hidden="1" thickBot="1">
      <c r="A279" s="620" t="s">
        <v>876</v>
      </c>
      <c r="B279" s="621" t="s">
        <v>1227</v>
      </c>
      <c r="C279" s="628" t="s">
        <v>36</v>
      </c>
      <c r="D279" s="580"/>
      <c r="E279" s="581"/>
      <c r="F279" s="581"/>
      <c r="G279" s="778"/>
      <c r="H279" s="581"/>
      <c r="I279" s="582"/>
      <c r="J279" s="582"/>
      <c r="K279" s="582"/>
      <c r="L279" s="575"/>
      <c r="M279" s="575"/>
      <c r="N279" s="809"/>
      <c r="O279" s="575"/>
      <c r="P279" s="575"/>
      <c r="Q279" s="575"/>
      <c r="R279" s="575"/>
      <c r="S279" s="575"/>
      <c r="T279" s="575"/>
      <c r="U279" s="809"/>
      <c r="V279" s="575"/>
      <c r="W279" s="575"/>
      <c r="X279" s="575"/>
      <c r="Y279" s="575"/>
      <c r="Z279" s="575"/>
      <c r="AA279" s="575"/>
      <c r="AB279" s="809"/>
      <c r="AC279" s="575"/>
      <c r="AD279" s="575"/>
      <c r="AE279" s="575"/>
      <c r="AF279" s="817"/>
      <c r="AG279" s="575"/>
      <c r="AH279" s="575"/>
      <c r="AI279" s="738">
        <f t="shared" si="19"/>
        <v>0</v>
      </c>
      <c r="AJ279" s="582">
        <v>0</v>
      </c>
      <c r="AK279" s="581">
        <f t="shared" si="20"/>
        <v>0</v>
      </c>
      <c r="AL279" s="750" t="s">
        <v>1663</v>
      </c>
      <c r="AM279" s="743">
        <f t="shared" si="21"/>
        <v>45.75</v>
      </c>
    </row>
    <row r="280" spans="1:39" s="560" customFormat="1" ht="14.4" hidden="1" thickBot="1">
      <c r="A280" s="620" t="s">
        <v>877</v>
      </c>
      <c r="B280" s="621" t="s">
        <v>1228</v>
      </c>
      <c r="C280" s="628" t="s">
        <v>36</v>
      </c>
      <c r="D280" s="580"/>
      <c r="E280" s="581"/>
      <c r="F280" s="581"/>
      <c r="G280" s="778"/>
      <c r="H280" s="581"/>
      <c r="I280" s="582"/>
      <c r="J280" s="582"/>
      <c r="K280" s="582"/>
      <c r="L280" s="575"/>
      <c r="M280" s="575"/>
      <c r="N280" s="809"/>
      <c r="O280" s="575"/>
      <c r="P280" s="575"/>
      <c r="Q280" s="575"/>
      <c r="R280" s="575"/>
      <c r="S280" s="575"/>
      <c r="T280" s="575"/>
      <c r="U280" s="809"/>
      <c r="V280" s="575"/>
      <c r="W280" s="575"/>
      <c r="X280" s="575"/>
      <c r="Y280" s="575"/>
      <c r="Z280" s="575"/>
      <c r="AA280" s="575"/>
      <c r="AB280" s="809"/>
      <c r="AC280" s="575"/>
      <c r="AD280" s="575"/>
      <c r="AE280" s="575"/>
      <c r="AF280" s="817"/>
      <c r="AG280" s="575"/>
      <c r="AH280" s="575"/>
      <c r="AI280" s="738">
        <f t="shared" si="19"/>
        <v>0</v>
      </c>
      <c r="AJ280" s="582">
        <v>0</v>
      </c>
      <c r="AK280" s="581">
        <f t="shared" si="20"/>
        <v>0</v>
      </c>
      <c r="AL280" s="750" t="s">
        <v>1666</v>
      </c>
      <c r="AM280" s="743">
        <f t="shared" si="21"/>
        <v>12.95</v>
      </c>
    </row>
    <row r="281" spans="1:39" s="560" customFormat="1" ht="14.4" hidden="1" thickBot="1">
      <c r="A281" s="620" t="s">
        <v>878</v>
      </c>
      <c r="B281" s="621" t="s">
        <v>1229</v>
      </c>
      <c r="C281" s="628" t="s">
        <v>36</v>
      </c>
      <c r="D281" s="580"/>
      <c r="E281" s="581"/>
      <c r="F281" s="581"/>
      <c r="G281" s="778"/>
      <c r="H281" s="581"/>
      <c r="I281" s="582"/>
      <c r="J281" s="582"/>
      <c r="K281" s="582"/>
      <c r="L281" s="575"/>
      <c r="M281" s="575"/>
      <c r="N281" s="809"/>
      <c r="O281" s="575"/>
      <c r="P281" s="575"/>
      <c r="Q281" s="575"/>
      <c r="R281" s="575"/>
      <c r="S281" s="575"/>
      <c r="T281" s="575"/>
      <c r="U281" s="809"/>
      <c r="V281" s="575"/>
      <c r="W281" s="575"/>
      <c r="X281" s="575"/>
      <c r="Y281" s="575"/>
      <c r="Z281" s="575"/>
      <c r="AA281" s="575"/>
      <c r="AB281" s="809"/>
      <c r="AC281" s="575"/>
      <c r="AD281" s="575"/>
      <c r="AE281" s="575"/>
      <c r="AF281" s="817"/>
      <c r="AG281" s="575"/>
      <c r="AH281" s="575"/>
      <c r="AI281" s="738">
        <f t="shared" si="19"/>
        <v>0</v>
      </c>
      <c r="AJ281" s="582">
        <v>0</v>
      </c>
      <c r="AK281" s="581">
        <f t="shared" si="20"/>
        <v>0</v>
      </c>
      <c r="AL281" s="750" t="s">
        <v>1667</v>
      </c>
      <c r="AM281" s="743">
        <f t="shared" si="21"/>
        <v>24.87</v>
      </c>
    </row>
    <row r="282" spans="1:39" s="560" customFormat="1" ht="14.4" hidden="1" thickBot="1">
      <c r="A282" s="620" t="s">
        <v>879</v>
      </c>
      <c r="B282" s="621" t="s">
        <v>1230</v>
      </c>
      <c r="C282" s="628" t="s">
        <v>36</v>
      </c>
      <c r="D282" s="580"/>
      <c r="E282" s="581"/>
      <c r="F282" s="581"/>
      <c r="G282" s="778"/>
      <c r="H282" s="581"/>
      <c r="I282" s="582"/>
      <c r="J282" s="582"/>
      <c r="K282" s="582"/>
      <c r="L282" s="575"/>
      <c r="M282" s="575"/>
      <c r="N282" s="809"/>
      <c r="O282" s="575"/>
      <c r="P282" s="575"/>
      <c r="Q282" s="575"/>
      <c r="R282" s="575"/>
      <c r="S282" s="575"/>
      <c r="T282" s="575"/>
      <c r="U282" s="809"/>
      <c r="V282" s="575"/>
      <c r="W282" s="575"/>
      <c r="X282" s="575"/>
      <c r="Y282" s="575"/>
      <c r="Z282" s="575"/>
      <c r="AA282" s="575"/>
      <c r="AB282" s="809"/>
      <c r="AC282" s="575"/>
      <c r="AD282" s="575"/>
      <c r="AE282" s="575"/>
      <c r="AF282" s="817"/>
      <c r="AG282" s="575"/>
      <c r="AH282" s="575"/>
      <c r="AI282" s="738">
        <f t="shared" si="19"/>
        <v>0</v>
      </c>
      <c r="AJ282" s="582">
        <v>0</v>
      </c>
      <c r="AK282" s="581">
        <f t="shared" si="20"/>
        <v>0</v>
      </c>
      <c r="AL282" s="750" t="s">
        <v>1668</v>
      </c>
      <c r="AM282" s="743">
        <f t="shared" si="21"/>
        <v>17.22</v>
      </c>
    </row>
    <row r="283" spans="1:39" s="560" customFormat="1" ht="14.4" hidden="1" thickBot="1">
      <c r="A283" s="620" t="s">
        <v>880</v>
      </c>
      <c r="B283" s="621" t="s">
        <v>1231</v>
      </c>
      <c r="C283" s="628" t="s">
        <v>37</v>
      </c>
      <c r="D283" s="580"/>
      <c r="E283" s="581"/>
      <c r="F283" s="581"/>
      <c r="G283" s="778"/>
      <c r="H283" s="581"/>
      <c r="I283" s="582"/>
      <c r="J283" s="582"/>
      <c r="K283" s="582"/>
      <c r="L283" s="575"/>
      <c r="M283" s="575"/>
      <c r="N283" s="809"/>
      <c r="O283" s="575"/>
      <c r="P283" s="575"/>
      <c r="Q283" s="575"/>
      <c r="R283" s="575"/>
      <c r="S283" s="575"/>
      <c r="T283" s="575"/>
      <c r="U283" s="809"/>
      <c r="V283" s="575"/>
      <c r="W283" s="575"/>
      <c r="X283" s="575"/>
      <c r="Y283" s="575"/>
      <c r="Z283" s="575"/>
      <c r="AA283" s="575"/>
      <c r="AB283" s="809"/>
      <c r="AC283" s="575"/>
      <c r="AD283" s="575"/>
      <c r="AE283" s="575"/>
      <c r="AF283" s="817"/>
      <c r="AG283" s="575"/>
      <c r="AH283" s="575"/>
      <c r="AI283" s="738">
        <f t="shared" si="19"/>
        <v>0</v>
      </c>
      <c r="AJ283" s="582">
        <v>0</v>
      </c>
      <c r="AK283" s="581">
        <f t="shared" si="20"/>
        <v>0</v>
      </c>
      <c r="AL283" s="750" t="s">
        <v>1669</v>
      </c>
      <c r="AM283" s="743">
        <f t="shared" si="21"/>
        <v>48.7</v>
      </c>
    </row>
    <row r="284" spans="1:39" s="560" customFormat="1" ht="14.4" hidden="1" thickBot="1">
      <c r="A284" s="620" t="s">
        <v>881</v>
      </c>
      <c r="B284" s="621" t="s">
        <v>1232</v>
      </c>
      <c r="C284" s="628" t="s">
        <v>37</v>
      </c>
      <c r="D284" s="580"/>
      <c r="E284" s="581"/>
      <c r="F284" s="581"/>
      <c r="G284" s="778"/>
      <c r="H284" s="581"/>
      <c r="I284" s="582"/>
      <c r="J284" s="582"/>
      <c r="K284" s="582"/>
      <c r="L284" s="575"/>
      <c r="M284" s="575"/>
      <c r="N284" s="809"/>
      <c r="O284" s="575"/>
      <c r="P284" s="575"/>
      <c r="Q284" s="575"/>
      <c r="R284" s="575"/>
      <c r="S284" s="575"/>
      <c r="T284" s="575"/>
      <c r="U284" s="809"/>
      <c r="V284" s="575"/>
      <c r="W284" s="575"/>
      <c r="X284" s="575"/>
      <c r="Y284" s="575"/>
      <c r="Z284" s="575"/>
      <c r="AA284" s="575"/>
      <c r="AB284" s="809"/>
      <c r="AC284" s="575"/>
      <c r="AD284" s="575"/>
      <c r="AE284" s="575"/>
      <c r="AF284" s="817"/>
      <c r="AG284" s="575"/>
      <c r="AH284" s="575"/>
      <c r="AI284" s="738">
        <f t="shared" si="19"/>
        <v>0</v>
      </c>
      <c r="AJ284" s="582">
        <v>0</v>
      </c>
      <c r="AK284" s="581">
        <f t="shared" si="20"/>
        <v>0</v>
      </c>
      <c r="AL284" s="750" t="s">
        <v>1670</v>
      </c>
      <c r="AM284" s="743">
        <f t="shared" si="21"/>
        <v>172.48</v>
      </c>
    </row>
    <row r="285" spans="1:39" s="560" customFormat="1" ht="14.4" hidden="1" thickBot="1">
      <c r="A285" s="620" t="s">
        <v>473</v>
      </c>
      <c r="B285" s="621" t="s">
        <v>1233</v>
      </c>
      <c r="C285" s="628"/>
      <c r="D285" s="580"/>
      <c r="E285" s="581"/>
      <c r="F285" s="581"/>
      <c r="G285" s="778"/>
      <c r="H285" s="581"/>
      <c r="I285" s="582"/>
      <c r="J285" s="582"/>
      <c r="K285" s="582"/>
      <c r="L285" s="575"/>
      <c r="M285" s="575"/>
      <c r="N285" s="809"/>
      <c r="O285" s="575"/>
      <c r="P285" s="575"/>
      <c r="Q285" s="575"/>
      <c r="R285" s="575"/>
      <c r="S285" s="575"/>
      <c r="T285" s="575"/>
      <c r="U285" s="809"/>
      <c r="V285" s="575"/>
      <c r="W285" s="575"/>
      <c r="X285" s="575"/>
      <c r="Y285" s="575"/>
      <c r="Z285" s="575"/>
      <c r="AA285" s="575"/>
      <c r="AB285" s="809"/>
      <c r="AC285" s="575"/>
      <c r="AD285" s="575"/>
      <c r="AE285" s="575"/>
      <c r="AF285" s="817"/>
      <c r="AG285" s="575"/>
      <c r="AH285" s="575"/>
      <c r="AI285" s="738">
        <f t="shared" si="19"/>
        <v>0</v>
      </c>
      <c r="AJ285" s="582">
        <v>0</v>
      </c>
      <c r="AK285" s="581">
        <f t="shared" si="20"/>
        <v>0</v>
      </c>
      <c r="AL285" s="750"/>
      <c r="AM285" s="743">
        <f t="shared" si="21"/>
        <v>0</v>
      </c>
    </row>
    <row r="286" spans="1:39" s="560" customFormat="1" ht="14.4" hidden="1" thickBot="1">
      <c r="A286" s="620" t="s">
        <v>882</v>
      </c>
      <c r="B286" s="621" t="s">
        <v>1234</v>
      </c>
      <c r="C286" s="628" t="s">
        <v>36</v>
      </c>
      <c r="D286" s="580"/>
      <c r="E286" s="581"/>
      <c r="F286" s="581"/>
      <c r="G286" s="778"/>
      <c r="H286" s="581"/>
      <c r="I286" s="582"/>
      <c r="J286" s="582"/>
      <c r="K286" s="582"/>
      <c r="L286" s="575"/>
      <c r="M286" s="575"/>
      <c r="N286" s="809"/>
      <c r="O286" s="575"/>
      <c r="P286" s="575"/>
      <c r="Q286" s="575"/>
      <c r="R286" s="575"/>
      <c r="S286" s="575"/>
      <c r="T286" s="575"/>
      <c r="U286" s="809"/>
      <c r="V286" s="575"/>
      <c r="W286" s="575"/>
      <c r="X286" s="575"/>
      <c r="Y286" s="575"/>
      <c r="Z286" s="575"/>
      <c r="AA286" s="575"/>
      <c r="AB286" s="809"/>
      <c r="AC286" s="575"/>
      <c r="AD286" s="575"/>
      <c r="AE286" s="575"/>
      <c r="AF286" s="817"/>
      <c r="AG286" s="575"/>
      <c r="AH286" s="575"/>
      <c r="AI286" s="738">
        <f t="shared" si="19"/>
        <v>0</v>
      </c>
      <c r="AJ286" s="582">
        <v>0</v>
      </c>
      <c r="AK286" s="581">
        <f t="shared" si="20"/>
        <v>0</v>
      </c>
      <c r="AL286" s="750" t="s">
        <v>1671</v>
      </c>
      <c r="AM286" s="743">
        <f t="shared" si="21"/>
        <v>38.24</v>
      </c>
    </row>
    <row r="287" spans="1:39" s="560" customFormat="1" ht="14.4" hidden="1" thickBot="1">
      <c r="A287" s="620" t="s">
        <v>883</v>
      </c>
      <c r="B287" s="621" t="s">
        <v>1235</v>
      </c>
      <c r="C287" s="628"/>
      <c r="D287" s="580"/>
      <c r="E287" s="581"/>
      <c r="F287" s="581"/>
      <c r="G287" s="778"/>
      <c r="H287" s="581"/>
      <c r="I287" s="582"/>
      <c r="J287" s="582"/>
      <c r="K287" s="582"/>
      <c r="L287" s="575"/>
      <c r="M287" s="575"/>
      <c r="N287" s="809"/>
      <c r="O287" s="575"/>
      <c r="P287" s="575"/>
      <c r="Q287" s="575"/>
      <c r="R287" s="575"/>
      <c r="S287" s="575"/>
      <c r="T287" s="575"/>
      <c r="U287" s="809"/>
      <c r="V287" s="575"/>
      <c r="W287" s="575"/>
      <c r="X287" s="575"/>
      <c r="Y287" s="575"/>
      <c r="Z287" s="575"/>
      <c r="AA287" s="575"/>
      <c r="AB287" s="809"/>
      <c r="AC287" s="575"/>
      <c r="AD287" s="575"/>
      <c r="AE287" s="575"/>
      <c r="AF287" s="817"/>
      <c r="AG287" s="575"/>
      <c r="AH287" s="575"/>
      <c r="AI287" s="738">
        <f t="shared" si="19"/>
        <v>0</v>
      </c>
      <c r="AJ287" s="582">
        <v>0</v>
      </c>
      <c r="AK287" s="581">
        <f t="shared" si="20"/>
        <v>0</v>
      </c>
      <c r="AL287" s="750"/>
      <c r="AM287" s="743">
        <f t="shared" si="21"/>
        <v>0</v>
      </c>
    </row>
    <row r="288" spans="1:39" s="560" customFormat="1" ht="14.4" hidden="1" thickBot="1">
      <c r="A288" s="620" t="s">
        <v>884</v>
      </c>
      <c r="B288" s="621" t="s">
        <v>1236</v>
      </c>
      <c r="C288" s="628" t="s">
        <v>36</v>
      </c>
      <c r="D288" s="580"/>
      <c r="E288" s="581"/>
      <c r="F288" s="581"/>
      <c r="G288" s="778"/>
      <c r="H288" s="581"/>
      <c r="I288" s="582"/>
      <c r="J288" s="582"/>
      <c r="K288" s="582"/>
      <c r="L288" s="575"/>
      <c r="M288" s="575"/>
      <c r="N288" s="809"/>
      <c r="O288" s="575"/>
      <c r="P288" s="575"/>
      <c r="Q288" s="575"/>
      <c r="R288" s="575"/>
      <c r="S288" s="575"/>
      <c r="T288" s="575"/>
      <c r="U288" s="809"/>
      <c r="V288" s="575"/>
      <c r="W288" s="575"/>
      <c r="X288" s="575"/>
      <c r="Y288" s="575"/>
      <c r="Z288" s="575"/>
      <c r="AA288" s="575"/>
      <c r="AB288" s="809"/>
      <c r="AC288" s="575"/>
      <c r="AD288" s="575"/>
      <c r="AE288" s="575"/>
      <c r="AF288" s="817"/>
      <c r="AG288" s="575"/>
      <c r="AH288" s="575"/>
      <c r="AI288" s="738">
        <f t="shared" si="19"/>
        <v>0</v>
      </c>
      <c r="AJ288" s="582">
        <v>0</v>
      </c>
      <c r="AK288" s="581">
        <f t="shared" si="20"/>
        <v>0</v>
      </c>
      <c r="AL288" s="750" t="s">
        <v>1672</v>
      </c>
      <c r="AM288" s="743">
        <f t="shared" si="21"/>
        <v>33.03</v>
      </c>
    </row>
    <row r="289" spans="1:39" s="560" customFormat="1" ht="14.4" hidden="1" thickBot="1">
      <c r="A289" s="620" t="s">
        <v>885</v>
      </c>
      <c r="B289" s="621" t="s">
        <v>1237</v>
      </c>
      <c r="C289" s="628" t="s">
        <v>36</v>
      </c>
      <c r="D289" s="580"/>
      <c r="E289" s="581"/>
      <c r="F289" s="581"/>
      <c r="G289" s="778"/>
      <c r="H289" s="581"/>
      <c r="I289" s="582"/>
      <c r="J289" s="582"/>
      <c r="K289" s="582"/>
      <c r="L289" s="575"/>
      <c r="M289" s="575"/>
      <c r="N289" s="809"/>
      <c r="O289" s="575"/>
      <c r="P289" s="575"/>
      <c r="Q289" s="575"/>
      <c r="R289" s="575"/>
      <c r="S289" s="575"/>
      <c r="T289" s="575"/>
      <c r="U289" s="809"/>
      <c r="V289" s="575"/>
      <c r="W289" s="575"/>
      <c r="X289" s="575"/>
      <c r="Y289" s="575"/>
      <c r="Z289" s="575"/>
      <c r="AA289" s="575"/>
      <c r="AB289" s="809"/>
      <c r="AC289" s="575"/>
      <c r="AD289" s="575"/>
      <c r="AE289" s="575"/>
      <c r="AF289" s="817"/>
      <c r="AG289" s="575"/>
      <c r="AH289" s="575"/>
      <c r="AI289" s="738">
        <f t="shared" si="19"/>
        <v>0</v>
      </c>
      <c r="AJ289" s="582">
        <v>0</v>
      </c>
      <c r="AK289" s="581">
        <f t="shared" si="20"/>
        <v>0</v>
      </c>
      <c r="AL289" s="750" t="s">
        <v>1673</v>
      </c>
      <c r="AM289" s="743">
        <f t="shared" si="21"/>
        <v>30.08</v>
      </c>
    </row>
    <row r="290" spans="1:39" s="560" customFormat="1" ht="14.4" hidden="1" thickBot="1">
      <c r="A290" s="620" t="s">
        <v>886</v>
      </c>
      <c r="B290" s="621" t="s">
        <v>1238</v>
      </c>
      <c r="C290" s="628" t="s">
        <v>36</v>
      </c>
      <c r="D290" s="580"/>
      <c r="E290" s="581"/>
      <c r="F290" s="581"/>
      <c r="G290" s="778"/>
      <c r="H290" s="581"/>
      <c r="I290" s="582"/>
      <c r="J290" s="582"/>
      <c r="K290" s="582"/>
      <c r="L290" s="575"/>
      <c r="M290" s="575"/>
      <c r="N290" s="809"/>
      <c r="O290" s="575"/>
      <c r="P290" s="575"/>
      <c r="Q290" s="575"/>
      <c r="R290" s="575"/>
      <c r="S290" s="575"/>
      <c r="T290" s="575"/>
      <c r="U290" s="809"/>
      <c r="V290" s="575"/>
      <c r="W290" s="575"/>
      <c r="X290" s="575"/>
      <c r="Y290" s="575"/>
      <c r="Z290" s="575"/>
      <c r="AA290" s="575"/>
      <c r="AB290" s="809"/>
      <c r="AC290" s="575"/>
      <c r="AD290" s="575"/>
      <c r="AE290" s="575"/>
      <c r="AF290" s="817"/>
      <c r="AG290" s="575"/>
      <c r="AH290" s="575"/>
      <c r="AI290" s="738">
        <f t="shared" si="19"/>
        <v>0</v>
      </c>
      <c r="AJ290" s="582">
        <v>0</v>
      </c>
      <c r="AK290" s="581">
        <f t="shared" si="20"/>
        <v>0</v>
      </c>
      <c r="AL290" s="750" t="s">
        <v>1674</v>
      </c>
      <c r="AM290" s="743">
        <f t="shared" si="21"/>
        <v>2.95</v>
      </c>
    </row>
    <row r="291" spans="1:39" s="560" customFormat="1" ht="14.4" hidden="1" thickBot="1">
      <c r="A291" s="620" t="s">
        <v>887</v>
      </c>
      <c r="B291" s="621" t="s">
        <v>1239</v>
      </c>
      <c r="C291" s="628"/>
      <c r="D291" s="580"/>
      <c r="E291" s="581"/>
      <c r="F291" s="581"/>
      <c r="G291" s="778"/>
      <c r="H291" s="581"/>
      <c r="I291" s="582"/>
      <c r="J291" s="582"/>
      <c r="K291" s="582"/>
      <c r="L291" s="575"/>
      <c r="M291" s="575"/>
      <c r="N291" s="809"/>
      <c r="O291" s="575"/>
      <c r="P291" s="575"/>
      <c r="Q291" s="575"/>
      <c r="R291" s="575"/>
      <c r="S291" s="575"/>
      <c r="T291" s="575"/>
      <c r="U291" s="809"/>
      <c r="V291" s="575"/>
      <c r="W291" s="575"/>
      <c r="X291" s="575"/>
      <c r="Y291" s="575"/>
      <c r="Z291" s="575"/>
      <c r="AA291" s="575"/>
      <c r="AB291" s="809"/>
      <c r="AC291" s="575"/>
      <c r="AD291" s="575"/>
      <c r="AE291" s="575"/>
      <c r="AF291" s="817"/>
      <c r="AG291" s="575"/>
      <c r="AH291" s="575"/>
      <c r="AI291" s="738">
        <f t="shared" si="19"/>
        <v>0</v>
      </c>
      <c r="AJ291" s="582">
        <v>0</v>
      </c>
      <c r="AK291" s="581">
        <f t="shared" si="20"/>
        <v>0</v>
      </c>
      <c r="AL291" s="750"/>
      <c r="AM291" s="743">
        <f t="shared" si="21"/>
        <v>0</v>
      </c>
    </row>
    <row r="292" spans="1:39" s="560" customFormat="1" ht="14.4" hidden="1" thickBot="1">
      <c r="A292" s="620" t="s">
        <v>888</v>
      </c>
      <c r="B292" s="621" t="s">
        <v>1280</v>
      </c>
      <c r="C292" s="628" t="s">
        <v>37</v>
      </c>
      <c r="D292" s="580"/>
      <c r="E292" s="581"/>
      <c r="F292" s="581"/>
      <c r="G292" s="778"/>
      <c r="H292" s="581"/>
      <c r="I292" s="582"/>
      <c r="J292" s="582"/>
      <c r="K292" s="582"/>
      <c r="L292" s="575"/>
      <c r="M292" s="575"/>
      <c r="N292" s="809"/>
      <c r="O292" s="575"/>
      <c r="P292" s="575"/>
      <c r="Q292" s="575"/>
      <c r="R292" s="575"/>
      <c r="S292" s="575"/>
      <c r="T292" s="575"/>
      <c r="U292" s="809"/>
      <c r="V292" s="575"/>
      <c r="W292" s="575"/>
      <c r="X292" s="575"/>
      <c r="Y292" s="575"/>
      <c r="Z292" s="575"/>
      <c r="AA292" s="575"/>
      <c r="AB292" s="809"/>
      <c r="AC292" s="575"/>
      <c r="AD292" s="575"/>
      <c r="AE292" s="575"/>
      <c r="AF292" s="817"/>
      <c r="AG292" s="575"/>
      <c r="AH292" s="575"/>
      <c r="AI292" s="738">
        <f t="shared" si="19"/>
        <v>0</v>
      </c>
      <c r="AJ292" s="582">
        <v>0</v>
      </c>
      <c r="AK292" s="581">
        <f t="shared" si="20"/>
        <v>0</v>
      </c>
      <c r="AL292" s="750" t="s">
        <v>1675</v>
      </c>
      <c r="AM292" s="743">
        <f t="shared" si="21"/>
        <v>6.15</v>
      </c>
    </row>
    <row r="293" spans="1:39" s="560" customFormat="1" ht="14.4" hidden="1" thickBot="1">
      <c r="A293" s="620" t="s">
        <v>889</v>
      </c>
      <c r="B293" s="621" t="s">
        <v>1241</v>
      </c>
      <c r="C293" s="628" t="s">
        <v>36</v>
      </c>
      <c r="D293" s="580"/>
      <c r="E293" s="581"/>
      <c r="F293" s="581"/>
      <c r="G293" s="778"/>
      <c r="H293" s="581"/>
      <c r="I293" s="582"/>
      <c r="J293" s="582"/>
      <c r="K293" s="582"/>
      <c r="L293" s="575"/>
      <c r="M293" s="575"/>
      <c r="N293" s="809"/>
      <c r="O293" s="575"/>
      <c r="P293" s="575"/>
      <c r="Q293" s="575"/>
      <c r="R293" s="575"/>
      <c r="S293" s="575"/>
      <c r="T293" s="575"/>
      <c r="U293" s="809"/>
      <c r="V293" s="575"/>
      <c r="W293" s="575"/>
      <c r="X293" s="575"/>
      <c r="Y293" s="575"/>
      <c r="Z293" s="575"/>
      <c r="AA293" s="575"/>
      <c r="AB293" s="809"/>
      <c r="AC293" s="575"/>
      <c r="AD293" s="575"/>
      <c r="AE293" s="575"/>
      <c r="AF293" s="817"/>
      <c r="AG293" s="575"/>
      <c r="AH293" s="575"/>
      <c r="AI293" s="738">
        <f t="shared" si="19"/>
        <v>0</v>
      </c>
      <c r="AJ293" s="582">
        <v>0</v>
      </c>
      <c r="AK293" s="581">
        <f t="shared" si="20"/>
        <v>0</v>
      </c>
      <c r="AL293" s="750" t="s">
        <v>1676</v>
      </c>
      <c r="AM293" s="743">
        <f t="shared" si="21"/>
        <v>2.77</v>
      </c>
    </row>
    <row r="294" spans="1:39" s="560" customFormat="1" ht="14.4" hidden="1" thickBot="1">
      <c r="A294" s="620" t="s">
        <v>890</v>
      </c>
      <c r="B294" s="621" t="s">
        <v>1242</v>
      </c>
      <c r="C294" s="628"/>
      <c r="D294" s="580"/>
      <c r="E294" s="581"/>
      <c r="F294" s="581"/>
      <c r="G294" s="778"/>
      <c r="H294" s="581"/>
      <c r="I294" s="582"/>
      <c r="J294" s="582"/>
      <c r="K294" s="582"/>
      <c r="L294" s="575"/>
      <c r="M294" s="575"/>
      <c r="N294" s="809"/>
      <c r="O294" s="575"/>
      <c r="P294" s="575"/>
      <c r="Q294" s="575"/>
      <c r="R294" s="575"/>
      <c r="S294" s="575"/>
      <c r="T294" s="575"/>
      <c r="U294" s="809"/>
      <c r="V294" s="575"/>
      <c r="W294" s="575"/>
      <c r="X294" s="575"/>
      <c r="Y294" s="575"/>
      <c r="Z294" s="575"/>
      <c r="AA294" s="575"/>
      <c r="AB294" s="809"/>
      <c r="AC294" s="575"/>
      <c r="AD294" s="575"/>
      <c r="AE294" s="575"/>
      <c r="AF294" s="817"/>
      <c r="AG294" s="575"/>
      <c r="AH294" s="575"/>
      <c r="AI294" s="738">
        <f t="shared" si="19"/>
        <v>0</v>
      </c>
      <c r="AJ294" s="582">
        <v>0</v>
      </c>
      <c r="AK294" s="581">
        <f t="shared" si="20"/>
        <v>0</v>
      </c>
      <c r="AL294" s="750"/>
      <c r="AM294" s="743">
        <f t="shared" si="21"/>
        <v>0</v>
      </c>
    </row>
    <row r="295" spans="1:39" s="560" customFormat="1" ht="14.4" hidden="1" thickBot="1">
      <c r="A295" s="620" t="s">
        <v>891</v>
      </c>
      <c r="B295" s="621" t="s">
        <v>1243</v>
      </c>
      <c r="C295" s="628" t="s">
        <v>36</v>
      </c>
      <c r="D295" s="580"/>
      <c r="E295" s="581"/>
      <c r="F295" s="581"/>
      <c r="G295" s="778"/>
      <c r="H295" s="581"/>
      <c r="I295" s="582"/>
      <c r="J295" s="582"/>
      <c r="K295" s="582"/>
      <c r="L295" s="575"/>
      <c r="M295" s="575"/>
      <c r="N295" s="809"/>
      <c r="O295" s="575"/>
      <c r="P295" s="575"/>
      <c r="Q295" s="575"/>
      <c r="R295" s="575"/>
      <c r="S295" s="575"/>
      <c r="T295" s="575"/>
      <c r="U295" s="809"/>
      <c r="V295" s="575"/>
      <c r="W295" s="575"/>
      <c r="X295" s="575"/>
      <c r="Y295" s="575"/>
      <c r="Z295" s="575"/>
      <c r="AA295" s="575"/>
      <c r="AB295" s="809"/>
      <c r="AC295" s="575"/>
      <c r="AD295" s="575"/>
      <c r="AE295" s="575"/>
      <c r="AF295" s="817"/>
      <c r="AG295" s="575"/>
      <c r="AH295" s="575"/>
      <c r="AI295" s="738">
        <f t="shared" si="19"/>
        <v>0</v>
      </c>
      <c r="AJ295" s="582">
        <v>0</v>
      </c>
      <c r="AK295" s="581">
        <f t="shared" si="20"/>
        <v>0</v>
      </c>
      <c r="AL295" s="750" t="s">
        <v>1677</v>
      </c>
      <c r="AM295" s="743">
        <f t="shared" si="21"/>
        <v>8.3000000000000007</v>
      </c>
    </row>
    <row r="296" spans="1:39" s="560" customFormat="1" ht="14.4" hidden="1" thickBot="1">
      <c r="A296" s="620" t="s">
        <v>892</v>
      </c>
      <c r="B296" s="621" t="s">
        <v>1244</v>
      </c>
      <c r="C296" s="628"/>
      <c r="D296" s="580"/>
      <c r="E296" s="581"/>
      <c r="F296" s="581"/>
      <c r="G296" s="778"/>
      <c r="H296" s="581"/>
      <c r="I296" s="582"/>
      <c r="J296" s="582"/>
      <c r="K296" s="582"/>
      <c r="L296" s="575"/>
      <c r="M296" s="575"/>
      <c r="N296" s="809"/>
      <c r="O296" s="575"/>
      <c r="P296" s="575"/>
      <c r="Q296" s="575"/>
      <c r="R296" s="575"/>
      <c r="S296" s="575"/>
      <c r="T296" s="575"/>
      <c r="U296" s="809"/>
      <c r="V296" s="575"/>
      <c r="W296" s="575"/>
      <c r="X296" s="575"/>
      <c r="Y296" s="575"/>
      <c r="Z296" s="575"/>
      <c r="AA296" s="575"/>
      <c r="AB296" s="809"/>
      <c r="AC296" s="575"/>
      <c r="AD296" s="575"/>
      <c r="AE296" s="575"/>
      <c r="AF296" s="817"/>
      <c r="AG296" s="575"/>
      <c r="AH296" s="575"/>
      <c r="AI296" s="738">
        <f t="shared" si="19"/>
        <v>0</v>
      </c>
      <c r="AJ296" s="582">
        <v>0</v>
      </c>
      <c r="AK296" s="581">
        <f t="shared" si="20"/>
        <v>0</v>
      </c>
      <c r="AL296" s="750"/>
      <c r="AM296" s="743">
        <f t="shared" si="21"/>
        <v>0</v>
      </c>
    </row>
    <row r="297" spans="1:39" s="560" customFormat="1" ht="14.4" hidden="1" thickBot="1">
      <c r="A297" s="620" t="s">
        <v>893</v>
      </c>
      <c r="B297" s="621" t="s">
        <v>1245</v>
      </c>
      <c r="C297" s="628" t="s">
        <v>36</v>
      </c>
      <c r="D297" s="580"/>
      <c r="E297" s="581"/>
      <c r="F297" s="581"/>
      <c r="G297" s="778"/>
      <c r="H297" s="581"/>
      <c r="I297" s="582"/>
      <c r="J297" s="582"/>
      <c r="K297" s="582"/>
      <c r="L297" s="575"/>
      <c r="M297" s="575"/>
      <c r="N297" s="809"/>
      <c r="O297" s="575"/>
      <c r="P297" s="575"/>
      <c r="Q297" s="575"/>
      <c r="R297" s="575"/>
      <c r="S297" s="575"/>
      <c r="T297" s="575"/>
      <c r="U297" s="809"/>
      <c r="V297" s="575"/>
      <c r="W297" s="575"/>
      <c r="X297" s="575"/>
      <c r="Y297" s="575"/>
      <c r="Z297" s="575"/>
      <c r="AA297" s="575"/>
      <c r="AB297" s="809"/>
      <c r="AC297" s="575"/>
      <c r="AD297" s="575"/>
      <c r="AE297" s="575"/>
      <c r="AF297" s="817"/>
      <c r="AG297" s="575"/>
      <c r="AH297" s="575"/>
      <c r="AI297" s="738">
        <f t="shared" si="19"/>
        <v>0</v>
      </c>
      <c r="AJ297" s="582">
        <v>0</v>
      </c>
      <c r="AK297" s="581">
        <f t="shared" si="20"/>
        <v>0</v>
      </c>
      <c r="AL297" s="750" t="s">
        <v>1678</v>
      </c>
      <c r="AM297" s="743">
        <f t="shared" si="21"/>
        <v>6.66</v>
      </c>
    </row>
    <row r="298" spans="1:39" s="560" customFormat="1" ht="14.4" hidden="1" thickBot="1">
      <c r="A298" s="620" t="s">
        <v>894</v>
      </c>
      <c r="B298" s="621" t="s">
        <v>1272</v>
      </c>
      <c r="C298" s="628" t="s">
        <v>36</v>
      </c>
      <c r="D298" s="580"/>
      <c r="E298" s="581"/>
      <c r="F298" s="581"/>
      <c r="G298" s="778"/>
      <c r="H298" s="581"/>
      <c r="I298" s="582"/>
      <c r="J298" s="582"/>
      <c r="K298" s="582"/>
      <c r="L298" s="575"/>
      <c r="M298" s="575"/>
      <c r="N298" s="809"/>
      <c r="O298" s="575"/>
      <c r="P298" s="575"/>
      <c r="Q298" s="575"/>
      <c r="R298" s="575"/>
      <c r="S298" s="575"/>
      <c r="T298" s="575"/>
      <c r="U298" s="809"/>
      <c r="V298" s="575"/>
      <c r="W298" s="575"/>
      <c r="X298" s="575"/>
      <c r="Y298" s="575"/>
      <c r="Z298" s="575"/>
      <c r="AA298" s="575"/>
      <c r="AB298" s="809"/>
      <c r="AC298" s="575"/>
      <c r="AD298" s="575"/>
      <c r="AE298" s="575"/>
      <c r="AF298" s="817"/>
      <c r="AG298" s="575"/>
      <c r="AH298" s="575"/>
      <c r="AI298" s="738">
        <f t="shared" si="19"/>
        <v>0</v>
      </c>
      <c r="AJ298" s="582">
        <v>0</v>
      </c>
      <c r="AK298" s="581">
        <f t="shared" si="20"/>
        <v>0</v>
      </c>
      <c r="AL298" s="750" t="s">
        <v>1679</v>
      </c>
      <c r="AM298" s="743">
        <f t="shared" si="21"/>
        <v>7.76</v>
      </c>
    </row>
    <row r="299" spans="1:39" s="560" customFormat="1" ht="14.4" hidden="1" thickBot="1">
      <c r="A299" s="620" t="s">
        <v>895</v>
      </c>
      <c r="B299" s="621" t="s">
        <v>1247</v>
      </c>
      <c r="C299" s="628" t="s">
        <v>37</v>
      </c>
      <c r="D299" s="580"/>
      <c r="E299" s="581"/>
      <c r="F299" s="581"/>
      <c r="G299" s="778"/>
      <c r="H299" s="581"/>
      <c r="I299" s="582"/>
      <c r="J299" s="582"/>
      <c r="K299" s="582"/>
      <c r="L299" s="575"/>
      <c r="M299" s="575"/>
      <c r="N299" s="809"/>
      <c r="O299" s="575"/>
      <c r="P299" s="575"/>
      <c r="Q299" s="575"/>
      <c r="R299" s="575"/>
      <c r="S299" s="575"/>
      <c r="T299" s="575"/>
      <c r="U299" s="809"/>
      <c r="V299" s="575"/>
      <c r="W299" s="575"/>
      <c r="X299" s="575"/>
      <c r="Y299" s="575"/>
      <c r="Z299" s="575"/>
      <c r="AA299" s="575"/>
      <c r="AB299" s="809"/>
      <c r="AC299" s="575"/>
      <c r="AD299" s="575"/>
      <c r="AE299" s="575"/>
      <c r="AF299" s="817"/>
      <c r="AG299" s="575"/>
      <c r="AH299" s="575"/>
      <c r="AI299" s="738">
        <f t="shared" si="19"/>
        <v>0</v>
      </c>
      <c r="AJ299" s="582">
        <v>0</v>
      </c>
      <c r="AK299" s="581">
        <f t="shared" si="20"/>
        <v>0</v>
      </c>
      <c r="AL299" s="750" t="s">
        <v>1680</v>
      </c>
      <c r="AM299" s="743">
        <f t="shared" si="21"/>
        <v>25.31</v>
      </c>
    </row>
    <row r="300" spans="1:39" s="560" customFormat="1" ht="14.4" hidden="1" thickBot="1">
      <c r="A300" s="620" t="s">
        <v>896</v>
      </c>
      <c r="B300" s="621" t="s">
        <v>1184</v>
      </c>
      <c r="C300" s="628"/>
      <c r="D300" s="580"/>
      <c r="E300" s="581"/>
      <c r="F300" s="581"/>
      <c r="G300" s="778"/>
      <c r="H300" s="581"/>
      <c r="I300" s="582"/>
      <c r="J300" s="582"/>
      <c r="K300" s="582"/>
      <c r="L300" s="575"/>
      <c r="M300" s="575"/>
      <c r="N300" s="809"/>
      <c r="O300" s="575"/>
      <c r="P300" s="575"/>
      <c r="Q300" s="575"/>
      <c r="R300" s="575"/>
      <c r="S300" s="575"/>
      <c r="T300" s="575"/>
      <c r="U300" s="809"/>
      <c r="V300" s="575"/>
      <c r="W300" s="575"/>
      <c r="X300" s="575"/>
      <c r="Y300" s="575"/>
      <c r="Z300" s="575"/>
      <c r="AA300" s="575"/>
      <c r="AB300" s="809"/>
      <c r="AC300" s="575"/>
      <c r="AD300" s="575"/>
      <c r="AE300" s="575"/>
      <c r="AF300" s="817"/>
      <c r="AG300" s="575"/>
      <c r="AH300" s="575"/>
      <c r="AI300" s="738">
        <f t="shared" si="19"/>
        <v>0</v>
      </c>
      <c r="AJ300" s="582">
        <v>0</v>
      </c>
      <c r="AK300" s="581">
        <f t="shared" si="20"/>
        <v>0</v>
      </c>
      <c r="AL300" s="750"/>
      <c r="AM300" s="743">
        <f t="shared" si="21"/>
        <v>0</v>
      </c>
    </row>
    <row r="301" spans="1:39" s="560" customFormat="1" ht="14.4" hidden="1" thickBot="1">
      <c r="A301" s="620" t="s">
        <v>897</v>
      </c>
      <c r="B301" s="621" t="s">
        <v>1248</v>
      </c>
      <c r="C301" s="628" t="s">
        <v>36</v>
      </c>
      <c r="D301" s="580"/>
      <c r="E301" s="581"/>
      <c r="F301" s="581"/>
      <c r="G301" s="778"/>
      <c r="H301" s="581"/>
      <c r="I301" s="582"/>
      <c r="J301" s="582"/>
      <c r="K301" s="582"/>
      <c r="L301" s="575"/>
      <c r="M301" s="575"/>
      <c r="N301" s="809"/>
      <c r="O301" s="575"/>
      <c r="P301" s="575"/>
      <c r="Q301" s="575"/>
      <c r="R301" s="575"/>
      <c r="S301" s="575"/>
      <c r="T301" s="575"/>
      <c r="U301" s="809"/>
      <c r="V301" s="575"/>
      <c r="W301" s="575"/>
      <c r="X301" s="575"/>
      <c r="Y301" s="575"/>
      <c r="Z301" s="575"/>
      <c r="AA301" s="575"/>
      <c r="AB301" s="809"/>
      <c r="AC301" s="575"/>
      <c r="AD301" s="575"/>
      <c r="AE301" s="575"/>
      <c r="AF301" s="817"/>
      <c r="AG301" s="575"/>
      <c r="AH301" s="575"/>
      <c r="AI301" s="738">
        <f t="shared" si="19"/>
        <v>0</v>
      </c>
      <c r="AJ301" s="582">
        <v>0</v>
      </c>
      <c r="AK301" s="581">
        <f t="shared" si="20"/>
        <v>0</v>
      </c>
      <c r="AL301" s="750" t="s">
        <v>1681</v>
      </c>
      <c r="AM301" s="743">
        <f t="shared" si="21"/>
        <v>34.93</v>
      </c>
    </row>
    <row r="302" spans="1:39" s="560" customFormat="1" ht="14.4" hidden="1" thickBot="1">
      <c r="A302" s="620" t="s">
        <v>898</v>
      </c>
      <c r="B302" s="621" t="s">
        <v>1249</v>
      </c>
      <c r="C302" s="628" t="s">
        <v>37</v>
      </c>
      <c r="D302" s="580"/>
      <c r="E302" s="581"/>
      <c r="F302" s="581"/>
      <c r="G302" s="778"/>
      <c r="H302" s="581"/>
      <c r="I302" s="582"/>
      <c r="J302" s="582"/>
      <c r="K302" s="582"/>
      <c r="L302" s="575"/>
      <c r="M302" s="575"/>
      <c r="N302" s="809"/>
      <c r="O302" s="575"/>
      <c r="P302" s="575"/>
      <c r="Q302" s="575"/>
      <c r="R302" s="575"/>
      <c r="S302" s="575"/>
      <c r="T302" s="575"/>
      <c r="U302" s="809"/>
      <c r="V302" s="575"/>
      <c r="W302" s="575"/>
      <c r="X302" s="575"/>
      <c r="Y302" s="575"/>
      <c r="Z302" s="575"/>
      <c r="AA302" s="575"/>
      <c r="AB302" s="809"/>
      <c r="AC302" s="575"/>
      <c r="AD302" s="575"/>
      <c r="AE302" s="575"/>
      <c r="AF302" s="817"/>
      <c r="AG302" s="575"/>
      <c r="AH302" s="575"/>
      <c r="AI302" s="738">
        <f t="shared" si="19"/>
        <v>0</v>
      </c>
      <c r="AJ302" s="582">
        <v>0</v>
      </c>
      <c r="AK302" s="581">
        <f t="shared" si="20"/>
        <v>0</v>
      </c>
      <c r="AL302" s="750" t="s">
        <v>1675</v>
      </c>
      <c r="AM302" s="743">
        <f t="shared" si="21"/>
        <v>6.15</v>
      </c>
    </row>
    <row r="303" spans="1:39" s="560" customFormat="1" ht="14.4" hidden="1" thickBot="1">
      <c r="A303" s="620" t="s">
        <v>899</v>
      </c>
      <c r="B303" s="621" t="s">
        <v>1250</v>
      </c>
      <c r="C303" s="628"/>
      <c r="D303" s="580"/>
      <c r="E303" s="581"/>
      <c r="F303" s="581"/>
      <c r="G303" s="778"/>
      <c r="H303" s="581"/>
      <c r="I303" s="582"/>
      <c r="J303" s="582"/>
      <c r="K303" s="582"/>
      <c r="L303" s="575"/>
      <c r="M303" s="575"/>
      <c r="N303" s="809"/>
      <c r="O303" s="575"/>
      <c r="P303" s="575"/>
      <c r="Q303" s="575"/>
      <c r="R303" s="575"/>
      <c r="S303" s="575"/>
      <c r="T303" s="575"/>
      <c r="U303" s="809"/>
      <c r="V303" s="575"/>
      <c r="W303" s="575"/>
      <c r="X303" s="575"/>
      <c r="Y303" s="575"/>
      <c r="Z303" s="575"/>
      <c r="AA303" s="575"/>
      <c r="AB303" s="809"/>
      <c r="AC303" s="575"/>
      <c r="AD303" s="575"/>
      <c r="AE303" s="575"/>
      <c r="AF303" s="817"/>
      <c r="AG303" s="575"/>
      <c r="AH303" s="575"/>
      <c r="AI303" s="738">
        <f t="shared" si="19"/>
        <v>0</v>
      </c>
      <c r="AJ303" s="582">
        <v>0</v>
      </c>
      <c r="AK303" s="581">
        <f t="shared" si="20"/>
        <v>0</v>
      </c>
      <c r="AL303" s="750"/>
      <c r="AM303" s="743">
        <f t="shared" si="21"/>
        <v>0</v>
      </c>
    </row>
    <row r="304" spans="1:39" s="560" customFormat="1" ht="14.4" hidden="1" thickBot="1">
      <c r="A304" s="620" t="s">
        <v>900</v>
      </c>
      <c r="B304" s="621" t="s">
        <v>1251</v>
      </c>
      <c r="C304" s="628" t="s">
        <v>36</v>
      </c>
      <c r="D304" s="580"/>
      <c r="E304" s="581"/>
      <c r="F304" s="581"/>
      <c r="G304" s="778"/>
      <c r="H304" s="581"/>
      <c r="I304" s="582"/>
      <c r="J304" s="582"/>
      <c r="K304" s="582"/>
      <c r="L304" s="575"/>
      <c r="M304" s="575"/>
      <c r="N304" s="809"/>
      <c r="O304" s="575"/>
      <c r="P304" s="575"/>
      <c r="Q304" s="575"/>
      <c r="R304" s="575"/>
      <c r="S304" s="575"/>
      <c r="T304" s="575"/>
      <c r="U304" s="809"/>
      <c r="V304" s="575"/>
      <c r="W304" s="575"/>
      <c r="X304" s="575"/>
      <c r="Y304" s="575"/>
      <c r="Z304" s="575"/>
      <c r="AA304" s="575"/>
      <c r="AB304" s="809"/>
      <c r="AC304" s="575"/>
      <c r="AD304" s="575"/>
      <c r="AE304" s="575"/>
      <c r="AF304" s="817"/>
      <c r="AG304" s="575"/>
      <c r="AH304" s="575"/>
      <c r="AI304" s="738">
        <f t="shared" si="19"/>
        <v>0</v>
      </c>
      <c r="AJ304" s="582">
        <v>0</v>
      </c>
      <c r="AK304" s="581">
        <f t="shared" si="20"/>
        <v>0</v>
      </c>
      <c r="AL304" s="750" t="s">
        <v>1682</v>
      </c>
      <c r="AM304" s="743">
        <f t="shared" si="21"/>
        <v>3.78</v>
      </c>
    </row>
    <row r="305" spans="1:39" s="560" customFormat="1" ht="14.4" hidden="1" thickBot="1">
      <c r="A305" s="620" t="s">
        <v>901</v>
      </c>
      <c r="B305" s="621" t="s">
        <v>1281</v>
      </c>
      <c r="C305" s="628" t="s">
        <v>36</v>
      </c>
      <c r="D305" s="580"/>
      <c r="E305" s="581"/>
      <c r="F305" s="581"/>
      <c r="G305" s="778"/>
      <c r="H305" s="581"/>
      <c r="I305" s="582"/>
      <c r="J305" s="582"/>
      <c r="K305" s="582"/>
      <c r="L305" s="575"/>
      <c r="M305" s="575"/>
      <c r="N305" s="809"/>
      <c r="O305" s="575"/>
      <c r="P305" s="575"/>
      <c r="Q305" s="575"/>
      <c r="R305" s="575"/>
      <c r="S305" s="575"/>
      <c r="T305" s="575"/>
      <c r="U305" s="809"/>
      <c r="V305" s="575"/>
      <c r="W305" s="575"/>
      <c r="X305" s="575"/>
      <c r="Y305" s="575"/>
      <c r="Z305" s="575"/>
      <c r="AA305" s="575"/>
      <c r="AB305" s="809"/>
      <c r="AC305" s="575"/>
      <c r="AD305" s="575"/>
      <c r="AE305" s="575"/>
      <c r="AF305" s="817"/>
      <c r="AG305" s="575"/>
      <c r="AH305" s="575"/>
      <c r="AI305" s="738">
        <f t="shared" si="19"/>
        <v>0</v>
      </c>
      <c r="AJ305" s="582">
        <v>0</v>
      </c>
      <c r="AK305" s="581">
        <f t="shared" si="20"/>
        <v>0</v>
      </c>
      <c r="AL305" s="750" t="s">
        <v>1683</v>
      </c>
      <c r="AM305" s="743">
        <f t="shared" si="21"/>
        <v>1.47</v>
      </c>
    </row>
    <row r="306" spans="1:39" s="560" customFormat="1" ht="14.4" hidden="1" thickBot="1">
      <c r="A306" s="620" t="s">
        <v>902</v>
      </c>
      <c r="B306" s="621" t="s">
        <v>1252</v>
      </c>
      <c r="C306" s="628"/>
      <c r="D306" s="580"/>
      <c r="E306" s="581"/>
      <c r="F306" s="581"/>
      <c r="G306" s="778"/>
      <c r="H306" s="581"/>
      <c r="I306" s="582"/>
      <c r="J306" s="582"/>
      <c r="K306" s="582"/>
      <c r="L306" s="575"/>
      <c r="M306" s="575"/>
      <c r="N306" s="809"/>
      <c r="O306" s="575"/>
      <c r="P306" s="575"/>
      <c r="Q306" s="575"/>
      <c r="R306" s="575"/>
      <c r="S306" s="575"/>
      <c r="T306" s="575"/>
      <c r="U306" s="809"/>
      <c r="V306" s="575"/>
      <c r="W306" s="575"/>
      <c r="X306" s="575"/>
      <c r="Y306" s="575"/>
      <c r="Z306" s="575"/>
      <c r="AA306" s="575"/>
      <c r="AB306" s="809"/>
      <c r="AC306" s="575"/>
      <c r="AD306" s="575"/>
      <c r="AE306" s="575"/>
      <c r="AF306" s="817"/>
      <c r="AG306" s="575"/>
      <c r="AH306" s="575"/>
      <c r="AI306" s="738">
        <f t="shared" si="19"/>
        <v>0</v>
      </c>
      <c r="AJ306" s="582">
        <v>0</v>
      </c>
      <c r="AK306" s="581">
        <f t="shared" si="20"/>
        <v>0</v>
      </c>
      <c r="AL306" s="750"/>
      <c r="AM306" s="743">
        <f t="shared" si="21"/>
        <v>0</v>
      </c>
    </row>
    <row r="307" spans="1:39" s="560" customFormat="1" ht="14.4" hidden="1" thickBot="1">
      <c r="A307" s="620" t="s">
        <v>903</v>
      </c>
      <c r="B307" s="621" t="s">
        <v>1253</v>
      </c>
      <c r="C307" s="628" t="s">
        <v>1437</v>
      </c>
      <c r="D307" s="580"/>
      <c r="E307" s="581"/>
      <c r="F307" s="581"/>
      <c r="G307" s="778"/>
      <c r="H307" s="581"/>
      <c r="I307" s="582"/>
      <c r="J307" s="582"/>
      <c r="K307" s="582"/>
      <c r="L307" s="575"/>
      <c r="M307" s="575"/>
      <c r="N307" s="809"/>
      <c r="O307" s="575"/>
      <c r="P307" s="575"/>
      <c r="Q307" s="575"/>
      <c r="R307" s="575"/>
      <c r="S307" s="575"/>
      <c r="T307" s="575"/>
      <c r="U307" s="809"/>
      <c r="V307" s="575"/>
      <c r="W307" s="575"/>
      <c r="X307" s="575"/>
      <c r="Y307" s="575"/>
      <c r="Z307" s="575"/>
      <c r="AA307" s="575"/>
      <c r="AB307" s="809"/>
      <c r="AC307" s="575"/>
      <c r="AD307" s="575"/>
      <c r="AE307" s="575"/>
      <c r="AF307" s="817"/>
      <c r="AG307" s="575"/>
      <c r="AH307" s="575"/>
      <c r="AI307" s="738">
        <f t="shared" ref="AI307:AI370" si="22">ROUND((SUM(D307:L307)),2)</f>
        <v>0</v>
      </c>
      <c r="AJ307" s="582">
        <v>0</v>
      </c>
      <c r="AK307" s="581">
        <f t="shared" si="20"/>
        <v>0</v>
      </c>
      <c r="AL307" s="750" t="s">
        <v>1627</v>
      </c>
      <c r="AM307" s="743">
        <f t="shared" si="21"/>
        <v>9</v>
      </c>
    </row>
    <row r="308" spans="1:39" s="560" customFormat="1" ht="14.4" hidden="1" thickBot="1">
      <c r="A308" s="620" t="s">
        <v>904</v>
      </c>
      <c r="B308" s="621" t="s">
        <v>1254</v>
      </c>
      <c r="C308" s="628" t="s">
        <v>35</v>
      </c>
      <c r="D308" s="580"/>
      <c r="E308" s="581"/>
      <c r="F308" s="581"/>
      <c r="G308" s="778"/>
      <c r="H308" s="581"/>
      <c r="I308" s="582"/>
      <c r="J308" s="582"/>
      <c r="K308" s="582"/>
      <c r="L308" s="575"/>
      <c r="M308" s="575"/>
      <c r="N308" s="809"/>
      <c r="O308" s="575"/>
      <c r="P308" s="575"/>
      <c r="Q308" s="575"/>
      <c r="R308" s="575"/>
      <c r="S308" s="575"/>
      <c r="T308" s="575"/>
      <c r="U308" s="809"/>
      <c r="V308" s="575"/>
      <c r="W308" s="575"/>
      <c r="X308" s="575"/>
      <c r="Y308" s="575"/>
      <c r="Z308" s="575"/>
      <c r="AA308" s="575"/>
      <c r="AB308" s="809"/>
      <c r="AC308" s="575"/>
      <c r="AD308" s="575"/>
      <c r="AE308" s="575"/>
      <c r="AF308" s="817"/>
      <c r="AG308" s="575"/>
      <c r="AH308" s="575"/>
      <c r="AI308" s="738">
        <f t="shared" si="22"/>
        <v>0</v>
      </c>
      <c r="AJ308" s="582">
        <v>0</v>
      </c>
      <c r="AK308" s="581">
        <f t="shared" si="20"/>
        <v>0</v>
      </c>
      <c r="AL308" s="750" t="s">
        <v>1684</v>
      </c>
      <c r="AM308" s="743">
        <f t="shared" si="21"/>
        <v>2</v>
      </c>
    </row>
    <row r="309" spans="1:39" s="560" customFormat="1" ht="14.4" hidden="1" thickBot="1">
      <c r="A309" s="620" t="s">
        <v>905</v>
      </c>
      <c r="B309" s="621" t="s">
        <v>1282</v>
      </c>
      <c r="C309" s="628" t="s">
        <v>35</v>
      </c>
      <c r="D309" s="580"/>
      <c r="E309" s="581"/>
      <c r="F309" s="581"/>
      <c r="G309" s="778"/>
      <c r="H309" s="581"/>
      <c r="I309" s="582"/>
      <c r="J309" s="582"/>
      <c r="K309" s="582"/>
      <c r="L309" s="575"/>
      <c r="M309" s="575"/>
      <c r="N309" s="809"/>
      <c r="O309" s="575"/>
      <c r="P309" s="575"/>
      <c r="Q309" s="575"/>
      <c r="R309" s="575"/>
      <c r="S309" s="575"/>
      <c r="T309" s="575"/>
      <c r="U309" s="809"/>
      <c r="V309" s="575"/>
      <c r="W309" s="575"/>
      <c r="X309" s="575"/>
      <c r="Y309" s="575"/>
      <c r="Z309" s="575"/>
      <c r="AA309" s="575"/>
      <c r="AB309" s="809"/>
      <c r="AC309" s="575"/>
      <c r="AD309" s="575"/>
      <c r="AE309" s="575"/>
      <c r="AF309" s="817"/>
      <c r="AG309" s="575"/>
      <c r="AH309" s="575"/>
      <c r="AI309" s="738">
        <f t="shared" si="22"/>
        <v>0</v>
      </c>
      <c r="AJ309" s="582">
        <v>0</v>
      </c>
      <c r="AK309" s="581">
        <f t="shared" si="20"/>
        <v>0</v>
      </c>
      <c r="AL309" s="750" t="s">
        <v>1441</v>
      </c>
      <c r="AM309" s="743">
        <f t="shared" si="21"/>
        <v>1</v>
      </c>
    </row>
    <row r="310" spans="1:39" s="560" customFormat="1" ht="14.4" hidden="1" thickBot="1">
      <c r="A310" s="620" t="s">
        <v>906</v>
      </c>
      <c r="B310" s="621" t="s">
        <v>1255</v>
      </c>
      <c r="C310" s="628"/>
      <c r="D310" s="580"/>
      <c r="E310" s="581"/>
      <c r="F310" s="581"/>
      <c r="G310" s="778"/>
      <c r="H310" s="581"/>
      <c r="I310" s="582"/>
      <c r="J310" s="582"/>
      <c r="K310" s="582"/>
      <c r="L310" s="575"/>
      <c r="M310" s="575"/>
      <c r="N310" s="809"/>
      <c r="O310" s="575"/>
      <c r="P310" s="575"/>
      <c r="Q310" s="575"/>
      <c r="R310" s="575"/>
      <c r="S310" s="575"/>
      <c r="T310" s="575"/>
      <c r="U310" s="809"/>
      <c r="V310" s="575"/>
      <c r="W310" s="575"/>
      <c r="X310" s="575"/>
      <c r="Y310" s="575"/>
      <c r="Z310" s="575"/>
      <c r="AA310" s="575"/>
      <c r="AB310" s="809"/>
      <c r="AC310" s="575"/>
      <c r="AD310" s="575"/>
      <c r="AE310" s="575"/>
      <c r="AF310" s="817"/>
      <c r="AG310" s="575"/>
      <c r="AH310" s="575"/>
      <c r="AI310" s="738">
        <f t="shared" si="22"/>
        <v>0</v>
      </c>
      <c r="AJ310" s="582">
        <v>0</v>
      </c>
      <c r="AK310" s="581">
        <f t="shared" si="20"/>
        <v>0</v>
      </c>
      <c r="AL310" s="750"/>
      <c r="AM310" s="743">
        <f t="shared" si="21"/>
        <v>0</v>
      </c>
    </row>
    <row r="311" spans="1:39" s="560" customFormat="1" ht="14.4" hidden="1" thickBot="1">
      <c r="A311" s="620" t="s">
        <v>907</v>
      </c>
      <c r="B311" s="621" t="s">
        <v>1256</v>
      </c>
      <c r="C311" s="628" t="s">
        <v>36</v>
      </c>
      <c r="D311" s="580"/>
      <c r="E311" s="581"/>
      <c r="F311" s="581"/>
      <c r="G311" s="778"/>
      <c r="H311" s="581"/>
      <c r="I311" s="582"/>
      <c r="J311" s="582"/>
      <c r="K311" s="582"/>
      <c r="L311" s="575"/>
      <c r="M311" s="575"/>
      <c r="N311" s="809"/>
      <c r="O311" s="575"/>
      <c r="P311" s="575"/>
      <c r="Q311" s="575"/>
      <c r="R311" s="575"/>
      <c r="S311" s="575"/>
      <c r="T311" s="575"/>
      <c r="U311" s="809"/>
      <c r="V311" s="575"/>
      <c r="W311" s="575"/>
      <c r="X311" s="575"/>
      <c r="Y311" s="575"/>
      <c r="Z311" s="575"/>
      <c r="AA311" s="575"/>
      <c r="AB311" s="809"/>
      <c r="AC311" s="575"/>
      <c r="AD311" s="575"/>
      <c r="AE311" s="575"/>
      <c r="AF311" s="817"/>
      <c r="AG311" s="575"/>
      <c r="AH311" s="575"/>
      <c r="AI311" s="738">
        <f t="shared" si="22"/>
        <v>0</v>
      </c>
      <c r="AJ311" s="582">
        <v>0</v>
      </c>
      <c r="AK311" s="581">
        <f t="shared" si="20"/>
        <v>0</v>
      </c>
      <c r="AL311" s="750" t="s">
        <v>1685</v>
      </c>
      <c r="AM311" s="743">
        <f t="shared" si="21"/>
        <v>7.54</v>
      </c>
    </row>
    <row r="312" spans="1:39" s="560" customFormat="1" ht="14.4" hidden="1" thickBot="1">
      <c r="A312" s="620" t="s">
        <v>908</v>
      </c>
      <c r="B312" s="621" t="s">
        <v>1257</v>
      </c>
      <c r="C312" s="628" t="s">
        <v>36</v>
      </c>
      <c r="D312" s="580"/>
      <c r="E312" s="581"/>
      <c r="F312" s="581"/>
      <c r="G312" s="778"/>
      <c r="H312" s="581"/>
      <c r="I312" s="582"/>
      <c r="J312" s="582"/>
      <c r="K312" s="582"/>
      <c r="L312" s="575"/>
      <c r="M312" s="575"/>
      <c r="N312" s="809"/>
      <c r="O312" s="575"/>
      <c r="P312" s="575"/>
      <c r="Q312" s="575"/>
      <c r="R312" s="575"/>
      <c r="S312" s="575"/>
      <c r="T312" s="575"/>
      <c r="U312" s="809"/>
      <c r="V312" s="575"/>
      <c r="W312" s="575"/>
      <c r="X312" s="575"/>
      <c r="Y312" s="575"/>
      <c r="Z312" s="575"/>
      <c r="AA312" s="575"/>
      <c r="AB312" s="809"/>
      <c r="AC312" s="575"/>
      <c r="AD312" s="575"/>
      <c r="AE312" s="575"/>
      <c r="AF312" s="817"/>
      <c r="AG312" s="575"/>
      <c r="AH312" s="575"/>
      <c r="AI312" s="738">
        <f t="shared" si="22"/>
        <v>0</v>
      </c>
      <c r="AJ312" s="582">
        <v>0</v>
      </c>
      <c r="AK312" s="581">
        <f t="shared" si="20"/>
        <v>0</v>
      </c>
      <c r="AL312" s="750" t="s">
        <v>1686</v>
      </c>
      <c r="AM312" s="743">
        <f t="shared" si="21"/>
        <v>1.25</v>
      </c>
    </row>
    <row r="313" spans="1:39" s="560" customFormat="1" ht="14.4" hidden="1" thickBot="1">
      <c r="A313" s="620" t="s">
        <v>909</v>
      </c>
      <c r="B313" s="621" t="s">
        <v>1258</v>
      </c>
      <c r="C313" s="628"/>
      <c r="D313" s="580"/>
      <c r="E313" s="581"/>
      <c r="F313" s="581"/>
      <c r="G313" s="778"/>
      <c r="H313" s="581"/>
      <c r="I313" s="582"/>
      <c r="J313" s="582"/>
      <c r="K313" s="582"/>
      <c r="L313" s="575"/>
      <c r="M313" s="575"/>
      <c r="N313" s="809"/>
      <c r="O313" s="575"/>
      <c r="P313" s="575"/>
      <c r="Q313" s="575"/>
      <c r="R313" s="575"/>
      <c r="S313" s="575"/>
      <c r="T313" s="575"/>
      <c r="U313" s="809"/>
      <c r="V313" s="575"/>
      <c r="W313" s="575"/>
      <c r="X313" s="575"/>
      <c r="Y313" s="575"/>
      <c r="Z313" s="575"/>
      <c r="AA313" s="575"/>
      <c r="AB313" s="809"/>
      <c r="AC313" s="575"/>
      <c r="AD313" s="575"/>
      <c r="AE313" s="575"/>
      <c r="AF313" s="817"/>
      <c r="AG313" s="575"/>
      <c r="AH313" s="575"/>
      <c r="AI313" s="738">
        <f t="shared" si="22"/>
        <v>0</v>
      </c>
      <c r="AJ313" s="582">
        <v>0</v>
      </c>
      <c r="AK313" s="581">
        <f t="shared" si="20"/>
        <v>0</v>
      </c>
      <c r="AL313" s="750"/>
      <c r="AM313" s="743">
        <f t="shared" si="21"/>
        <v>0</v>
      </c>
    </row>
    <row r="314" spans="1:39" s="560" customFormat="1" ht="14.4" hidden="1" thickBot="1">
      <c r="A314" s="620" t="s">
        <v>910</v>
      </c>
      <c r="B314" s="621" t="s">
        <v>1259</v>
      </c>
      <c r="C314" s="628" t="s">
        <v>36</v>
      </c>
      <c r="D314" s="580"/>
      <c r="E314" s="581"/>
      <c r="F314" s="581"/>
      <c r="G314" s="778"/>
      <c r="H314" s="581"/>
      <c r="I314" s="582"/>
      <c r="J314" s="582"/>
      <c r="K314" s="582"/>
      <c r="L314" s="575"/>
      <c r="M314" s="575"/>
      <c r="N314" s="809"/>
      <c r="O314" s="575"/>
      <c r="P314" s="575"/>
      <c r="Q314" s="575"/>
      <c r="R314" s="575"/>
      <c r="S314" s="575"/>
      <c r="T314" s="575"/>
      <c r="U314" s="809"/>
      <c r="V314" s="575"/>
      <c r="W314" s="575"/>
      <c r="X314" s="575"/>
      <c r="Y314" s="575"/>
      <c r="Z314" s="575"/>
      <c r="AA314" s="575"/>
      <c r="AB314" s="809"/>
      <c r="AC314" s="575"/>
      <c r="AD314" s="575"/>
      <c r="AE314" s="575"/>
      <c r="AF314" s="817"/>
      <c r="AG314" s="575"/>
      <c r="AH314" s="575"/>
      <c r="AI314" s="738">
        <f t="shared" si="22"/>
        <v>0</v>
      </c>
      <c r="AJ314" s="582">
        <v>0</v>
      </c>
      <c r="AK314" s="581">
        <f t="shared" si="20"/>
        <v>0</v>
      </c>
      <c r="AL314" s="750" t="s">
        <v>1671</v>
      </c>
      <c r="AM314" s="743">
        <f t="shared" si="21"/>
        <v>38.24</v>
      </c>
    </row>
    <row r="315" spans="1:39" s="560" customFormat="1" ht="14.4" hidden="1" thickBot="1">
      <c r="A315" s="620" t="s">
        <v>911</v>
      </c>
      <c r="B315" s="621" t="s">
        <v>1260</v>
      </c>
      <c r="C315" s="628" t="s">
        <v>36</v>
      </c>
      <c r="D315" s="580"/>
      <c r="E315" s="581"/>
      <c r="F315" s="581"/>
      <c r="G315" s="778"/>
      <c r="H315" s="581"/>
      <c r="I315" s="582"/>
      <c r="J315" s="582"/>
      <c r="K315" s="582"/>
      <c r="L315" s="575"/>
      <c r="M315" s="575"/>
      <c r="N315" s="809"/>
      <c r="O315" s="575"/>
      <c r="P315" s="575"/>
      <c r="Q315" s="575"/>
      <c r="R315" s="575"/>
      <c r="S315" s="575"/>
      <c r="T315" s="575"/>
      <c r="U315" s="809"/>
      <c r="V315" s="575"/>
      <c r="W315" s="575"/>
      <c r="X315" s="575"/>
      <c r="Y315" s="575"/>
      <c r="Z315" s="575"/>
      <c r="AA315" s="575"/>
      <c r="AB315" s="809"/>
      <c r="AC315" s="575"/>
      <c r="AD315" s="575"/>
      <c r="AE315" s="575"/>
      <c r="AF315" s="817"/>
      <c r="AG315" s="575"/>
      <c r="AH315" s="575"/>
      <c r="AI315" s="738">
        <f t="shared" si="22"/>
        <v>0</v>
      </c>
      <c r="AJ315" s="582">
        <v>0</v>
      </c>
      <c r="AK315" s="581">
        <f t="shared" si="20"/>
        <v>0</v>
      </c>
      <c r="AL315" s="750" t="s">
        <v>1665</v>
      </c>
      <c r="AM315" s="743">
        <f t="shared" si="21"/>
        <v>83.58</v>
      </c>
    </row>
    <row r="316" spans="1:39" s="560" customFormat="1" ht="14.4" hidden="1" thickBot="1">
      <c r="A316" s="620" t="s">
        <v>912</v>
      </c>
      <c r="B316" s="621" t="s">
        <v>1261</v>
      </c>
      <c r="C316" s="628" t="s">
        <v>36</v>
      </c>
      <c r="D316" s="580"/>
      <c r="E316" s="581"/>
      <c r="F316" s="581"/>
      <c r="G316" s="778"/>
      <c r="H316" s="581"/>
      <c r="I316" s="582"/>
      <c r="J316" s="582"/>
      <c r="K316" s="582"/>
      <c r="L316" s="575"/>
      <c r="M316" s="575"/>
      <c r="N316" s="809"/>
      <c r="O316" s="575"/>
      <c r="P316" s="575"/>
      <c r="Q316" s="575"/>
      <c r="R316" s="575"/>
      <c r="S316" s="575"/>
      <c r="T316" s="575"/>
      <c r="U316" s="809"/>
      <c r="V316" s="575"/>
      <c r="W316" s="575"/>
      <c r="X316" s="575"/>
      <c r="Y316" s="575"/>
      <c r="Z316" s="575"/>
      <c r="AA316" s="575"/>
      <c r="AB316" s="809"/>
      <c r="AC316" s="575"/>
      <c r="AD316" s="575"/>
      <c r="AE316" s="575"/>
      <c r="AF316" s="817"/>
      <c r="AG316" s="575"/>
      <c r="AH316" s="575"/>
      <c r="AI316" s="738">
        <f t="shared" si="22"/>
        <v>0</v>
      </c>
      <c r="AJ316" s="582">
        <v>0</v>
      </c>
      <c r="AK316" s="581">
        <f t="shared" si="20"/>
        <v>0</v>
      </c>
      <c r="AL316" s="750" t="s">
        <v>1663</v>
      </c>
      <c r="AM316" s="743">
        <f t="shared" si="21"/>
        <v>45.75</v>
      </c>
    </row>
    <row r="317" spans="1:39" s="560" customFormat="1" ht="14.4" hidden="1" thickBot="1">
      <c r="A317" s="620" t="s">
        <v>913</v>
      </c>
      <c r="B317" s="621" t="s">
        <v>1262</v>
      </c>
      <c r="C317" s="628" t="s">
        <v>36</v>
      </c>
      <c r="D317" s="580"/>
      <c r="E317" s="581"/>
      <c r="F317" s="581"/>
      <c r="G317" s="778"/>
      <c r="H317" s="581"/>
      <c r="I317" s="582"/>
      <c r="J317" s="582"/>
      <c r="K317" s="582"/>
      <c r="L317" s="575"/>
      <c r="M317" s="575"/>
      <c r="N317" s="809"/>
      <c r="O317" s="575"/>
      <c r="P317" s="575"/>
      <c r="Q317" s="575"/>
      <c r="R317" s="575"/>
      <c r="S317" s="575"/>
      <c r="T317" s="575"/>
      <c r="U317" s="809"/>
      <c r="V317" s="575"/>
      <c r="W317" s="575"/>
      <c r="X317" s="575"/>
      <c r="Y317" s="575"/>
      <c r="Z317" s="575"/>
      <c r="AA317" s="575"/>
      <c r="AB317" s="809"/>
      <c r="AC317" s="575"/>
      <c r="AD317" s="575"/>
      <c r="AE317" s="575"/>
      <c r="AF317" s="817"/>
      <c r="AG317" s="575"/>
      <c r="AH317" s="575"/>
      <c r="AI317" s="738">
        <f t="shared" si="22"/>
        <v>0</v>
      </c>
      <c r="AJ317" s="582">
        <v>0</v>
      </c>
      <c r="AK317" s="581">
        <f t="shared" si="20"/>
        <v>0</v>
      </c>
      <c r="AL317" s="750" t="s">
        <v>1666</v>
      </c>
      <c r="AM317" s="743">
        <f t="shared" si="21"/>
        <v>12.95</v>
      </c>
    </row>
    <row r="318" spans="1:39" s="560" customFormat="1" ht="14.4" hidden="1" thickBot="1">
      <c r="A318" s="620" t="s">
        <v>914</v>
      </c>
      <c r="B318" s="621" t="s">
        <v>1263</v>
      </c>
      <c r="C318" s="628" t="s">
        <v>36</v>
      </c>
      <c r="D318" s="580"/>
      <c r="E318" s="581"/>
      <c r="F318" s="581"/>
      <c r="G318" s="778"/>
      <c r="H318" s="581"/>
      <c r="I318" s="582"/>
      <c r="J318" s="582"/>
      <c r="K318" s="582"/>
      <c r="L318" s="575"/>
      <c r="M318" s="575"/>
      <c r="N318" s="809"/>
      <c r="O318" s="575"/>
      <c r="P318" s="575"/>
      <c r="Q318" s="575"/>
      <c r="R318" s="575"/>
      <c r="S318" s="575"/>
      <c r="T318" s="575"/>
      <c r="U318" s="809"/>
      <c r="V318" s="575"/>
      <c r="W318" s="575"/>
      <c r="X318" s="575"/>
      <c r="Y318" s="575"/>
      <c r="Z318" s="575"/>
      <c r="AA318" s="575"/>
      <c r="AB318" s="809"/>
      <c r="AC318" s="575"/>
      <c r="AD318" s="575"/>
      <c r="AE318" s="575"/>
      <c r="AF318" s="817"/>
      <c r="AG318" s="575"/>
      <c r="AH318" s="575"/>
      <c r="AI318" s="738">
        <f t="shared" si="22"/>
        <v>0</v>
      </c>
      <c r="AJ318" s="582">
        <v>0</v>
      </c>
      <c r="AK318" s="581">
        <f t="shared" si="20"/>
        <v>0</v>
      </c>
      <c r="AL318" s="750" t="s">
        <v>1667</v>
      </c>
      <c r="AM318" s="743">
        <f t="shared" si="21"/>
        <v>24.87</v>
      </c>
    </row>
    <row r="319" spans="1:39" s="560" customFormat="1" ht="14.4" hidden="1" thickBot="1">
      <c r="A319" s="620" t="s">
        <v>915</v>
      </c>
      <c r="B319" s="621" t="s">
        <v>1264</v>
      </c>
      <c r="C319" s="628" t="s">
        <v>36</v>
      </c>
      <c r="D319" s="580"/>
      <c r="E319" s="581"/>
      <c r="F319" s="581"/>
      <c r="G319" s="778"/>
      <c r="H319" s="581"/>
      <c r="I319" s="582"/>
      <c r="J319" s="582"/>
      <c r="K319" s="582"/>
      <c r="L319" s="575"/>
      <c r="M319" s="575"/>
      <c r="N319" s="809"/>
      <c r="O319" s="575"/>
      <c r="P319" s="575"/>
      <c r="Q319" s="575"/>
      <c r="R319" s="575"/>
      <c r="S319" s="575"/>
      <c r="T319" s="575"/>
      <c r="U319" s="809"/>
      <c r="V319" s="575"/>
      <c r="W319" s="575"/>
      <c r="X319" s="575"/>
      <c r="Y319" s="575"/>
      <c r="Z319" s="575"/>
      <c r="AA319" s="575"/>
      <c r="AB319" s="809"/>
      <c r="AC319" s="575"/>
      <c r="AD319" s="575"/>
      <c r="AE319" s="575"/>
      <c r="AF319" s="817"/>
      <c r="AG319" s="575"/>
      <c r="AH319" s="575"/>
      <c r="AI319" s="738">
        <f t="shared" si="22"/>
        <v>0</v>
      </c>
      <c r="AJ319" s="582">
        <v>0</v>
      </c>
      <c r="AK319" s="581">
        <f t="shared" si="20"/>
        <v>0</v>
      </c>
      <c r="AL319" s="750" t="s">
        <v>1678</v>
      </c>
      <c r="AM319" s="743">
        <f t="shared" si="21"/>
        <v>6.66</v>
      </c>
    </row>
    <row r="320" spans="1:39" s="560" customFormat="1" ht="14.4" hidden="1" thickBot="1">
      <c r="A320" s="620" t="s">
        <v>916</v>
      </c>
      <c r="B320" s="621" t="s">
        <v>1265</v>
      </c>
      <c r="C320" s="628" t="s">
        <v>36</v>
      </c>
      <c r="D320" s="580"/>
      <c r="E320" s="581"/>
      <c r="F320" s="581"/>
      <c r="G320" s="778"/>
      <c r="H320" s="581"/>
      <c r="I320" s="582"/>
      <c r="J320" s="582"/>
      <c r="K320" s="582"/>
      <c r="L320" s="575"/>
      <c r="M320" s="575"/>
      <c r="N320" s="809"/>
      <c r="O320" s="575"/>
      <c r="P320" s="575"/>
      <c r="Q320" s="575"/>
      <c r="R320" s="575"/>
      <c r="S320" s="575"/>
      <c r="T320" s="575"/>
      <c r="U320" s="809"/>
      <c r="V320" s="575"/>
      <c r="W320" s="575"/>
      <c r="X320" s="575"/>
      <c r="Y320" s="575"/>
      <c r="Z320" s="575"/>
      <c r="AA320" s="575"/>
      <c r="AB320" s="809"/>
      <c r="AC320" s="575"/>
      <c r="AD320" s="575"/>
      <c r="AE320" s="575"/>
      <c r="AF320" s="817"/>
      <c r="AG320" s="575"/>
      <c r="AH320" s="575"/>
      <c r="AI320" s="738">
        <f t="shared" si="22"/>
        <v>0</v>
      </c>
      <c r="AJ320" s="582">
        <v>0</v>
      </c>
      <c r="AK320" s="581">
        <f t="shared" si="20"/>
        <v>0</v>
      </c>
      <c r="AL320" s="750" t="s">
        <v>1687</v>
      </c>
      <c r="AM320" s="743">
        <f t="shared" si="21"/>
        <v>12.48</v>
      </c>
    </row>
    <row r="321" spans="1:39" s="560" customFormat="1" ht="14.4" hidden="1" thickBot="1">
      <c r="A321" s="620" t="s">
        <v>917</v>
      </c>
      <c r="B321" s="621" t="s">
        <v>1266</v>
      </c>
      <c r="C321" s="628"/>
      <c r="D321" s="580"/>
      <c r="E321" s="581"/>
      <c r="F321" s="581"/>
      <c r="G321" s="778"/>
      <c r="H321" s="581"/>
      <c r="I321" s="582"/>
      <c r="J321" s="582"/>
      <c r="K321" s="582"/>
      <c r="L321" s="575"/>
      <c r="M321" s="575"/>
      <c r="N321" s="809"/>
      <c r="O321" s="575"/>
      <c r="P321" s="575"/>
      <c r="Q321" s="575"/>
      <c r="R321" s="575"/>
      <c r="S321" s="575"/>
      <c r="T321" s="575"/>
      <c r="U321" s="809"/>
      <c r="V321" s="575"/>
      <c r="W321" s="575"/>
      <c r="X321" s="575"/>
      <c r="Y321" s="575"/>
      <c r="Z321" s="575"/>
      <c r="AA321" s="575"/>
      <c r="AB321" s="809"/>
      <c r="AC321" s="575"/>
      <c r="AD321" s="575"/>
      <c r="AE321" s="575"/>
      <c r="AF321" s="817"/>
      <c r="AG321" s="575"/>
      <c r="AH321" s="575"/>
      <c r="AI321" s="738">
        <f t="shared" si="22"/>
        <v>0</v>
      </c>
      <c r="AJ321" s="582">
        <v>0</v>
      </c>
      <c r="AK321" s="581">
        <f t="shared" si="20"/>
        <v>0</v>
      </c>
      <c r="AL321" s="750"/>
      <c r="AM321" s="743">
        <f t="shared" si="21"/>
        <v>0</v>
      </c>
    </row>
    <row r="322" spans="1:39" s="560" customFormat="1" ht="14.4" hidden="1" thickBot="1">
      <c r="A322" s="620" t="s">
        <v>918</v>
      </c>
      <c r="B322" s="621" t="s">
        <v>1267</v>
      </c>
      <c r="C322" s="628" t="s">
        <v>1436</v>
      </c>
      <c r="D322" s="580"/>
      <c r="E322" s="581"/>
      <c r="F322" s="581"/>
      <c r="G322" s="778"/>
      <c r="H322" s="581"/>
      <c r="I322" s="582"/>
      <c r="J322" s="582"/>
      <c r="K322" s="582"/>
      <c r="L322" s="575"/>
      <c r="M322" s="575"/>
      <c r="N322" s="809"/>
      <c r="O322" s="575"/>
      <c r="P322" s="575"/>
      <c r="Q322" s="575"/>
      <c r="R322" s="575"/>
      <c r="S322" s="575"/>
      <c r="T322" s="575"/>
      <c r="U322" s="809"/>
      <c r="V322" s="575"/>
      <c r="W322" s="575"/>
      <c r="X322" s="575"/>
      <c r="Y322" s="575"/>
      <c r="Z322" s="575"/>
      <c r="AA322" s="575"/>
      <c r="AB322" s="809"/>
      <c r="AC322" s="575"/>
      <c r="AD322" s="575"/>
      <c r="AE322" s="575"/>
      <c r="AF322" s="817"/>
      <c r="AG322" s="575"/>
      <c r="AH322" s="575"/>
      <c r="AI322" s="738">
        <f t="shared" si="22"/>
        <v>0</v>
      </c>
      <c r="AJ322" s="582">
        <v>0</v>
      </c>
      <c r="AK322" s="581">
        <f t="shared" si="20"/>
        <v>0</v>
      </c>
      <c r="AL322" s="750" t="s">
        <v>1441</v>
      </c>
      <c r="AM322" s="743">
        <f t="shared" si="21"/>
        <v>1</v>
      </c>
    </row>
    <row r="323" spans="1:39" s="560" customFormat="1" ht="14.4" hidden="1" thickBot="1">
      <c r="A323" s="620" t="s">
        <v>919</v>
      </c>
      <c r="B323" s="621" t="s">
        <v>1268</v>
      </c>
      <c r="C323" s="628" t="s">
        <v>63</v>
      </c>
      <c r="D323" s="580"/>
      <c r="E323" s="581"/>
      <c r="F323" s="581"/>
      <c r="G323" s="778"/>
      <c r="H323" s="581"/>
      <c r="I323" s="582"/>
      <c r="J323" s="582"/>
      <c r="K323" s="582"/>
      <c r="L323" s="575"/>
      <c r="M323" s="575"/>
      <c r="N323" s="809"/>
      <c r="O323" s="575"/>
      <c r="P323" s="575"/>
      <c r="Q323" s="575"/>
      <c r="R323" s="575"/>
      <c r="S323" s="575"/>
      <c r="T323" s="575"/>
      <c r="U323" s="809"/>
      <c r="V323" s="575"/>
      <c r="W323" s="575"/>
      <c r="X323" s="575"/>
      <c r="Y323" s="575"/>
      <c r="Z323" s="575"/>
      <c r="AA323" s="575"/>
      <c r="AB323" s="809"/>
      <c r="AC323" s="575"/>
      <c r="AD323" s="575"/>
      <c r="AE323" s="575"/>
      <c r="AF323" s="817"/>
      <c r="AG323" s="575"/>
      <c r="AH323" s="575"/>
      <c r="AI323" s="738">
        <f t="shared" si="22"/>
        <v>0</v>
      </c>
      <c r="AJ323" s="582">
        <v>0</v>
      </c>
      <c r="AK323" s="581">
        <f t="shared" si="20"/>
        <v>0</v>
      </c>
      <c r="AL323" s="750" t="s">
        <v>1441</v>
      </c>
      <c r="AM323" s="743">
        <f t="shared" si="21"/>
        <v>1</v>
      </c>
    </row>
    <row r="324" spans="1:39" s="560" customFormat="1" ht="14.4" hidden="1" thickBot="1">
      <c r="A324" s="620" t="s">
        <v>920</v>
      </c>
      <c r="B324" s="621" t="s">
        <v>1269</v>
      </c>
      <c r="C324" s="628" t="s">
        <v>36</v>
      </c>
      <c r="D324" s="580"/>
      <c r="E324" s="581"/>
      <c r="F324" s="581"/>
      <c r="G324" s="778"/>
      <c r="H324" s="581"/>
      <c r="I324" s="582"/>
      <c r="J324" s="582"/>
      <c r="K324" s="582"/>
      <c r="L324" s="575"/>
      <c r="M324" s="575"/>
      <c r="N324" s="809"/>
      <c r="O324" s="575"/>
      <c r="P324" s="575"/>
      <c r="Q324" s="575"/>
      <c r="R324" s="575"/>
      <c r="S324" s="575"/>
      <c r="T324" s="575"/>
      <c r="U324" s="809"/>
      <c r="V324" s="575"/>
      <c r="W324" s="575"/>
      <c r="X324" s="575"/>
      <c r="Y324" s="575"/>
      <c r="Z324" s="575"/>
      <c r="AA324" s="575"/>
      <c r="AB324" s="809"/>
      <c r="AC324" s="575"/>
      <c r="AD324" s="575"/>
      <c r="AE324" s="575"/>
      <c r="AF324" s="817"/>
      <c r="AG324" s="575"/>
      <c r="AH324" s="575"/>
      <c r="AI324" s="738">
        <f t="shared" si="22"/>
        <v>0</v>
      </c>
      <c r="AJ324" s="582">
        <v>0</v>
      </c>
      <c r="AK324" s="581">
        <f t="shared" si="20"/>
        <v>0</v>
      </c>
      <c r="AL324" s="750" t="s">
        <v>1688</v>
      </c>
      <c r="AM324" s="743">
        <f t="shared" si="21"/>
        <v>6.79</v>
      </c>
    </row>
    <row r="325" spans="1:39" s="560" customFormat="1" ht="14.4" hidden="1" thickBot="1">
      <c r="A325" s="620" t="s">
        <v>504</v>
      </c>
      <c r="B325" s="621" t="s">
        <v>1283</v>
      </c>
      <c r="C325" s="628"/>
      <c r="D325" s="580"/>
      <c r="E325" s="581"/>
      <c r="F325" s="581"/>
      <c r="G325" s="778"/>
      <c r="H325" s="581"/>
      <c r="I325" s="582"/>
      <c r="J325" s="582"/>
      <c r="K325" s="582"/>
      <c r="L325" s="575"/>
      <c r="M325" s="575"/>
      <c r="N325" s="809"/>
      <c r="O325" s="575"/>
      <c r="P325" s="575"/>
      <c r="Q325" s="575"/>
      <c r="R325" s="575"/>
      <c r="S325" s="575"/>
      <c r="T325" s="575"/>
      <c r="U325" s="809"/>
      <c r="V325" s="575"/>
      <c r="W325" s="575"/>
      <c r="X325" s="575"/>
      <c r="Y325" s="575"/>
      <c r="Z325" s="575"/>
      <c r="AA325" s="575"/>
      <c r="AB325" s="809"/>
      <c r="AC325" s="575"/>
      <c r="AD325" s="575"/>
      <c r="AE325" s="575"/>
      <c r="AF325" s="817"/>
      <c r="AG325" s="575"/>
      <c r="AH325" s="575"/>
      <c r="AI325" s="738">
        <f t="shared" si="22"/>
        <v>0</v>
      </c>
      <c r="AJ325" s="582">
        <v>0</v>
      </c>
      <c r="AK325" s="581">
        <f t="shared" si="20"/>
        <v>0</v>
      </c>
      <c r="AL325" s="750"/>
      <c r="AM325" s="743">
        <f t="shared" si="21"/>
        <v>0</v>
      </c>
    </row>
    <row r="326" spans="1:39" s="560" customFormat="1" ht="14.4" hidden="1" thickBot="1">
      <c r="A326" s="620" t="s">
        <v>505</v>
      </c>
      <c r="B326" s="621" t="s">
        <v>1222</v>
      </c>
      <c r="C326" s="628"/>
      <c r="D326" s="580"/>
      <c r="E326" s="581"/>
      <c r="F326" s="581"/>
      <c r="G326" s="778"/>
      <c r="H326" s="581"/>
      <c r="I326" s="582"/>
      <c r="J326" s="582"/>
      <c r="K326" s="582"/>
      <c r="L326" s="575"/>
      <c r="M326" s="575"/>
      <c r="N326" s="809"/>
      <c r="O326" s="575"/>
      <c r="P326" s="575"/>
      <c r="Q326" s="575"/>
      <c r="R326" s="575"/>
      <c r="S326" s="575"/>
      <c r="T326" s="575"/>
      <c r="U326" s="809"/>
      <c r="V326" s="575"/>
      <c r="W326" s="575"/>
      <c r="X326" s="575"/>
      <c r="Y326" s="575"/>
      <c r="Z326" s="575"/>
      <c r="AA326" s="575"/>
      <c r="AB326" s="809"/>
      <c r="AC326" s="575"/>
      <c r="AD326" s="575"/>
      <c r="AE326" s="575"/>
      <c r="AF326" s="817"/>
      <c r="AG326" s="575"/>
      <c r="AH326" s="575"/>
      <c r="AI326" s="738">
        <f t="shared" si="22"/>
        <v>0</v>
      </c>
      <c r="AJ326" s="582">
        <v>0</v>
      </c>
      <c r="AK326" s="581">
        <f t="shared" si="20"/>
        <v>0</v>
      </c>
      <c r="AL326" s="750"/>
      <c r="AM326" s="743">
        <f t="shared" si="21"/>
        <v>0</v>
      </c>
    </row>
    <row r="327" spans="1:39" s="560" customFormat="1" ht="14.4" hidden="1" thickBot="1">
      <c r="A327" s="620" t="s">
        <v>506</v>
      </c>
      <c r="B327" s="621" t="s">
        <v>1223</v>
      </c>
      <c r="C327" s="628" t="s">
        <v>36</v>
      </c>
      <c r="D327" s="580"/>
      <c r="E327" s="581"/>
      <c r="F327" s="581"/>
      <c r="G327" s="778"/>
      <c r="H327" s="581"/>
      <c r="I327" s="582"/>
      <c r="J327" s="582"/>
      <c r="K327" s="582"/>
      <c r="L327" s="575"/>
      <c r="M327" s="575"/>
      <c r="N327" s="809"/>
      <c r="O327" s="575"/>
      <c r="P327" s="575"/>
      <c r="Q327" s="575"/>
      <c r="R327" s="575"/>
      <c r="S327" s="575"/>
      <c r="T327" s="575"/>
      <c r="U327" s="809"/>
      <c r="V327" s="575"/>
      <c r="W327" s="575"/>
      <c r="X327" s="575"/>
      <c r="Y327" s="575"/>
      <c r="Z327" s="575"/>
      <c r="AA327" s="575"/>
      <c r="AB327" s="809"/>
      <c r="AC327" s="575"/>
      <c r="AD327" s="575"/>
      <c r="AE327" s="575"/>
      <c r="AF327" s="817"/>
      <c r="AG327" s="575"/>
      <c r="AH327" s="575"/>
      <c r="AI327" s="738">
        <f t="shared" si="22"/>
        <v>0</v>
      </c>
      <c r="AJ327" s="582">
        <v>0</v>
      </c>
      <c r="AK327" s="581">
        <f t="shared" si="20"/>
        <v>0</v>
      </c>
      <c r="AL327" s="750" t="s">
        <v>1689</v>
      </c>
      <c r="AM327" s="743">
        <f t="shared" si="21"/>
        <v>56.66</v>
      </c>
    </row>
    <row r="328" spans="1:39" s="560" customFormat="1" ht="14.4" hidden="1" thickBot="1">
      <c r="A328" s="620" t="s">
        <v>507</v>
      </c>
      <c r="B328" s="621" t="s">
        <v>1224</v>
      </c>
      <c r="C328" s="628" t="s">
        <v>36</v>
      </c>
      <c r="D328" s="580"/>
      <c r="E328" s="581"/>
      <c r="F328" s="581"/>
      <c r="G328" s="778"/>
      <c r="H328" s="581"/>
      <c r="I328" s="582"/>
      <c r="J328" s="582"/>
      <c r="K328" s="582"/>
      <c r="L328" s="575"/>
      <c r="M328" s="575"/>
      <c r="N328" s="809"/>
      <c r="O328" s="575"/>
      <c r="P328" s="575"/>
      <c r="Q328" s="575"/>
      <c r="R328" s="575"/>
      <c r="S328" s="575"/>
      <c r="T328" s="575"/>
      <c r="U328" s="809"/>
      <c r="V328" s="575"/>
      <c r="W328" s="575"/>
      <c r="X328" s="575"/>
      <c r="Y328" s="575"/>
      <c r="Z328" s="575"/>
      <c r="AA328" s="575"/>
      <c r="AB328" s="809"/>
      <c r="AC328" s="575"/>
      <c r="AD328" s="575"/>
      <c r="AE328" s="575"/>
      <c r="AF328" s="817"/>
      <c r="AG328" s="575"/>
      <c r="AH328" s="575"/>
      <c r="AI328" s="738">
        <f t="shared" si="22"/>
        <v>0</v>
      </c>
      <c r="AJ328" s="582">
        <v>0</v>
      </c>
      <c r="AK328" s="581">
        <f t="shared" si="20"/>
        <v>0</v>
      </c>
      <c r="AL328" s="750" t="s">
        <v>1690</v>
      </c>
      <c r="AM328" s="743">
        <f t="shared" si="21"/>
        <v>8.17</v>
      </c>
    </row>
    <row r="329" spans="1:39" s="560" customFormat="1" ht="14.4" hidden="1" thickBot="1">
      <c r="A329" s="620" t="s">
        <v>508</v>
      </c>
      <c r="B329" s="621" t="s">
        <v>1225</v>
      </c>
      <c r="C329" s="628"/>
      <c r="D329" s="580"/>
      <c r="E329" s="581"/>
      <c r="F329" s="581"/>
      <c r="G329" s="778"/>
      <c r="H329" s="581"/>
      <c r="I329" s="582"/>
      <c r="J329" s="582"/>
      <c r="K329" s="582"/>
      <c r="L329" s="575"/>
      <c r="M329" s="575"/>
      <c r="N329" s="809"/>
      <c r="O329" s="575"/>
      <c r="P329" s="575"/>
      <c r="Q329" s="575"/>
      <c r="R329" s="575"/>
      <c r="S329" s="575"/>
      <c r="T329" s="575"/>
      <c r="U329" s="809"/>
      <c r="V329" s="575"/>
      <c r="W329" s="575"/>
      <c r="X329" s="575"/>
      <c r="Y329" s="575"/>
      <c r="Z329" s="575"/>
      <c r="AA329" s="575"/>
      <c r="AB329" s="809"/>
      <c r="AC329" s="575"/>
      <c r="AD329" s="575"/>
      <c r="AE329" s="575"/>
      <c r="AF329" s="817"/>
      <c r="AG329" s="575"/>
      <c r="AH329" s="575"/>
      <c r="AI329" s="738">
        <f t="shared" si="22"/>
        <v>0</v>
      </c>
      <c r="AJ329" s="582">
        <v>0</v>
      </c>
      <c r="AK329" s="581">
        <f t="shared" si="20"/>
        <v>0</v>
      </c>
      <c r="AL329" s="750"/>
      <c r="AM329" s="743">
        <f t="shared" si="21"/>
        <v>0</v>
      </c>
    </row>
    <row r="330" spans="1:39" s="560" customFormat="1" ht="14.4" hidden="1" thickBot="1">
      <c r="A330" s="620" t="s">
        <v>509</v>
      </c>
      <c r="B330" s="621" t="s">
        <v>1226</v>
      </c>
      <c r="C330" s="628" t="s">
        <v>36</v>
      </c>
      <c r="D330" s="580"/>
      <c r="E330" s="581"/>
      <c r="F330" s="581"/>
      <c r="G330" s="778"/>
      <c r="H330" s="581"/>
      <c r="I330" s="582"/>
      <c r="J330" s="582"/>
      <c r="K330" s="582"/>
      <c r="L330" s="575"/>
      <c r="M330" s="575"/>
      <c r="N330" s="809"/>
      <c r="O330" s="575"/>
      <c r="P330" s="575"/>
      <c r="Q330" s="575"/>
      <c r="R330" s="575"/>
      <c r="S330" s="575"/>
      <c r="T330" s="575"/>
      <c r="U330" s="809"/>
      <c r="V330" s="575"/>
      <c r="W330" s="575"/>
      <c r="X330" s="575"/>
      <c r="Y330" s="575"/>
      <c r="Z330" s="575"/>
      <c r="AA330" s="575"/>
      <c r="AB330" s="809"/>
      <c r="AC330" s="575"/>
      <c r="AD330" s="575"/>
      <c r="AE330" s="575"/>
      <c r="AF330" s="817"/>
      <c r="AG330" s="575"/>
      <c r="AH330" s="575"/>
      <c r="AI330" s="738">
        <f t="shared" si="22"/>
        <v>0</v>
      </c>
      <c r="AJ330" s="582">
        <v>0</v>
      </c>
      <c r="AK330" s="581">
        <f t="shared" si="20"/>
        <v>0</v>
      </c>
      <c r="AL330" s="750" t="s">
        <v>1691</v>
      </c>
      <c r="AM330" s="743">
        <f t="shared" si="21"/>
        <v>77.680000000000007</v>
      </c>
    </row>
    <row r="331" spans="1:39" s="560" customFormat="1" ht="14.4" hidden="1" thickBot="1">
      <c r="A331" s="620" t="s">
        <v>921</v>
      </c>
      <c r="B331" s="621" t="s">
        <v>1227</v>
      </c>
      <c r="C331" s="628" t="s">
        <v>36</v>
      </c>
      <c r="D331" s="580"/>
      <c r="E331" s="581"/>
      <c r="F331" s="581"/>
      <c r="G331" s="778"/>
      <c r="H331" s="581"/>
      <c r="I331" s="582"/>
      <c r="J331" s="582"/>
      <c r="K331" s="582"/>
      <c r="L331" s="575"/>
      <c r="M331" s="575"/>
      <c r="N331" s="809"/>
      <c r="O331" s="575"/>
      <c r="P331" s="575"/>
      <c r="Q331" s="575"/>
      <c r="R331" s="575"/>
      <c r="S331" s="575"/>
      <c r="T331" s="575"/>
      <c r="U331" s="809"/>
      <c r="V331" s="575"/>
      <c r="W331" s="575"/>
      <c r="X331" s="575"/>
      <c r="Y331" s="575"/>
      <c r="Z331" s="575"/>
      <c r="AA331" s="575"/>
      <c r="AB331" s="809"/>
      <c r="AC331" s="575"/>
      <c r="AD331" s="575"/>
      <c r="AE331" s="575"/>
      <c r="AF331" s="817"/>
      <c r="AG331" s="575"/>
      <c r="AH331" s="575"/>
      <c r="AI331" s="738">
        <f t="shared" si="22"/>
        <v>0</v>
      </c>
      <c r="AJ331" s="582">
        <v>0</v>
      </c>
      <c r="AK331" s="581">
        <f t="shared" si="20"/>
        <v>0</v>
      </c>
      <c r="AL331" s="750" t="s">
        <v>1692</v>
      </c>
      <c r="AM331" s="743">
        <f t="shared" si="21"/>
        <v>51.98</v>
      </c>
    </row>
    <row r="332" spans="1:39" s="560" customFormat="1" ht="14.4" hidden="1" thickBot="1">
      <c r="A332" s="620" t="s">
        <v>922</v>
      </c>
      <c r="B332" s="621" t="s">
        <v>1228</v>
      </c>
      <c r="C332" s="628" t="s">
        <v>36</v>
      </c>
      <c r="D332" s="580"/>
      <c r="E332" s="581"/>
      <c r="F332" s="581"/>
      <c r="G332" s="778"/>
      <c r="H332" s="581"/>
      <c r="I332" s="582"/>
      <c r="J332" s="582"/>
      <c r="K332" s="582"/>
      <c r="L332" s="575"/>
      <c r="M332" s="575"/>
      <c r="N332" s="809"/>
      <c r="O332" s="575"/>
      <c r="P332" s="575"/>
      <c r="Q332" s="575"/>
      <c r="R332" s="575"/>
      <c r="S332" s="575"/>
      <c r="T332" s="575"/>
      <c r="U332" s="809"/>
      <c r="V332" s="575"/>
      <c r="W332" s="575"/>
      <c r="X332" s="575"/>
      <c r="Y332" s="575"/>
      <c r="Z332" s="575"/>
      <c r="AA332" s="575"/>
      <c r="AB332" s="809"/>
      <c r="AC332" s="575"/>
      <c r="AD332" s="575"/>
      <c r="AE332" s="575"/>
      <c r="AF332" s="817"/>
      <c r="AG332" s="575"/>
      <c r="AH332" s="575"/>
      <c r="AI332" s="738">
        <f t="shared" si="22"/>
        <v>0</v>
      </c>
      <c r="AJ332" s="582">
        <v>0</v>
      </c>
      <c r="AK332" s="581">
        <f t="shared" si="20"/>
        <v>0</v>
      </c>
      <c r="AL332" s="750" t="s">
        <v>1693</v>
      </c>
      <c r="AM332" s="743">
        <f t="shared" si="21"/>
        <v>12</v>
      </c>
    </row>
    <row r="333" spans="1:39" s="560" customFormat="1" ht="14.4" hidden="1" thickBot="1">
      <c r="A333" s="620" t="s">
        <v>923</v>
      </c>
      <c r="B333" s="621" t="s">
        <v>1229</v>
      </c>
      <c r="C333" s="628" t="s">
        <v>36</v>
      </c>
      <c r="D333" s="580"/>
      <c r="E333" s="581"/>
      <c r="F333" s="581"/>
      <c r="G333" s="778"/>
      <c r="H333" s="581"/>
      <c r="I333" s="582"/>
      <c r="J333" s="582"/>
      <c r="K333" s="582"/>
      <c r="L333" s="575"/>
      <c r="M333" s="575"/>
      <c r="N333" s="809"/>
      <c r="O333" s="575"/>
      <c r="P333" s="575"/>
      <c r="Q333" s="575"/>
      <c r="R333" s="575"/>
      <c r="S333" s="575"/>
      <c r="T333" s="575"/>
      <c r="U333" s="809"/>
      <c r="V333" s="575"/>
      <c r="W333" s="575"/>
      <c r="X333" s="575"/>
      <c r="Y333" s="575"/>
      <c r="Z333" s="575"/>
      <c r="AA333" s="575"/>
      <c r="AB333" s="809"/>
      <c r="AC333" s="575"/>
      <c r="AD333" s="575"/>
      <c r="AE333" s="575"/>
      <c r="AF333" s="817"/>
      <c r="AG333" s="575"/>
      <c r="AH333" s="575"/>
      <c r="AI333" s="738">
        <f t="shared" si="22"/>
        <v>0</v>
      </c>
      <c r="AJ333" s="582">
        <v>0</v>
      </c>
      <c r="AK333" s="581">
        <f t="shared" si="20"/>
        <v>0</v>
      </c>
      <c r="AL333" s="750" t="s">
        <v>1694</v>
      </c>
      <c r="AM333" s="743">
        <f t="shared" si="21"/>
        <v>19.97</v>
      </c>
    </row>
    <row r="334" spans="1:39" s="560" customFormat="1" ht="14.4" hidden="1" thickBot="1">
      <c r="A334" s="620" t="s">
        <v>924</v>
      </c>
      <c r="B334" s="621" t="s">
        <v>1230</v>
      </c>
      <c r="C334" s="628" t="s">
        <v>36</v>
      </c>
      <c r="D334" s="580"/>
      <c r="E334" s="581"/>
      <c r="F334" s="581"/>
      <c r="G334" s="778"/>
      <c r="H334" s="581"/>
      <c r="I334" s="582"/>
      <c r="J334" s="582"/>
      <c r="K334" s="582"/>
      <c r="L334" s="575"/>
      <c r="M334" s="575"/>
      <c r="N334" s="809"/>
      <c r="O334" s="575"/>
      <c r="P334" s="575"/>
      <c r="Q334" s="575"/>
      <c r="R334" s="575"/>
      <c r="S334" s="575"/>
      <c r="T334" s="575"/>
      <c r="U334" s="809"/>
      <c r="V334" s="575"/>
      <c r="W334" s="575"/>
      <c r="X334" s="575"/>
      <c r="Y334" s="575"/>
      <c r="Z334" s="575"/>
      <c r="AA334" s="575"/>
      <c r="AB334" s="809"/>
      <c r="AC334" s="575"/>
      <c r="AD334" s="575"/>
      <c r="AE334" s="575"/>
      <c r="AF334" s="817"/>
      <c r="AG334" s="575"/>
      <c r="AH334" s="575"/>
      <c r="AI334" s="738">
        <f t="shared" si="22"/>
        <v>0</v>
      </c>
      <c r="AJ334" s="582">
        <v>0</v>
      </c>
      <c r="AK334" s="581">
        <f t="shared" si="20"/>
        <v>0</v>
      </c>
      <c r="AL334" s="750" t="s">
        <v>1695</v>
      </c>
      <c r="AM334" s="743">
        <f t="shared" si="21"/>
        <v>35.729999999999997</v>
      </c>
    </row>
    <row r="335" spans="1:39" s="560" customFormat="1" ht="14.4" hidden="1" thickBot="1">
      <c r="A335" s="620" t="s">
        <v>925</v>
      </c>
      <c r="B335" s="621" t="s">
        <v>1231</v>
      </c>
      <c r="C335" s="628" t="s">
        <v>37</v>
      </c>
      <c r="D335" s="580"/>
      <c r="E335" s="581"/>
      <c r="F335" s="581"/>
      <c r="G335" s="778"/>
      <c r="H335" s="581"/>
      <c r="I335" s="582"/>
      <c r="J335" s="582"/>
      <c r="K335" s="582"/>
      <c r="L335" s="575"/>
      <c r="M335" s="575"/>
      <c r="N335" s="809"/>
      <c r="O335" s="575"/>
      <c r="P335" s="575"/>
      <c r="Q335" s="575"/>
      <c r="R335" s="575"/>
      <c r="S335" s="575"/>
      <c r="T335" s="575"/>
      <c r="U335" s="809"/>
      <c r="V335" s="575"/>
      <c r="W335" s="575"/>
      <c r="X335" s="575"/>
      <c r="Y335" s="575"/>
      <c r="Z335" s="575"/>
      <c r="AA335" s="575"/>
      <c r="AB335" s="809"/>
      <c r="AC335" s="575"/>
      <c r="AD335" s="575"/>
      <c r="AE335" s="575"/>
      <c r="AF335" s="817"/>
      <c r="AG335" s="575"/>
      <c r="AH335" s="575"/>
      <c r="AI335" s="738">
        <f t="shared" si="22"/>
        <v>0</v>
      </c>
      <c r="AJ335" s="582">
        <v>0</v>
      </c>
      <c r="AK335" s="581">
        <f t="shared" si="20"/>
        <v>0</v>
      </c>
      <c r="AL335" s="750" t="s">
        <v>1696</v>
      </c>
      <c r="AM335" s="743">
        <f t="shared" si="21"/>
        <v>35.9</v>
      </c>
    </row>
    <row r="336" spans="1:39" s="560" customFormat="1" ht="14.4" hidden="1" thickBot="1">
      <c r="A336" s="620" t="s">
        <v>926</v>
      </c>
      <c r="B336" s="621" t="s">
        <v>1232</v>
      </c>
      <c r="C336" s="628" t="s">
        <v>37</v>
      </c>
      <c r="D336" s="580"/>
      <c r="E336" s="581"/>
      <c r="F336" s="581"/>
      <c r="G336" s="778"/>
      <c r="H336" s="581"/>
      <c r="I336" s="582"/>
      <c r="J336" s="582"/>
      <c r="K336" s="582"/>
      <c r="L336" s="575"/>
      <c r="M336" s="575"/>
      <c r="N336" s="809"/>
      <c r="O336" s="575"/>
      <c r="P336" s="575"/>
      <c r="Q336" s="575"/>
      <c r="R336" s="575"/>
      <c r="S336" s="575"/>
      <c r="T336" s="575"/>
      <c r="U336" s="809"/>
      <c r="V336" s="575"/>
      <c r="W336" s="575"/>
      <c r="X336" s="575"/>
      <c r="Y336" s="575"/>
      <c r="Z336" s="575"/>
      <c r="AA336" s="575"/>
      <c r="AB336" s="809"/>
      <c r="AC336" s="575"/>
      <c r="AD336" s="575"/>
      <c r="AE336" s="575"/>
      <c r="AF336" s="817"/>
      <c r="AG336" s="575"/>
      <c r="AH336" s="575"/>
      <c r="AI336" s="738">
        <f t="shared" si="22"/>
        <v>0</v>
      </c>
      <c r="AJ336" s="582">
        <v>0</v>
      </c>
      <c r="AK336" s="581">
        <f t="shared" si="20"/>
        <v>0</v>
      </c>
      <c r="AL336" s="750" t="s">
        <v>1697</v>
      </c>
      <c r="AM336" s="743">
        <f t="shared" si="21"/>
        <v>151.28</v>
      </c>
    </row>
    <row r="337" spans="1:39" s="560" customFormat="1" ht="14.4" hidden="1" thickBot="1">
      <c r="A337" s="620" t="s">
        <v>510</v>
      </c>
      <c r="B337" s="621" t="s">
        <v>1233</v>
      </c>
      <c r="C337" s="628"/>
      <c r="D337" s="580"/>
      <c r="E337" s="581"/>
      <c r="F337" s="581"/>
      <c r="G337" s="778"/>
      <c r="H337" s="581"/>
      <c r="I337" s="582"/>
      <c r="J337" s="582"/>
      <c r="K337" s="582"/>
      <c r="L337" s="575"/>
      <c r="M337" s="575"/>
      <c r="N337" s="809"/>
      <c r="O337" s="575"/>
      <c r="P337" s="575"/>
      <c r="Q337" s="575"/>
      <c r="R337" s="575"/>
      <c r="S337" s="575"/>
      <c r="T337" s="575"/>
      <c r="U337" s="809"/>
      <c r="V337" s="575"/>
      <c r="W337" s="575"/>
      <c r="X337" s="575"/>
      <c r="Y337" s="575"/>
      <c r="Z337" s="575"/>
      <c r="AA337" s="575"/>
      <c r="AB337" s="809"/>
      <c r="AC337" s="575"/>
      <c r="AD337" s="575"/>
      <c r="AE337" s="575"/>
      <c r="AF337" s="817"/>
      <c r="AG337" s="575"/>
      <c r="AH337" s="575"/>
      <c r="AI337" s="738">
        <f t="shared" si="22"/>
        <v>0</v>
      </c>
      <c r="AJ337" s="582">
        <v>0</v>
      </c>
      <c r="AK337" s="581">
        <f t="shared" si="20"/>
        <v>0</v>
      </c>
      <c r="AL337" s="750"/>
      <c r="AM337" s="743">
        <f t="shared" si="21"/>
        <v>0</v>
      </c>
    </row>
    <row r="338" spans="1:39" s="560" customFormat="1" ht="14.4" hidden="1" thickBot="1">
      <c r="A338" s="620" t="s">
        <v>511</v>
      </c>
      <c r="B338" s="621" t="s">
        <v>1234</v>
      </c>
      <c r="C338" s="628" t="s">
        <v>36</v>
      </c>
      <c r="D338" s="580"/>
      <c r="E338" s="581"/>
      <c r="F338" s="581"/>
      <c r="G338" s="778"/>
      <c r="H338" s="581"/>
      <c r="I338" s="582"/>
      <c r="J338" s="582"/>
      <c r="K338" s="582"/>
      <c r="L338" s="575"/>
      <c r="M338" s="575"/>
      <c r="N338" s="809"/>
      <c r="O338" s="575"/>
      <c r="P338" s="575"/>
      <c r="Q338" s="575"/>
      <c r="R338" s="575"/>
      <c r="S338" s="575"/>
      <c r="T338" s="575"/>
      <c r="U338" s="809"/>
      <c r="V338" s="575"/>
      <c r="W338" s="575"/>
      <c r="X338" s="575"/>
      <c r="Y338" s="575"/>
      <c r="Z338" s="575"/>
      <c r="AA338" s="575"/>
      <c r="AB338" s="809"/>
      <c r="AC338" s="575"/>
      <c r="AD338" s="575"/>
      <c r="AE338" s="575"/>
      <c r="AF338" s="817"/>
      <c r="AG338" s="575"/>
      <c r="AH338" s="575"/>
      <c r="AI338" s="738">
        <f t="shared" si="22"/>
        <v>0</v>
      </c>
      <c r="AJ338" s="582">
        <v>0</v>
      </c>
      <c r="AK338" s="581">
        <f t="shared" si="20"/>
        <v>0</v>
      </c>
      <c r="AL338" s="750" t="s">
        <v>1698</v>
      </c>
      <c r="AM338" s="743">
        <f t="shared" si="21"/>
        <v>33.950000000000003</v>
      </c>
    </row>
    <row r="339" spans="1:39" s="560" customFormat="1" ht="14.4" hidden="1" thickBot="1">
      <c r="A339" s="620" t="s">
        <v>927</v>
      </c>
      <c r="B339" s="621" t="s">
        <v>1235</v>
      </c>
      <c r="C339" s="628"/>
      <c r="D339" s="580"/>
      <c r="E339" s="581"/>
      <c r="F339" s="581"/>
      <c r="G339" s="778"/>
      <c r="H339" s="581"/>
      <c r="I339" s="582"/>
      <c r="J339" s="582"/>
      <c r="K339" s="582"/>
      <c r="L339" s="575"/>
      <c r="M339" s="575"/>
      <c r="N339" s="809"/>
      <c r="O339" s="575"/>
      <c r="P339" s="575"/>
      <c r="Q339" s="575"/>
      <c r="R339" s="575"/>
      <c r="S339" s="575"/>
      <c r="T339" s="575"/>
      <c r="U339" s="809"/>
      <c r="V339" s="575"/>
      <c r="W339" s="575"/>
      <c r="X339" s="575"/>
      <c r="Y339" s="575"/>
      <c r="Z339" s="575"/>
      <c r="AA339" s="575"/>
      <c r="AB339" s="809"/>
      <c r="AC339" s="575"/>
      <c r="AD339" s="575"/>
      <c r="AE339" s="575"/>
      <c r="AF339" s="817"/>
      <c r="AG339" s="575"/>
      <c r="AH339" s="575"/>
      <c r="AI339" s="738">
        <f t="shared" si="22"/>
        <v>0</v>
      </c>
      <c r="AJ339" s="582">
        <v>0</v>
      </c>
      <c r="AK339" s="581">
        <f t="shared" si="20"/>
        <v>0</v>
      </c>
      <c r="AL339" s="750"/>
      <c r="AM339" s="743">
        <f t="shared" si="21"/>
        <v>0</v>
      </c>
    </row>
    <row r="340" spans="1:39" s="560" customFormat="1" ht="14.4" hidden="1" thickBot="1">
      <c r="A340" s="620" t="s">
        <v>928</v>
      </c>
      <c r="B340" s="621" t="s">
        <v>1236</v>
      </c>
      <c r="C340" s="628" t="s">
        <v>36</v>
      </c>
      <c r="D340" s="580"/>
      <c r="E340" s="581"/>
      <c r="F340" s="581"/>
      <c r="G340" s="778"/>
      <c r="H340" s="581"/>
      <c r="I340" s="582"/>
      <c r="J340" s="582"/>
      <c r="K340" s="582"/>
      <c r="L340" s="575"/>
      <c r="M340" s="575"/>
      <c r="N340" s="809"/>
      <c r="O340" s="575"/>
      <c r="P340" s="575"/>
      <c r="Q340" s="575"/>
      <c r="R340" s="575"/>
      <c r="S340" s="575"/>
      <c r="T340" s="575"/>
      <c r="U340" s="809"/>
      <c r="V340" s="575"/>
      <c r="W340" s="575"/>
      <c r="X340" s="575"/>
      <c r="Y340" s="575"/>
      <c r="Z340" s="575"/>
      <c r="AA340" s="575"/>
      <c r="AB340" s="809"/>
      <c r="AC340" s="575"/>
      <c r="AD340" s="575"/>
      <c r="AE340" s="575"/>
      <c r="AF340" s="817"/>
      <c r="AG340" s="575"/>
      <c r="AH340" s="575"/>
      <c r="AI340" s="738">
        <f t="shared" si="22"/>
        <v>0</v>
      </c>
      <c r="AJ340" s="582">
        <v>0</v>
      </c>
      <c r="AK340" s="581">
        <f t="shared" si="20"/>
        <v>0</v>
      </c>
      <c r="AL340" s="750" t="s">
        <v>1699</v>
      </c>
      <c r="AM340" s="743">
        <f t="shared" si="21"/>
        <v>22.08</v>
      </c>
    </row>
    <row r="341" spans="1:39" s="560" customFormat="1" ht="14.4" hidden="1" thickBot="1">
      <c r="A341" s="620" t="s">
        <v>929</v>
      </c>
      <c r="B341" s="621" t="s">
        <v>1237</v>
      </c>
      <c r="C341" s="628" t="s">
        <v>36</v>
      </c>
      <c r="D341" s="580"/>
      <c r="E341" s="581"/>
      <c r="F341" s="581"/>
      <c r="G341" s="778"/>
      <c r="H341" s="581"/>
      <c r="I341" s="582"/>
      <c r="J341" s="582"/>
      <c r="K341" s="582"/>
      <c r="L341" s="575"/>
      <c r="M341" s="575"/>
      <c r="N341" s="809"/>
      <c r="O341" s="575"/>
      <c r="P341" s="575"/>
      <c r="Q341" s="575"/>
      <c r="R341" s="575"/>
      <c r="S341" s="575"/>
      <c r="T341" s="575"/>
      <c r="U341" s="809"/>
      <c r="V341" s="575"/>
      <c r="W341" s="575"/>
      <c r="X341" s="575"/>
      <c r="Y341" s="575"/>
      <c r="Z341" s="575"/>
      <c r="AA341" s="575"/>
      <c r="AB341" s="809"/>
      <c r="AC341" s="575"/>
      <c r="AD341" s="575"/>
      <c r="AE341" s="575"/>
      <c r="AF341" s="817"/>
      <c r="AG341" s="575"/>
      <c r="AH341" s="575"/>
      <c r="AI341" s="738">
        <f t="shared" si="22"/>
        <v>0</v>
      </c>
      <c r="AJ341" s="582">
        <v>0</v>
      </c>
      <c r="AK341" s="581">
        <f t="shared" si="20"/>
        <v>0</v>
      </c>
      <c r="AL341" s="750" t="s">
        <v>1700</v>
      </c>
      <c r="AM341" s="743">
        <f t="shared" si="21"/>
        <v>12.13</v>
      </c>
    </row>
    <row r="342" spans="1:39" s="560" customFormat="1" ht="14.4" hidden="1" thickBot="1">
      <c r="A342" s="620" t="s">
        <v>930</v>
      </c>
      <c r="B342" s="621" t="s">
        <v>1238</v>
      </c>
      <c r="C342" s="628" t="s">
        <v>36</v>
      </c>
      <c r="D342" s="580"/>
      <c r="E342" s="581"/>
      <c r="F342" s="581"/>
      <c r="G342" s="778"/>
      <c r="H342" s="581"/>
      <c r="I342" s="582"/>
      <c r="J342" s="582"/>
      <c r="K342" s="582"/>
      <c r="L342" s="575"/>
      <c r="M342" s="575"/>
      <c r="N342" s="809"/>
      <c r="O342" s="575"/>
      <c r="P342" s="575"/>
      <c r="Q342" s="575"/>
      <c r="R342" s="575"/>
      <c r="S342" s="575"/>
      <c r="T342" s="575"/>
      <c r="U342" s="809"/>
      <c r="V342" s="575"/>
      <c r="W342" s="575"/>
      <c r="X342" s="575"/>
      <c r="Y342" s="575"/>
      <c r="Z342" s="575"/>
      <c r="AA342" s="575"/>
      <c r="AB342" s="809"/>
      <c r="AC342" s="575"/>
      <c r="AD342" s="575"/>
      <c r="AE342" s="575"/>
      <c r="AF342" s="817"/>
      <c r="AG342" s="575"/>
      <c r="AH342" s="575"/>
      <c r="AI342" s="738">
        <f t="shared" si="22"/>
        <v>0</v>
      </c>
      <c r="AJ342" s="582">
        <v>0</v>
      </c>
      <c r="AK342" s="581">
        <f t="shared" ref="AK342:AK405" si="23">AI342+AJ342</f>
        <v>0</v>
      </c>
      <c r="AL342" s="750" t="s">
        <v>1701</v>
      </c>
      <c r="AM342" s="743">
        <f t="shared" ref="AM342:AM405" si="24">AL342-AK342</f>
        <v>9.9499999999999993</v>
      </c>
    </row>
    <row r="343" spans="1:39" s="560" customFormat="1" ht="14.4" hidden="1" thickBot="1">
      <c r="A343" s="620" t="s">
        <v>931</v>
      </c>
      <c r="B343" s="621" t="s">
        <v>1242</v>
      </c>
      <c r="C343" s="628"/>
      <c r="D343" s="580"/>
      <c r="E343" s="581"/>
      <c r="F343" s="581"/>
      <c r="G343" s="778"/>
      <c r="H343" s="581"/>
      <c r="I343" s="582"/>
      <c r="J343" s="582"/>
      <c r="K343" s="582"/>
      <c r="L343" s="575"/>
      <c r="M343" s="575"/>
      <c r="N343" s="809"/>
      <c r="O343" s="575"/>
      <c r="P343" s="575"/>
      <c r="Q343" s="575"/>
      <c r="R343" s="575"/>
      <c r="S343" s="575"/>
      <c r="T343" s="575"/>
      <c r="U343" s="809"/>
      <c r="V343" s="575"/>
      <c r="W343" s="575"/>
      <c r="X343" s="575"/>
      <c r="Y343" s="575"/>
      <c r="Z343" s="575"/>
      <c r="AA343" s="575"/>
      <c r="AB343" s="809"/>
      <c r="AC343" s="575"/>
      <c r="AD343" s="575"/>
      <c r="AE343" s="575"/>
      <c r="AF343" s="817"/>
      <c r="AG343" s="575"/>
      <c r="AH343" s="575"/>
      <c r="AI343" s="738">
        <f t="shared" si="22"/>
        <v>0</v>
      </c>
      <c r="AJ343" s="582">
        <v>0</v>
      </c>
      <c r="AK343" s="581">
        <f t="shared" si="23"/>
        <v>0</v>
      </c>
      <c r="AL343" s="750"/>
      <c r="AM343" s="743">
        <f t="shared" si="24"/>
        <v>0</v>
      </c>
    </row>
    <row r="344" spans="1:39" s="560" customFormat="1" ht="14.4" hidden="1" thickBot="1">
      <c r="A344" s="620" t="s">
        <v>932</v>
      </c>
      <c r="B344" s="621" t="s">
        <v>1243</v>
      </c>
      <c r="C344" s="628" t="s">
        <v>36</v>
      </c>
      <c r="D344" s="580"/>
      <c r="E344" s="581"/>
      <c r="F344" s="581"/>
      <c r="G344" s="778"/>
      <c r="H344" s="581"/>
      <c r="I344" s="582"/>
      <c r="J344" s="582"/>
      <c r="K344" s="582"/>
      <c r="L344" s="575"/>
      <c r="M344" s="575"/>
      <c r="N344" s="809"/>
      <c r="O344" s="575"/>
      <c r="P344" s="575"/>
      <c r="Q344" s="575"/>
      <c r="R344" s="575"/>
      <c r="S344" s="575"/>
      <c r="T344" s="575"/>
      <c r="U344" s="809"/>
      <c r="V344" s="575"/>
      <c r="W344" s="575"/>
      <c r="X344" s="575"/>
      <c r="Y344" s="575"/>
      <c r="Z344" s="575"/>
      <c r="AA344" s="575"/>
      <c r="AB344" s="809"/>
      <c r="AC344" s="575"/>
      <c r="AD344" s="575"/>
      <c r="AE344" s="575"/>
      <c r="AF344" s="817"/>
      <c r="AG344" s="575"/>
      <c r="AH344" s="575"/>
      <c r="AI344" s="738">
        <f t="shared" si="22"/>
        <v>0</v>
      </c>
      <c r="AJ344" s="582">
        <v>0</v>
      </c>
      <c r="AK344" s="581">
        <f t="shared" si="23"/>
        <v>0</v>
      </c>
      <c r="AL344" s="750" t="s">
        <v>1702</v>
      </c>
      <c r="AM344" s="743">
        <f t="shared" si="24"/>
        <v>8.93</v>
      </c>
    </row>
    <row r="345" spans="1:39" s="560" customFormat="1" ht="14.4" hidden="1" thickBot="1">
      <c r="A345" s="620" t="s">
        <v>933</v>
      </c>
      <c r="B345" s="621" t="s">
        <v>1244</v>
      </c>
      <c r="C345" s="628"/>
      <c r="D345" s="580"/>
      <c r="E345" s="581"/>
      <c r="F345" s="581"/>
      <c r="G345" s="778"/>
      <c r="H345" s="581"/>
      <c r="I345" s="582"/>
      <c r="J345" s="582"/>
      <c r="K345" s="582"/>
      <c r="L345" s="575"/>
      <c r="M345" s="575"/>
      <c r="N345" s="809"/>
      <c r="O345" s="575"/>
      <c r="P345" s="575"/>
      <c r="Q345" s="575"/>
      <c r="R345" s="575"/>
      <c r="S345" s="575"/>
      <c r="T345" s="575"/>
      <c r="U345" s="809"/>
      <c r="V345" s="575"/>
      <c r="W345" s="575"/>
      <c r="X345" s="575"/>
      <c r="Y345" s="575"/>
      <c r="Z345" s="575"/>
      <c r="AA345" s="575"/>
      <c r="AB345" s="809"/>
      <c r="AC345" s="575"/>
      <c r="AD345" s="575"/>
      <c r="AE345" s="575"/>
      <c r="AF345" s="817"/>
      <c r="AG345" s="575"/>
      <c r="AH345" s="575"/>
      <c r="AI345" s="738">
        <f t="shared" si="22"/>
        <v>0</v>
      </c>
      <c r="AJ345" s="582">
        <v>0</v>
      </c>
      <c r="AK345" s="581">
        <f t="shared" si="23"/>
        <v>0</v>
      </c>
      <c r="AL345" s="750"/>
      <c r="AM345" s="743">
        <f t="shared" si="24"/>
        <v>0</v>
      </c>
    </row>
    <row r="346" spans="1:39" s="560" customFormat="1" ht="14.4" hidden="1" thickBot="1">
      <c r="A346" s="620" t="s">
        <v>934</v>
      </c>
      <c r="B346" s="621" t="s">
        <v>1245</v>
      </c>
      <c r="C346" s="628" t="s">
        <v>36</v>
      </c>
      <c r="D346" s="580"/>
      <c r="E346" s="581"/>
      <c r="F346" s="581"/>
      <c r="G346" s="778"/>
      <c r="H346" s="581"/>
      <c r="I346" s="582"/>
      <c r="J346" s="582"/>
      <c r="K346" s="582"/>
      <c r="L346" s="575"/>
      <c r="M346" s="575"/>
      <c r="N346" s="809"/>
      <c r="O346" s="575"/>
      <c r="P346" s="575"/>
      <c r="Q346" s="575"/>
      <c r="R346" s="575"/>
      <c r="S346" s="575"/>
      <c r="T346" s="575"/>
      <c r="U346" s="809"/>
      <c r="V346" s="575"/>
      <c r="W346" s="575"/>
      <c r="X346" s="575"/>
      <c r="Y346" s="575"/>
      <c r="Z346" s="575"/>
      <c r="AA346" s="575"/>
      <c r="AB346" s="809"/>
      <c r="AC346" s="575"/>
      <c r="AD346" s="575"/>
      <c r="AE346" s="575"/>
      <c r="AF346" s="817"/>
      <c r="AG346" s="575"/>
      <c r="AH346" s="575"/>
      <c r="AI346" s="738">
        <f t="shared" si="22"/>
        <v>0</v>
      </c>
      <c r="AJ346" s="582">
        <v>0</v>
      </c>
      <c r="AK346" s="581">
        <f t="shared" si="23"/>
        <v>0</v>
      </c>
      <c r="AL346" s="750" t="s">
        <v>1703</v>
      </c>
      <c r="AM346" s="743">
        <f t="shared" si="24"/>
        <v>6.91</v>
      </c>
    </row>
    <row r="347" spans="1:39" s="560" customFormat="1" ht="14.4" hidden="1" thickBot="1">
      <c r="A347" s="620" t="s">
        <v>935</v>
      </c>
      <c r="B347" s="621" t="s">
        <v>1272</v>
      </c>
      <c r="C347" s="628" t="s">
        <v>36</v>
      </c>
      <c r="D347" s="580"/>
      <c r="E347" s="581"/>
      <c r="F347" s="581"/>
      <c r="G347" s="778"/>
      <c r="H347" s="581"/>
      <c r="I347" s="582"/>
      <c r="J347" s="582"/>
      <c r="K347" s="582"/>
      <c r="L347" s="575"/>
      <c r="M347" s="575"/>
      <c r="N347" s="809"/>
      <c r="O347" s="575"/>
      <c r="P347" s="575"/>
      <c r="Q347" s="575"/>
      <c r="R347" s="575"/>
      <c r="S347" s="575"/>
      <c r="T347" s="575"/>
      <c r="U347" s="809"/>
      <c r="V347" s="575"/>
      <c r="W347" s="575"/>
      <c r="X347" s="575"/>
      <c r="Y347" s="575"/>
      <c r="Z347" s="575"/>
      <c r="AA347" s="575"/>
      <c r="AB347" s="809"/>
      <c r="AC347" s="575"/>
      <c r="AD347" s="575"/>
      <c r="AE347" s="575"/>
      <c r="AF347" s="817"/>
      <c r="AG347" s="575"/>
      <c r="AH347" s="575"/>
      <c r="AI347" s="738">
        <f t="shared" si="22"/>
        <v>0</v>
      </c>
      <c r="AJ347" s="582">
        <v>0</v>
      </c>
      <c r="AK347" s="581">
        <f t="shared" si="23"/>
        <v>0</v>
      </c>
      <c r="AL347" s="750" t="s">
        <v>1704</v>
      </c>
      <c r="AM347" s="743">
        <f t="shared" si="24"/>
        <v>8.86</v>
      </c>
    </row>
    <row r="348" spans="1:39" s="560" customFormat="1" ht="14.4" hidden="1" thickBot="1">
      <c r="A348" s="620" t="s">
        <v>936</v>
      </c>
      <c r="B348" s="621" t="s">
        <v>1246</v>
      </c>
      <c r="C348" s="628" t="s">
        <v>37</v>
      </c>
      <c r="D348" s="580"/>
      <c r="E348" s="581"/>
      <c r="F348" s="581"/>
      <c r="G348" s="778"/>
      <c r="H348" s="581"/>
      <c r="I348" s="582"/>
      <c r="J348" s="582"/>
      <c r="K348" s="582"/>
      <c r="L348" s="575"/>
      <c r="M348" s="575"/>
      <c r="N348" s="809"/>
      <c r="O348" s="575"/>
      <c r="P348" s="575"/>
      <c r="Q348" s="575"/>
      <c r="R348" s="575"/>
      <c r="S348" s="575"/>
      <c r="T348" s="575"/>
      <c r="U348" s="809"/>
      <c r="V348" s="575"/>
      <c r="W348" s="575"/>
      <c r="X348" s="575"/>
      <c r="Y348" s="575"/>
      <c r="Z348" s="575"/>
      <c r="AA348" s="575"/>
      <c r="AB348" s="809"/>
      <c r="AC348" s="575"/>
      <c r="AD348" s="575"/>
      <c r="AE348" s="575"/>
      <c r="AF348" s="817"/>
      <c r="AG348" s="575"/>
      <c r="AH348" s="575"/>
      <c r="AI348" s="738">
        <f t="shared" si="22"/>
        <v>0</v>
      </c>
      <c r="AJ348" s="582">
        <v>0</v>
      </c>
      <c r="AK348" s="581">
        <f t="shared" si="23"/>
        <v>0</v>
      </c>
      <c r="AL348" s="750" t="s">
        <v>1705</v>
      </c>
      <c r="AM348" s="743">
        <f t="shared" si="24"/>
        <v>10.78</v>
      </c>
    </row>
    <row r="349" spans="1:39" s="560" customFormat="1" ht="14.4" hidden="1" thickBot="1">
      <c r="A349" s="620" t="s">
        <v>937</v>
      </c>
      <c r="B349" s="621" t="s">
        <v>1247</v>
      </c>
      <c r="C349" s="628" t="s">
        <v>37</v>
      </c>
      <c r="D349" s="580"/>
      <c r="E349" s="581"/>
      <c r="F349" s="581"/>
      <c r="G349" s="778"/>
      <c r="H349" s="581"/>
      <c r="I349" s="582"/>
      <c r="J349" s="582"/>
      <c r="K349" s="582"/>
      <c r="L349" s="575"/>
      <c r="M349" s="575"/>
      <c r="N349" s="809"/>
      <c r="O349" s="575"/>
      <c r="P349" s="575"/>
      <c r="Q349" s="575"/>
      <c r="R349" s="575"/>
      <c r="S349" s="575"/>
      <c r="T349" s="575"/>
      <c r="U349" s="809"/>
      <c r="V349" s="575"/>
      <c r="W349" s="575"/>
      <c r="X349" s="575"/>
      <c r="Y349" s="575"/>
      <c r="Z349" s="575"/>
      <c r="AA349" s="575"/>
      <c r="AB349" s="809"/>
      <c r="AC349" s="575"/>
      <c r="AD349" s="575"/>
      <c r="AE349" s="575"/>
      <c r="AF349" s="817"/>
      <c r="AG349" s="575"/>
      <c r="AH349" s="575"/>
      <c r="AI349" s="738">
        <f t="shared" si="22"/>
        <v>0</v>
      </c>
      <c r="AJ349" s="582">
        <v>0</v>
      </c>
      <c r="AK349" s="581">
        <f t="shared" si="23"/>
        <v>0</v>
      </c>
      <c r="AL349" s="750" t="s">
        <v>1706</v>
      </c>
      <c r="AM349" s="743">
        <f t="shared" si="24"/>
        <v>14.4</v>
      </c>
    </row>
    <row r="350" spans="1:39" s="560" customFormat="1" ht="14.4" hidden="1" thickBot="1">
      <c r="A350" s="620" t="s">
        <v>938</v>
      </c>
      <c r="B350" s="621" t="s">
        <v>1184</v>
      </c>
      <c r="C350" s="628"/>
      <c r="D350" s="580"/>
      <c r="E350" s="581"/>
      <c r="F350" s="581"/>
      <c r="G350" s="778"/>
      <c r="H350" s="581"/>
      <c r="I350" s="582"/>
      <c r="J350" s="582"/>
      <c r="K350" s="582"/>
      <c r="L350" s="575"/>
      <c r="M350" s="575"/>
      <c r="N350" s="809"/>
      <c r="O350" s="575"/>
      <c r="P350" s="575"/>
      <c r="Q350" s="575"/>
      <c r="R350" s="575"/>
      <c r="S350" s="575"/>
      <c r="T350" s="575"/>
      <c r="U350" s="809"/>
      <c r="V350" s="575"/>
      <c r="W350" s="575"/>
      <c r="X350" s="575"/>
      <c r="Y350" s="575"/>
      <c r="Z350" s="575"/>
      <c r="AA350" s="575"/>
      <c r="AB350" s="809"/>
      <c r="AC350" s="575"/>
      <c r="AD350" s="575"/>
      <c r="AE350" s="575"/>
      <c r="AF350" s="817"/>
      <c r="AG350" s="575"/>
      <c r="AH350" s="575"/>
      <c r="AI350" s="738">
        <f t="shared" si="22"/>
        <v>0</v>
      </c>
      <c r="AJ350" s="582">
        <v>0</v>
      </c>
      <c r="AK350" s="581">
        <f t="shared" si="23"/>
        <v>0</v>
      </c>
      <c r="AL350" s="750"/>
      <c r="AM350" s="743">
        <f t="shared" si="24"/>
        <v>0</v>
      </c>
    </row>
    <row r="351" spans="1:39" s="560" customFormat="1" ht="14.4" hidden="1" thickBot="1">
      <c r="A351" s="620" t="s">
        <v>939</v>
      </c>
      <c r="B351" s="621" t="s">
        <v>1248</v>
      </c>
      <c r="C351" s="628" t="s">
        <v>36</v>
      </c>
      <c r="D351" s="580"/>
      <c r="E351" s="581"/>
      <c r="F351" s="581"/>
      <c r="G351" s="778"/>
      <c r="H351" s="581"/>
      <c r="I351" s="582"/>
      <c r="J351" s="582"/>
      <c r="K351" s="582"/>
      <c r="L351" s="575"/>
      <c r="M351" s="575"/>
      <c r="N351" s="809"/>
      <c r="O351" s="575"/>
      <c r="P351" s="575"/>
      <c r="Q351" s="575"/>
      <c r="R351" s="575"/>
      <c r="S351" s="575"/>
      <c r="T351" s="575"/>
      <c r="U351" s="809"/>
      <c r="V351" s="575"/>
      <c r="W351" s="575"/>
      <c r="X351" s="575"/>
      <c r="Y351" s="575"/>
      <c r="Z351" s="575"/>
      <c r="AA351" s="575"/>
      <c r="AB351" s="809"/>
      <c r="AC351" s="575"/>
      <c r="AD351" s="575"/>
      <c r="AE351" s="575"/>
      <c r="AF351" s="817"/>
      <c r="AG351" s="575"/>
      <c r="AH351" s="575"/>
      <c r="AI351" s="738">
        <f t="shared" si="22"/>
        <v>0</v>
      </c>
      <c r="AJ351" s="582">
        <v>0</v>
      </c>
      <c r="AK351" s="581">
        <f t="shared" si="23"/>
        <v>0</v>
      </c>
      <c r="AL351" s="750" t="s">
        <v>1707</v>
      </c>
      <c r="AM351" s="743">
        <f t="shared" si="24"/>
        <v>21.28</v>
      </c>
    </row>
    <row r="352" spans="1:39" s="560" customFormat="1" ht="14.4" hidden="1" thickBot="1">
      <c r="A352" s="620" t="s">
        <v>940</v>
      </c>
      <c r="B352" s="621" t="s">
        <v>1249</v>
      </c>
      <c r="C352" s="628" t="s">
        <v>37</v>
      </c>
      <c r="D352" s="580"/>
      <c r="E352" s="581"/>
      <c r="F352" s="581"/>
      <c r="G352" s="778"/>
      <c r="H352" s="581"/>
      <c r="I352" s="582"/>
      <c r="J352" s="582"/>
      <c r="K352" s="582"/>
      <c r="L352" s="575"/>
      <c r="M352" s="575"/>
      <c r="N352" s="809"/>
      <c r="O352" s="575"/>
      <c r="P352" s="575"/>
      <c r="Q352" s="575"/>
      <c r="R352" s="575"/>
      <c r="S352" s="575"/>
      <c r="T352" s="575"/>
      <c r="U352" s="809"/>
      <c r="V352" s="575"/>
      <c r="W352" s="575"/>
      <c r="X352" s="575"/>
      <c r="Y352" s="575"/>
      <c r="Z352" s="575"/>
      <c r="AA352" s="575"/>
      <c r="AB352" s="809"/>
      <c r="AC352" s="575"/>
      <c r="AD352" s="575"/>
      <c r="AE352" s="575"/>
      <c r="AF352" s="817"/>
      <c r="AG352" s="575"/>
      <c r="AH352" s="575"/>
      <c r="AI352" s="738">
        <f t="shared" si="22"/>
        <v>0</v>
      </c>
      <c r="AJ352" s="582">
        <v>0</v>
      </c>
      <c r="AK352" s="581">
        <f t="shared" si="23"/>
        <v>0</v>
      </c>
      <c r="AL352" s="750" t="s">
        <v>1675</v>
      </c>
      <c r="AM352" s="743">
        <f t="shared" si="24"/>
        <v>6.15</v>
      </c>
    </row>
    <row r="353" spans="1:39" s="560" customFormat="1" ht="14.4" hidden="1" thickBot="1">
      <c r="A353" s="620" t="s">
        <v>941</v>
      </c>
      <c r="B353" s="621" t="s">
        <v>1250</v>
      </c>
      <c r="C353" s="628"/>
      <c r="D353" s="580"/>
      <c r="E353" s="581"/>
      <c r="F353" s="581"/>
      <c r="G353" s="778"/>
      <c r="H353" s="581"/>
      <c r="I353" s="582"/>
      <c r="J353" s="582"/>
      <c r="K353" s="582"/>
      <c r="L353" s="575"/>
      <c r="M353" s="575"/>
      <c r="N353" s="809"/>
      <c r="O353" s="575"/>
      <c r="P353" s="575"/>
      <c r="Q353" s="575"/>
      <c r="R353" s="575"/>
      <c r="S353" s="575"/>
      <c r="T353" s="575"/>
      <c r="U353" s="809"/>
      <c r="V353" s="575"/>
      <c r="W353" s="575"/>
      <c r="X353" s="575"/>
      <c r="Y353" s="575"/>
      <c r="Z353" s="575"/>
      <c r="AA353" s="575"/>
      <c r="AB353" s="809"/>
      <c r="AC353" s="575"/>
      <c r="AD353" s="575"/>
      <c r="AE353" s="575"/>
      <c r="AF353" s="817"/>
      <c r="AG353" s="575"/>
      <c r="AH353" s="575"/>
      <c r="AI353" s="738">
        <f t="shared" si="22"/>
        <v>0</v>
      </c>
      <c r="AJ353" s="582">
        <v>0</v>
      </c>
      <c r="AK353" s="581">
        <f t="shared" si="23"/>
        <v>0</v>
      </c>
      <c r="AL353" s="750"/>
      <c r="AM353" s="743">
        <f t="shared" si="24"/>
        <v>0</v>
      </c>
    </row>
    <row r="354" spans="1:39" s="560" customFormat="1" ht="14.4" hidden="1" thickBot="1">
      <c r="A354" s="620" t="s">
        <v>942</v>
      </c>
      <c r="B354" s="621" t="s">
        <v>1251</v>
      </c>
      <c r="C354" s="628" t="s">
        <v>36</v>
      </c>
      <c r="D354" s="580"/>
      <c r="E354" s="581"/>
      <c r="F354" s="581"/>
      <c r="G354" s="778"/>
      <c r="H354" s="581"/>
      <c r="I354" s="582"/>
      <c r="J354" s="582"/>
      <c r="K354" s="582"/>
      <c r="L354" s="575"/>
      <c r="M354" s="575"/>
      <c r="N354" s="809"/>
      <c r="O354" s="575"/>
      <c r="P354" s="575"/>
      <c r="Q354" s="575"/>
      <c r="R354" s="575"/>
      <c r="S354" s="575"/>
      <c r="T354" s="575"/>
      <c r="U354" s="809"/>
      <c r="V354" s="575"/>
      <c r="W354" s="575"/>
      <c r="X354" s="575"/>
      <c r="Y354" s="575"/>
      <c r="Z354" s="575"/>
      <c r="AA354" s="575"/>
      <c r="AB354" s="809"/>
      <c r="AC354" s="575"/>
      <c r="AD354" s="575"/>
      <c r="AE354" s="575"/>
      <c r="AF354" s="817"/>
      <c r="AG354" s="575"/>
      <c r="AH354" s="575"/>
      <c r="AI354" s="738">
        <f t="shared" si="22"/>
        <v>0</v>
      </c>
      <c r="AJ354" s="582">
        <v>0</v>
      </c>
      <c r="AK354" s="581">
        <f t="shared" si="23"/>
        <v>0</v>
      </c>
      <c r="AL354" s="750" t="s">
        <v>1708</v>
      </c>
      <c r="AM354" s="743">
        <f t="shared" si="24"/>
        <v>1.89</v>
      </c>
    </row>
    <row r="355" spans="1:39" s="560" customFormat="1" ht="14.4" hidden="1" thickBot="1">
      <c r="A355" s="620" t="s">
        <v>943</v>
      </c>
      <c r="B355" s="621" t="s">
        <v>1281</v>
      </c>
      <c r="C355" s="628" t="s">
        <v>36</v>
      </c>
      <c r="D355" s="580"/>
      <c r="E355" s="581"/>
      <c r="F355" s="581"/>
      <c r="G355" s="778"/>
      <c r="H355" s="581"/>
      <c r="I355" s="582"/>
      <c r="J355" s="582"/>
      <c r="K355" s="582"/>
      <c r="L355" s="575"/>
      <c r="M355" s="575"/>
      <c r="N355" s="809"/>
      <c r="O355" s="575"/>
      <c r="P355" s="575"/>
      <c r="Q355" s="575"/>
      <c r="R355" s="575"/>
      <c r="S355" s="575"/>
      <c r="T355" s="575"/>
      <c r="U355" s="809"/>
      <c r="V355" s="575"/>
      <c r="W355" s="575"/>
      <c r="X355" s="575"/>
      <c r="Y355" s="575"/>
      <c r="Z355" s="575"/>
      <c r="AA355" s="575"/>
      <c r="AB355" s="809"/>
      <c r="AC355" s="575"/>
      <c r="AD355" s="575"/>
      <c r="AE355" s="575"/>
      <c r="AF355" s="817"/>
      <c r="AG355" s="575"/>
      <c r="AH355" s="575"/>
      <c r="AI355" s="738">
        <f t="shared" si="22"/>
        <v>0</v>
      </c>
      <c r="AJ355" s="582">
        <v>0</v>
      </c>
      <c r="AK355" s="581">
        <f t="shared" si="23"/>
        <v>0</v>
      </c>
      <c r="AL355" s="750" t="s">
        <v>1709</v>
      </c>
      <c r="AM355" s="743">
        <f t="shared" si="24"/>
        <v>3.15</v>
      </c>
    </row>
    <row r="356" spans="1:39" s="560" customFormat="1" ht="14.4" hidden="1" thickBot="1">
      <c r="A356" s="620" t="s">
        <v>944</v>
      </c>
      <c r="B356" s="621" t="s">
        <v>1252</v>
      </c>
      <c r="C356" s="628"/>
      <c r="D356" s="580"/>
      <c r="E356" s="581"/>
      <c r="F356" s="581"/>
      <c r="G356" s="778"/>
      <c r="H356" s="581"/>
      <c r="I356" s="582"/>
      <c r="J356" s="582"/>
      <c r="K356" s="582"/>
      <c r="L356" s="575"/>
      <c r="M356" s="575"/>
      <c r="N356" s="809"/>
      <c r="O356" s="575"/>
      <c r="P356" s="575"/>
      <c r="Q356" s="575"/>
      <c r="R356" s="575"/>
      <c r="S356" s="575"/>
      <c r="T356" s="575"/>
      <c r="U356" s="809"/>
      <c r="V356" s="575"/>
      <c r="W356" s="575"/>
      <c r="X356" s="575"/>
      <c r="Y356" s="575"/>
      <c r="Z356" s="575"/>
      <c r="AA356" s="575"/>
      <c r="AB356" s="809"/>
      <c r="AC356" s="575"/>
      <c r="AD356" s="575"/>
      <c r="AE356" s="575"/>
      <c r="AF356" s="817"/>
      <c r="AG356" s="575"/>
      <c r="AH356" s="575"/>
      <c r="AI356" s="738">
        <f t="shared" si="22"/>
        <v>0</v>
      </c>
      <c r="AJ356" s="582">
        <v>0</v>
      </c>
      <c r="AK356" s="581">
        <f t="shared" si="23"/>
        <v>0</v>
      </c>
      <c r="AL356" s="750"/>
      <c r="AM356" s="743">
        <f t="shared" si="24"/>
        <v>0</v>
      </c>
    </row>
    <row r="357" spans="1:39" s="560" customFormat="1" ht="14.4" hidden="1" thickBot="1">
      <c r="A357" s="620" t="s">
        <v>945</v>
      </c>
      <c r="B357" s="621" t="s">
        <v>1253</v>
      </c>
      <c r="C357" s="628" t="s">
        <v>1437</v>
      </c>
      <c r="D357" s="580"/>
      <c r="E357" s="581"/>
      <c r="F357" s="581"/>
      <c r="G357" s="778"/>
      <c r="H357" s="581"/>
      <c r="I357" s="582"/>
      <c r="J357" s="582"/>
      <c r="K357" s="582"/>
      <c r="L357" s="575"/>
      <c r="M357" s="575"/>
      <c r="N357" s="809"/>
      <c r="O357" s="575"/>
      <c r="P357" s="575"/>
      <c r="Q357" s="575"/>
      <c r="R357" s="575"/>
      <c r="S357" s="575"/>
      <c r="T357" s="575"/>
      <c r="U357" s="809"/>
      <c r="V357" s="575"/>
      <c r="W357" s="575"/>
      <c r="X357" s="575"/>
      <c r="Y357" s="575"/>
      <c r="Z357" s="575"/>
      <c r="AA357" s="575"/>
      <c r="AB357" s="809"/>
      <c r="AC357" s="575"/>
      <c r="AD357" s="575"/>
      <c r="AE357" s="575"/>
      <c r="AF357" s="817"/>
      <c r="AG357" s="575"/>
      <c r="AH357" s="575"/>
      <c r="AI357" s="738">
        <f t="shared" si="22"/>
        <v>0</v>
      </c>
      <c r="AJ357" s="582">
        <v>0</v>
      </c>
      <c r="AK357" s="581">
        <f t="shared" si="23"/>
        <v>0</v>
      </c>
      <c r="AL357" s="750" t="s">
        <v>1627</v>
      </c>
      <c r="AM357" s="743">
        <f t="shared" si="24"/>
        <v>9</v>
      </c>
    </row>
    <row r="358" spans="1:39" s="560" customFormat="1" ht="14.4" hidden="1" thickBot="1">
      <c r="A358" s="620" t="s">
        <v>946</v>
      </c>
      <c r="B358" s="621" t="s">
        <v>1254</v>
      </c>
      <c r="C358" s="628" t="s">
        <v>35</v>
      </c>
      <c r="D358" s="580"/>
      <c r="E358" s="581"/>
      <c r="F358" s="581"/>
      <c r="G358" s="778"/>
      <c r="H358" s="581"/>
      <c r="I358" s="582"/>
      <c r="J358" s="582"/>
      <c r="K358" s="582"/>
      <c r="L358" s="575"/>
      <c r="M358" s="575"/>
      <c r="N358" s="809"/>
      <c r="O358" s="575"/>
      <c r="P358" s="575"/>
      <c r="Q358" s="575"/>
      <c r="R358" s="575"/>
      <c r="S358" s="575"/>
      <c r="T358" s="575"/>
      <c r="U358" s="809"/>
      <c r="V358" s="575"/>
      <c r="W358" s="575"/>
      <c r="X358" s="575"/>
      <c r="Y358" s="575"/>
      <c r="Z358" s="575"/>
      <c r="AA358" s="575"/>
      <c r="AB358" s="809"/>
      <c r="AC358" s="575"/>
      <c r="AD358" s="575"/>
      <c r="AE358" s="575"/>
      <c r="AF358" s="817"/>
      <c r="AG358" s="575"/>
      <c r="AH358" s="575"/>
      <c r="AI358" s="738">
        <f t="shared" si="22"/>
        <v>0</v>
      </c>
      <c r="AJ358" s="582">
        <v>0</v>
      </c>
      <c r="AK358" s="581">
        <f t="shared" si="23"/>
        <v>0</v>
      </c>
      <c r="AL358" s="750" t="s">
        <v>1441</v>
      </c>
      <c r="AM358" s="743">
        <f t="shared" si="24"/>
        <v>1</v>
      </c>
    </row>
    <row r="359" spans="1:39" s="560" customFormat="1" ht="14.4" hidden="1" thickBot="1">
      <c r="A359" s="620" t="s">
        <v>947</v>
      </c>
      <c r="B359" s="621" t="s">
        <v>1282</v>
      </c>
      <c r="C359" s="628" t="s">
        <v>35</v>
      </c>
      <c r="D359" s="580"/>
      <c r="E359" s="581"/>
      <c r="F359" s="581"/>
      <c r="G359" s="778"/>
      <c r="H359" s="581"/>
      <c r="I359" s="582"/>
      <c r="J359" s="582"/>
      <c r="K359" s="582"/>
      <c r="L359" s="575"/>
      <c r="M359" s="575"/>
      <c r="N359" s="809"/>
      <c r="O359" s="575"/>
      <c r="P359" s="575"/>
      <c r="Q359" s="575"/>
      <c r="R359" s="575"/>
      <c r="S359" s="575"/>
      <c r="T359" s="575"/>
      <c r="U359" s="809"/>
      <c r="V359" s="575"/>
      <c r="W359" s="575"/>
      <c r="X359" s="575"/>
      <c r="Y359" s="575"/>
      <c r="Z359" s="575"/>
      <c r="AA359" s="575"/>
      <c r="AB359" s="809"/>
      <c r="AC359" s="575"/>
      <c r="AD359" s="575"/>
      <c r="AE359" s="575"/>
      <c r="AF359" s="817"/>
      <c r="AG359" s="575"/>
      <c r="AH359" s="575"/>
      <c r="AI359" s="738">
        <f t="shared" si="22"/>
        <v>0</v>
      </c>
      <c r="AJ359" s="582">
        <v>0</v>
      </c>
      <c r="AK359" s="581">
        <f t="shared" si="23"/>
        <v>0</v>
      </c>
      <c r="AL359" s="750" t="s">
        <v>1684</v>
      </c>
      <c r="AM359" s="743">
        <f t="shared" si="24"/>
        <v>2</v>
      </c>
    </row>
    <row r="360" spans="1:39" s="560" customFormat="1" ht="14.4" hidden="1" thickBot="1">
      <c r="A360" s="620" t="s">
        <v>948</v>
      </c>
      <c r="B360" s="621" t="s">
        <v>1255</v>
      </c>
      <c r="C360" s="628"/>
      <c r="D360" s="580"/>
      <c r="E360" s="581"/>
      <c r="F360" s="581"/>
      <c r="G360" s="778"/>
      <c r="H360" s="581"/>
      <c r="I360" s="582"/>
      <c r="J360" s="582"/>
      <c r="K360" s="582"/>
      <c r="L360" s="575"/>
      <c r="M360" s="575"/>
      <c r="N360" s="809"/>
      <c r="O360" s="575"/>
      <c r="P360" s="575"/>
      <c r="Q360" s="575"/>
      <c r="R360" s="575"/>
      <c r="S360" s="575"/>
      <c r="T360" s="575"/>
      <c r="U360" s="809"/>
      <c r="V360" s="575"/>
      <c r="W360" s="575"/>
      <c r="X360" s="575"/>
      <c r="Y360" s="575"/>
      <c r="Z360" s="575"/>
      <c r="AA360" s="575"/>
      <c r="AB360" s="809"/>
      <c r="AC360" s="575"/>
      <c r="AD360" s="575"/>
      <c r="AE360" s="575"/>
      <c r="AF360" s="817"/>
      <c r="AG360" s="575"/>
      <c r="AH360" s="575"/>
      <c r="AI360" s="738">
        <f t="shared" si="22"/>
        <v>0</v>
      </c>
      <c r="AJ360" s="582">
        <v>0</v>
      </c>
      <c r="AK360" s="581">
        <f t="shared" si="23"/>
        <v>0</v>
      </c>
      <c r="AL360" s="750"/>
      <c r="AM360" s="743">
        <f t="shared" si="24"/>
        <v>0</v>
      </c>
    </row>
    <row r="361" spans="1:39" s="560" customFormat="1" ht="14.4" hidden="1" thickBot="1">
      <c r="A361" s="620" t="s">
        <v>949</v>
      </c>
      <c r="B361" s="621" t="s">
        <v>1256</v>
      </c>
      <c r="C361" s="628" t="s">
        <v>36</v>
      </c>
      <c r="D361" s="580"/>
      <c r="E361" s="581"/>
      <c r="F361" s="581"/>
      <c r="G361" s="778"/>
      <c r="H361" s="581"/>
      <c r="I361" s="582"/>
      <c r="J361" s="582"/>
      <c r="K361" s="582"/>
      <c r="L361" s="575"/>
      <c r="M361" s="575"/>
      <c r="N361" s="809"/>
      <c r="O361" s="575"/>
      <c r="P361" s="575"/>
      <c r="Q361" s="575"/>
      <c r="R361" s="575"/>
      <c r="S361" s="575"/>
      <c r="T361" s="575"/>
      <c r="U361" s="809"/>
      <c r="V361" s="575"/>
      <c r="W361" s="575"/>
      <c r="X361" s="575"/>
      <c r="Y361" s="575"/>
      <c r="Z361" s="575"/>
      <c r="AA361" s="575"/>
      <c r="AB361" s="809"/>
      <c r="AC361" s="575"/>
      <c r="AD361" s="575"/>
      <c r="AE361" s="575"/>
      <c r="AF361" s="817"/>
      <c r="AG361" s="575"/>
      <c r="AH361" s="575"/>
      <c r="AI361" s="738">
        <f t="shared" si="22"/>
        <v>0</v>
      </c>
      <c r="AJ361" s="582">
        <v>0</v>
      </c>
      <c r="AK361" s="581">
        <f t="shared" si="23"/>
        <v>0</v>
      </c>
      <c r="AL361" s="750" t="s">
        <v>1710</v>
      </c>
      <c r="AM361" s="743">
        <f t="shared" si="24"/>
        <v>4.96</v>
      </c>
    </row>
    <row r="362" spans="1:39" s="560" customFormat="1" ht="14.4" hidden="1" thickBot="1">
      <c r="A362" s="620" t="s">
        <v>950</v>
      </c>
      <c r="B362" s="621" t="s">
        <v>1257</v>
      </c>
      <c r="C362" s="628" t="s">
        <v>36</v>
      </c>
      <c r="D362" s="580"/>
      <c r="E362" s="581"/>
      <c r="F362" s="581"/>
      <c r="G362" s="778"/>
      <c r="H362" s="581"/>
      <c r="I362" s="582"/>
      <c r="J362" s="582"/>
      <c r="K362" s="582"/>
      <c r="L362" s="575"/>
      <c r="M362" s="575"/>
      <c r="N362" s="809"/>
      <c r="O362" s="575"/>
      <c r="P362" s="575"/>
      <c r="Q362" s="575"/>
      <c r="R362" s="575"/>
      <c r="S362" s="575"/>
      <c r="T362" s="575"/>
      <c r="U362" s="809"/>
      <c r="V362" s="575"/>
      <c r="W362" s="575"/>
      <c r="X362" s="575"/>
      <c r="Y362" s="575"/>
      <c r="Z362" s="575"/>
      <c r="AA362" s="575"/>
      <c r="AB362" s="809"/>
      <c r="AC362" s="575"/>
      <c r="AD362" s="575"/>
      <c r="AE362" s="575"/>
      <c r="AF362" s="817"/>
      <c r="AG362" s="575"/>
      <c r="AH362" s="575"/>
      <c r="AI362" s="738">
        <f t="shared" si="22"/>
        <v>0</v>
      </c>
      <c r="AJ362" s="582">
        <v>0</v>
      </c>
      <c r="AK362" s="581">
        <f t="shared" si="23"/>
        <v>0</v>
      </c>
      <c r="AL362" s="750" t="s">
        <v>1474</v>
      </c>
      <c r="AM362" s="743">
        <f t="shared" si="24"/>
        <v>1.2</v>
      </c>
    </row>
    <row r="363" spans="1:39" s="560" customFormat="1" ht="14.4" hidden="1" thickBot="1">
      <c r="A363" s="620" t="s">
        <v>951</v>
      </c>
      <c r="B363" s="621" t="s">
        <v>1258</v>
      </c>
      <c r="C363" s="628"/>
      <c r="D363" s="580"/>
      <c r="E363" s="581"/>
      <c r="F363" s="581"/>
      <c r="G363" s="778"/>
      <c r="H363" s="581"/>
      <c r="I363" s="582"/>
      <c r="J363" s="582"/>
      <c r="K363" s="582"/>
      <c r="L363" s="575"/>
      <c r="M363" s="575"/>
      <c r="N363" s="809"/>
      <c r="O363" s="575"/>
      <c r="P363" s="575"/>
      <c r="Q363" s="575"/>
      <c r="R363" s="575"/>
      <c r="S363" s="575"/>
      <c r="T363" s="575"/>
      <c r="U363" s="809"/>
      <c r="V363" s="575"/>
      <c r="W363" s="575"/>
      <c r="X363" s="575"/>
      <c r="Y363" s="575"/>
      <c r="Z363" s="575"/>
      <c r="AA363" s="575"/>
      <c r="AB363" s="809"/>
      <c r="AC363" s="575"/>
      <c r="AD363" s="575"/>
      <c r="AE363" s="575"/>
      <c r="AF363" s="817"/>
      <c r="AG363" s="575"/>
      <c r="AH363" s="575"/>
      <c r="AI363" s="738">
        <f t="shared" si="22"/>
        <v>0</v>
      </c>
      <c r="AJ363" s="582">
        <v>0</v>
      </c>
      <c r="AK363" s="581">
        <f t="shared" si="23"/>
        <v>0</v>
      </c>
      <c r="AL363" s="750"/>
      <c r="AM363" s="743">
        <f t="shared" si="24"/>
        <v>0</v>
      </c>
    </row>
    <row r="364" spans="1:39" s="560" customFormat="1" ht="14.4" hidden="1" thickBot="1">
      <c r="A364" s="620" t="s">
        <v>952</v>
      </c>
      <c r="B364" s="621" t="s">
        <v>1259</v>
      </c>
      <c r="C364" s="628" t="s">
        <v>36</v>
      </c>
      <c r="D364" s="580"/>
      <c r="E364" s="581"/>
      <c r="F364" s="581"/>
      <c r="G364" s="778"/>
      <c r="H364" s="581"/>
      <c r="I364" s="582"/>
      <c r="J364" s="582"/>
      <c r="K364" s="582"/>
      <c r="L364" s="575"/>
      <c r="M364" s="575"/>
      <c r="N364" s="809"/>
      <c r="O364" s="575"/>
      <c r="P364" s="575"/>
      <c r="Q364" s="575"/>
      <c r="R364" s="575"/>
      <c r="S364" s="575"/>
      <c r="T364" s="575"/>
      <c r="U364" s="809"/>
      <c r="V364" s="575"/>
      <c r="W364" s="575"/>
      <c r="X364" s="575"/>
      <c r="Y364" s="575"/>
      <c r="Z364" s="575"/>
      <c r="AA364" s="575"/>
      <c r="AB364" s="809"/>
      <c r="AC364" s="575"/>
      <c r="AD364" s="575"/>
      <c r="AE364" s="575"/>
      <c r="AF364" s="817"/>
      <c r="AG364" s="575"/>
      <c r="AH364" s="575"/>
      <c r="AI364" s="738">
        <f t="shared" si="22"/>
        <v>0</v>
      </c>
      <c r="AJ364" s="582">
        <v>0</v>
      </c>
      <c r="AK364" s="581">
        <f t="shared" si="23"/>
        <v>0</v>
      </c>
      <c r="AL364" s="750" t="s">
        <v>1698</v>
      </c>
      <c r="AM364" s="743">
        <f t="shared" si="24"/>
        <v>33.950000000000003</v>
      </c>
    </row>
    <row r="365" spans="1:39" s="560" customFormat="1" ht="14.4" hidden="1" thickBot="1">
      <c r="A365" s="620" t="s">
        <v>953</v>
      </c>
      <c r="B365" s="621" t="s">
        <v>1260</v>
      </c>
      <c r="C365" s="628" t="s">
        <v>36</v>
      </c>
      <c r="D365" s="580"/>
      <c r="E365" s="581"/>
      <c r="F365" s="581"/>
      <c r="G365" s="778"/>
      <c r="H365" s="581"/>
      <c r="I365" s="582"/>
      <c r="J365" s="582"/>
      <c r="K365" s="582"/>
      <c r="L365" s="575"/>
      <c r="M365" s="575"/>
      <c r="N365" s="809"/>
      <c r="O365" s="575"/>
      <c r="P365" s="575"/>
      <c r="Q365" s="575"/>
      <c r="R365" s="575"/>
      <c r="S365" s="575"/>
      <c r="T365" s="575"/>
      <c r="U365" s="809"/>
      <c r="V365" s="575"/>
      <c r="W365" s="575"/>
      <c r="X365" s="575"/>
      <c r="Y365" s="575"/>
      <c r="Z365" s="575"/>
      <c r="AA365" s="575"/>
      <c r="AB365" s="809"/>
      <c r="AC365" s="575"/>
      <c r="AD365" s="575"/>
      <c r="AE365" s="575"/>
      <c r="AF365" s="817"/>
      <c r="AG365" s="575"/>
      <c r="AH365" s="575"/>
      <c r="AI365" s="738">
        <f t="shared" si="22"/>
        <v>0</v>
      </c>
      <c r="AJ365" s="582">
        <v>0</v>
      </c>
      <c r="AK365" s="581">
        <f t="shared" si="23"/>
        <v>0</v>
      </c>
      <c r="AL365" s="750" t="s">
        <v>1691</v>
      </c>
      <c r="AM365" s="743">
        <f t="shared" si="24"/>
        <v>77.680000000000007</v>
      </c>
    </row>
    <row r="366" spans="1:39" s="560" customFormat="1" ht="14.4" hidden="1" thickBot="1">
      <c r="A366" s="620" t="s">
        <v>954</v>
      </c>
      <c r="B366" s="621" t="s">
        <v>1261</v>
      </c>
      <c r="C366" s="628" t="s">
        <v>36</v>
      </c>
      <c r="D366" s="580"/>
      <c r="E366" s="581"/>
      <c r="F366" s="581"/>
      <c r="G366" s="778"/>
      <c r="H366" s="581"/>
      <c r="I366" s="582"/>
      <c r="J366" s="582"/>
      <c r="K366" s="582"/>
      <c r="L366" s="575"/>
      <c r="M366" s="575"/>
      <c r="N366" s="809"/>
      <c r="O366" s="575"/>
      <c r="P366" s="575"/>
      <c r="Q366" s="575"/>
      <c r="R366" s="575"/>
      <c r="S366" s="575"/>
      <c r="T366" s="575"/>
      <c r="U366" s="809"/>
      <c r="V366" s="575"/>
      <c r="W366" s="575"/>
      <c r="X366" s="575"/>
      <c r="Y366" s="575"/>
      <c r="Z366" s="575"/>
      <c r="AA366" s="575"/>
      <c r="AB366" s="809"/>
      <c r="AC366" s="575"/>
      <c r="AD366" s="575"/>
      <c r="AE366" s="575"/>
      <c r="AF366" s="817"/>
      <c r="AG366" s="575"/>
      <c r="AH366" s="575"/>
      <c r="AI366" s="738">
        <f t="shared" si="22"/>
        <v>0</v>
      </c>
      <c r="AJ366" s="582">
        <v>0</v>
      </c>
      <c r="AK366" s="581">
        <f t="shared" si="23"/>
        <v>0</v>
      </c>
      <c r="AL366" s="750" t="s">
        <v>1692</v>
      </c>
      <c r="AM366" s="743">
        <f t="shared" si="24"/>
        <v>51.98</v>
      </c>
    </row>
    <row r="367" spans="1:39" s="560" customFormat="1" ht="14.4" hidden="1" thickBot="1">
      <c r="A367" s="620" t="s">
        <v>955</v>
      </c>
      <c r="B367" s="621" t="s">
        <v>1262</v>
      </c>
      <c r="C367" s="628" t="s">
        <v>36</v>
      </c>
      <c r="D367" s="580"/>
      <c r="E367" s="581"/>
      <c r="F367" s="581"/>
      <c r="G367" s="778"/>
      <c r="H367" s="581"/>
      <c r="I367" s="582"/>
      <c r="J367" s="582"/>
      <c r="K367" s="582"/>
      <c r="L367" s="575"/>
      <c r="M367" s="575"/>
      <c r="N367" s="809"/>
      <c r="O367" s="575"/>
      <c r="P367" s="575"/>
      <c r="Q367" s="575"/>
      <c r="R367" s="575"/>
      <c r="S367" s="575"/>
      <c r="T367" s="575"/>
      <c r="U367" s="809"/>
      <c r="V367" s="575"/>
      <c r="W367" s="575"/>
      <c r="X367" s="575"/>
      <c r="Y367" s="575"/>
      <c r="Z367" s="575"/>
      <c r="AA367" s="575"/>
      <c r="AB367" s="809"/>
      <c r="AC367" s="575"/>
      <c r="AD367" s="575"/>
      <c r="AE367" s="575"/>
      <c r="AF367" s="817"/>
      <c r="AG367" s="575"/>
      <c r="AH367" s="575"/>
      <c r="AI367" s="738">
        <f t="shared" si="22"/>
        <v>0</v>
      </c>
      <c r="AJ367" s="582">
        <v>0</v>
      </c>
      <c r="AK367" s="581">
        <f t="shared" si="23"/>
        <v>0</v>
      </c>
      <c r="AL367" s="750" t="s">
        <v>1693</v>
      </c>
      <c r="AM367" s="743">
        <f t="shared" si="24"/>
        <v>12</v>
      </c>
    </row>
    <row r="368" spans="1:39" s="560" customFormat="1" ht="14.4" hidden="1" thickBot="1">
      <c r="A368" s="620" t="s">
        <v>956</v>
      </c>
      <c r="B368" s="621" t="s">
        <v>1263</v>
      </c>
      <c r="C368" s="628" t="s">
        <v>36</v>
      </c>
      <c r="D368" s="580"/>
      <c r="E368" s="581"/>
      <c r="F368" s="581"/>
      <c r="G368" s="778"/>
      <c r="H368" s="581"/>
      <c r="I368" s="582"/>
      <c r="J368" s="582"/>
      <c r="K368" s="582"/>
      <c r="L368" s="575"/>
      <c r="M368" s="575"/>
      <c r="N368" s="809"/>
      <c r="O368" s="575"/>
      <c r="P368" s="575"/>
      <c r="Q368" s="575"/>
      <c r="R368" s="575"/>
      <c r="S368" s="575"/>
      <c r="T368" s="575"/>
      <c r="U368" s="809"/>
      <c r="V368" s="575"/>
      <c r="W368" s="575"/>
      <c r="X368" s="575"/>
      <c r="Y368" s="575"/>
      <c r="Z368" s="575"/>
      <c r="AA368" s="575"/>
      <c r="AB368" s="809"/>
      <c r="AC368" s="575"/>
      <c r="AD368" s="575"/>
      <c r="AE368" s="575"/>
      <c r="AF368" s="817"/>
      <c r="AG368" s="575"/>
      <c r="AH368" s="575"/>
      <c r="AI368" s="738">
        <f t="shared" si="22"/>
        <v>0</v>
      </c>
      <c r="AJ368" s="582">
        <v>0</v>
      </c>
      <c r="AK368" s="581">
        <f t="shared" si="23"/>
        <v>0</v>
      </c>
      <c r="AL368" s="750" t="s">
        <v>1694</v>
      </c>
      <c r="AM368" s="743">
        <f t="shared" si="24"/>
        <v>19.97</v>
      </c>
    </row>
    <row r="369" spans="1:39" s="560" customFormat="1" ht="14.4" hidden="1" thickBot="1">
      <c r="A369" s="620" t="s">
        <v>957</v>
      </c>
      <c r="B369" s="621" t="s">
        <v>1264</v>
      </c>
      <c r="C369" s="628" t="s">
        <v>36</v>
      </c>
      <c r="D369" s="580"/>
      <c r="E369" s="581"/>
      <c r="F369" s="581"/>
      <c r="G369" s="778"/>
      <c r="H369" s="581"/>
      <c r="I369" s="582"/>
      <c r="J369" s="582"/>
      <c r="K369" s="582"/>
      <c r="L369" s="575"/>
      <c r="M369" s="575"/>
      <c r="N369" s="809"/>
      <c r="O369" s="575"/>
      <c r="P369" s="575"/>
      <c r="Q369" s="575"/>
      <c r="R369" s="575"/>
      <c r="S369" s="575"/>
      <c r="T369" s="575"/>
      <c r="U369" s="809"/>
      <c r="V369" s="575"/>
      <c r="W369" s="575"/>
      <c r="X369" s="575"/>
      <c r="Y369" s="575"/>
      <c r="Z369" s="575"/>
      <c r="AA369" s="575"/>
      <c r="AB369" s="809"/>
      <c r="AC369" s="575"/>
      <c r="AD369" s="575"/>
      <c r="AE369" s="575"/>
      <c r="AF369" s="817"/>
      <c r="AG369" s="575"/>
      <c r="AH369" s="575"/>
      <c r="AI369" s="738">
        <f t="shared" si="22"/>
        <v>0</v>
      </c>
      <c r="AJ369" s="582">
        <v>0</v>
      </c>
      <c r="AK369" s="581">
        <f t="shared" si="23"/>
        <v>0</v>
      </c>
      <c r="AL369" s="750" t="s">
        <v>1703</v>
      </c>
      <c r="AM369" s="743">
        <f t="shared" si="24"/>
        <v>6.91</v>
      </c>
    </row>
    <row r="370" spans="1:39" s="560" customFormat="1" ht="14.4" hidden="1" thickBot="1">
      <c r="A370" s="620" t="s">
        <v>958</v>
      </c>
      <c r="B370" s="621" t="s">
        <v>1265</v>
      </c>
      <c r="C370" s="628" t="s">
        <v>36</v>
      </c>
      <c r="D370" s="580"/>
      <c r="E370" s="581"/>
      <c r="F370" s="581"/>
      <c r="G370" s="778"/>
      <c r="H370" s="581"/>
      <c r="I370" s="582"/>
      <c r="J370" s="582"/>
      <c r="K370" s="582"/>
      <c r="L370" s="575"/>
      <c r="M370" s="575"/>
      <c r="N370" s="809"/>
      <c r="O370" s="575"/>
      <c r="P370" s="575"/>
      <c r="Q370" s="575"/>
      <c r="R370" s="575"/>
      <c r="S370" s="575"/>
      <c r="T370" s="575"/>
      <c r="U370" s="809"/>
      <c r="V370" s="575"/>
      <c r="W370" s="575"/>
      <c r="X370" s="575"/>
      <c r="Y370" s="575"/>
      <c r="Z370" s="575"/>
      <c r="AA370" s="575"/>
      <c r="AB370" s="809"/>
      <c r="AC370" s="575"/>
      <c r="AD370" s="575"/>
      <c r="AE370" s="575"/>
      <c r="AF370" s="817"/>
      <c r="AG370" s="575"/>
      <c r="AH370" s="575"/>
      <c r="AI370" s="738">
        <f t="shared" si="22"/>
        <v>0</v>
      </c>
      <c r="AJ370" s="582">
        <v>0</v>
      </c>
      <c r="AK370" s="581">
        <f t="shared" si="23"/>
        <v>0</v>
      </c>
      <c r="AL370" s="750" t="s">
        <v>1711</v>
      </c>
      <c r="AM370" s="743">
        <f t="shared" si="24"/>
        <v>10.5</v>
      </c>
    </row>
    <row r="371" spans="1:39" s="560" customFormat="1" ht="14.4" hidden="1" thickBot="1">
      <c r="A371" s="620" t="s">
        <v>959</v>
      </c>
      <c r="B371" s="621" t="s">
        <v>1266</v>
      </c>
      <c r="C371" s="628"/>
      <c r="D371" s="580"/>
      <c r="E371" s="581"/>
      <c r="F371" s="581"/>
      <c r="G371" s="778"/>
      <c r="H371" s="581"/>
      <c r="I371" s="582"/>
      <c r="J371" s="582"/>
      <c r="K371" s="582"/>
      <c r="L371" s="575"/>
      <c r="M371" s="575"/>
      <c r="N371" s="809"/>
      <c r="O371" s="575"/>
      <c r="P371" s="575"/>
      <c r="Q371" s="575"/>
      <c r="R371" s="575"/>
      <c r="S371" s="575"/>
      <c r="T371" s="575"/>
      <c r="U371" s="809"/>
      <c r="V371" s="575"/>
      <c r="W371" s="575"/>
      <c r="X371" s="575"/>
      <c r="Y371" s="575"/>
      <c r="Z371" s="575"/>
      <c r="AA371" s="575"/>
      <c r="AB371" s="809"/>
      <c r="AC371" s="575"/>
      <c r="AD371" s="575"/>
      <c r="AE371" s="575"/>
      <c r="AF371" s="817"/>
      <c r="AG371" s="575"/>
      <c r="AH371" s="575"/>
      <c r="AI371" s="738">
        <f t="shared" ref="AI371:AI434" si="25">ROUND((SUM(D371:L371)),2)</f>
        <v>0</v>
      </c>
      <c r="AJ371" s="582">
        <v>0</v>
      </c>
      <c r="AK371" s="581">
        <f t="shared" si="23"/>
        <v>0</v>
      </c>
      <c r="AL371" s="750"/>
      <c r="AM371" s="743">
        <f t="shared" si="24"/>
        <v>0</v>
      </c>
    </row>
    <row r="372" spans="1:39" s="560" customFormat="1" ht="14.4" hidden="1" thickBot="1">
      <c r="A372" s="620" t="s">
        <v>960</v>
      </c>
      <c r="B372" s="621" t="s">
        <v>1267</v>
      </c>
      <c r="C372" s="628" t="s">
        <v>1436</v>
      </c>
      <c r="D372" s="580"/>
      <c r="E372" s="581"/>
      <c r="F372" s="581"/>
      <c r="G372" s="778"/>
      <c r="H372" s="581"/>
      <c r="I372" s="582"/>
      <c r="J372" s="582"/>
      <c r="K372" s="582"/>
      <c r="L372" s="575"/>
      <c r="M372" s="575"/>
      <c r="N372" s="809"/>
      <c r="O372" s="575"/>
      <c r="P372" s="575"/>
      <c r="Q372" s="575"/>
      <c r="R372" s="575"/>
      <c r="S372" s="575"/>
      <c r="T372" s="575"/>
      <c r="U372" s="809"/>
      <c r="V372" s="575"/>
      <c r="W372" s="575"/>
      <c r="X372" s="575"/>
      <c r="Y372" s="575"/>
      <c r="Z372" s="575"/>
      <c r="AA372" s="575"/>
      <c r="AB372" s="809"/>
      <c r="AC372" s="575"/>
      <c r="AD372" s="575"/>
      <c r="AE372" s="575"/>
      <c r="AF372" s="817"/>
      <c r="AG372" s="575"/>
      <c r="AH372" s="575"/>
      <c r="AI372" s="738">
        <f t="shared" si="25"/>
        <v>0</v>
      </c>
      <c r="AJ372" s="582">
        <v>0</v>
      </c>
      <c r="AK372" s="581">
        <f t="shared" si="23"/>
        <v>0</v>
      </c>
      <c r="AL372" s="750" t="s">
        <v>1712</v>
      </c>
      <c r="AM372" s="743">
        <f t="shared" si="24"/>
        <v>11</v>
      </c>
    </row>
    <row r="373" spans="1:39" s="560" customFormat="1" ht="14.4" hidden="1" thickBot="1">
      <c r="A373" s="620" t="s">
        <v>961</v>
      </c>
      <c r="B373" s="621" t="s">
        <v>1268</v>
      </c>
      <c r="C373" s="628" t="s">
        <v>63</v>
      </c>
      <c r="D373" s="580"/>
      <c r="E373" s="581"/>
      <c r="F373" s="581"/>
      <c r="G373" s="778"/>
      <c r="H373" s="581"/>
      <c r="I373" s="582"/>
      <c r="J373" s="582"/>
      <c r="K373" s="582"/>
      <c r="L373" s="575"/>
      <c r="M373" s="575"/>
      <c r="N373" s="809"/>
      <c r="O373" s="575"/>
      <c r="P373" s="575"/>
      <c r="Q373" s="575"/>
      <c r="R373" s="575"/>
      <c r="S373" s="575"/>
      <c r="T373" s="575"/>
      <c r="U373" s="809"/>
      <c r="V373" s="575"/>
      <c r="W373" s="575"/>
      <c r="X373" s="575"/>
      <c r="Y373" s="575"/>
      <c r="Z373" s="575"/>
      <c r="AA373" s="575"/>
      <c r="AB373" s="809"/>
      <c r="AC373" s="575"/>
      <c r="AD373" s="575"/>
      <c r="AE373" s="575"/>
      <c r="AF373" s="817"/>
      <c r="AG373" s="575"/>
      <c r="AH373" s="575"/>
      <c r="AI373" s="738">
        <f t="shared" si="25"/>
        <v>0</v>
      </c>
      <c r="AJ373" s="582">
        <v>0</v>
      </c>
      <c r="AK373" s="581">
        <f t="shared" si="23"/>
        <v>0</v>
      </c>
      <c r="AL373" s="750" t="s">
        <v>1441</v>
      </c>
      <c r="AM373" s="743">
        <f t="shared" si="24"/>
        <v>1</v>
      </c>
    </row>
    <row r="374" spans="1:39" s="560" customFormat="1" ht="14.4" hidden="1" thickBot="1">
      <c r="A374" s="620" t="s">
        <v>962</v>
      </c>
      <c r="B374" s="621" t="s">
        <v>1269</v>
      </c>
      <c r="C374" s="628" t="s">
        <v>36</v>
      </c>
      <c r="D374" s="580"/>
      <c r="E374" s="581"/>
      <c r="F374" s="581"/>
      <c r="G374" s="778"/>
      <c r="H374" s="581"/>
      <c r="I374" s="582"/>
      <c r="J374" s="582"/>
      <c r="K374" s="582"/>
      <c r="L374" s="575"/>
      <c r="M374" s="575"/>
      <c r="N374" s="809"/>
      <c r="O374" s="575"/>
      <c r="P374" s="575"/>
      <c r="Q374" s="575"/>
      <c r="R374" s="575"/>
      <c r="S374" s="575"/>
      <c r="T374" s="575"/>
      <c r="U374" s="809"/>
      <c r="V374" s="575"/>
      <c r="W374" s="575"/>
      <c r="X374" s="575"/>
      <c r="Y374" s="575"/>
      <c r="Z374" s="575"/>
      <c r="AA374" s="575"/>
      <c r="AB374" s="809"/>
      <c r="AC374" s="575"/>
      <c r="AD374" s="575"/>
      <c r="AE374" s="575"/>
      <c r="AF374" s="817"/>
      <c r="AG374" s="575"/>
      <c r="AH374" s="575"/>
      <c r="AI374" s="738">
        <f t="shared" si="25"/>
        <v>0</v>
      </c>
      <c r="AJ374" s="582">
        <v>0</v>
      </c>
      <c r="AK374" s="581">
        <f t="shared" si="23"/>
        <v>0</v>
      </c>
      <c r="AL374" s="750" t="s">
        <v>1713</v>
      </c>
      <c r="AM374" s="743">
        <f t="shared" si="24"/>
        <v>8.15</v>
      </c>
    </row>
    <row r="375" spans="1:39" s="560" customFormat="1" ht="14.4" hidden="1" thickBot="1">
      <c r="A375" s="620" t="s">
        <v>512</v>
      </c>
      <c r="B375" s="621" t="s">
        <v>1284</v>
      </c>
      <c r="C375" s="628"/>
      <c r="D375" s="580"/>
      <c r="E375" s="581"/>
      <c r="F375" s="581"/>
      <c r="G375" s="778"/>
      <c r="H375" s="581"/>
      <c r="I375" s="582"/>
      <c r="J375" s="582"/>
      <c r="K375" s="582"/>
      <c r="L375" s="575"/>
      <c r="M375" s="575"/>
      <c r="N375" s="809"/>
      <c r="O375" s="575"/>
      <c r="P375" s="575"/>
      <c r="Q375" s="575"/>
      <c r="R375" s="575"/>
      <c r="S375" s="575"/>
      <c r="T375" s="575"/>
      <c r="U375" s="809"/>
      <c r="V375" s="575"/>
      <c r="W375" s="575"/>
      <c r="X375" s="575"/>
      <c r="Y375" s="575"/>
      <c r="Z375" s="575"/>
      <c r="AA375" s="575"/>
      <c r="AB375" s="809"/>
      <c r="AC375" s="575"/>
      <c r="AD375" s="575"/>
      <c r="AE375" s="575"/>
      <c r="AF375" s="817"/>
      <c r="AG375" s="575"/>
      <c r="AH375" s="575"/>
      <c r="AI375" s="738">
        <f t="shared" si="25"/>
        <v>0</v>
      </c>
      <c r="AJ375" s="582">
        <v>0</v>
      </c>
      <c r="AK375" s="581">
        <f t="shared" si="23"/>
        <v>0</v>
      </c>
      <c r="AL375" s="750"/>
      <c r="AM375" s="743">
        <f t="shared" si="24"/>
        <v>0</v>
      </c>
    </row>
    <row r="376" spans="1:39" s="560" customFormat="1" ht="14.4" hidden="1" thickBot="1">
      <c r="A376" s="620" t="s">
        <v>513</v>
      </c>
      <c r="B376" s="621" t="s">
        <v>1222</v>
      </c>
      <c r="C376" s="628"/>
      <c r="D376" s="580"/>
      <c r="E376" s="581"/>
      <c r="F376" s="581"/>
      <c r="G376" s="778"/>
      <c r="H376" s="581"/>
      <c r="I376" s="582"/>
      <c r="J376" s="582"/>
      <c r="K376" s="582"/>
      <c r="L376" s="575"/>
      <c r="M376" s="575"/>
      <c r="N376" s="809"/>
      <c r="O376" s="575"/>
      <c r="P376" s="575"/>
      <c r="Q376" s="575"/>
      <c r="R376" s="575"/>
      <c r="S376" s="575"/>
      <c r="T376" s="575"/>
      <c r="U376" s="809"/>
      <c r="V376" s="575"/>
      <c r="W376" s="575"/>
      <c r="X376" s="575"/>
      <c r="Y376" s="575"/>
      <c r="Z376" s="575"/>
      <c r="AA376" s="575"/>
      <c r="AB376" s="809"/>
      <c r="AC376" s="575"/>
      <c r="AD376" s="575"/>
      <c r="AE376" s="575"/>
      <c r="AF376" s="817"/>
      <c r="AG376" s="575"/>
      <c r="AH376" s="575"/>
      <c r="AI376" s="738">
        <f t="shared" si="25"/>
        <v>0</v>
      </c>
      <c r="AJ376" s="582">
        <v>0</v>
      </c>
      <c r="AK376" s="581">
        <f t="shared" si="23"/>
        <v>0</v>
      </c>
      <c r="AL376" s="750"/>
      <c r="AM376" s="743">
        <f t="shared" si="24"/>
        <v>0</v>
      </c>
    </row>
    <row r="377" spans="1:39" s="560" customFormat="1" ht="14.4" hidden="1" thickBot="1">
      <c r="A377" s="620" t="s">
        <v>514</v>
      </c>
      <c r="B377" s="621" t="s">
        <v>1285</v>
      </c>
      <c r="C377" s="628" t="s">
        <v>36</v>
      </c>
      <c r="D377" s="580"/>
      <c r="E377" s="581"/>
      <c r="F377" s="581"/>
      <c r="G377" s="778"/>
      <c r="H377" s="581"/>
      <c r="I377" s="582"/>
      <c r="J377" s="582"/>
      <c r="K377" s="582"/>
      <c r="L377" s="575"/>
      <c r="M377" s="575"/>
      <c r="N377" s="809"/>
      <c r="O377" s="575"/>
      <c r="P377" s="575"/>
      <c r="Q377" s="575"/>
      <c r="R377" s="575"/>
      <c r="S377" s="575"/>
      <c r="T377" s="575"/>
      <c r="U377" s="809"/>
      <c r="V377" s="575"/>
      <c r="W377" s="575"/>
      <c r="X377" s="575"/>
      <c r="Y377" s="575"/>
      <c r="Z377" s="575"/>
      <c r="AA377" s="575"/>
      <c r="AB377" s="809"/>
      <c r="AC377" s="575"/>
      <c r="AD377" s="575"/>
      <c r="AE377" s="575"/>
      <c r="AF377" s="817"/>
      <c r="AG377" s="575"/>
      <c r="AH377" s="575"/>
      <c r="AI377" s="738">
        <f t="shared" si="25"/>
        <v>0</v>
      </c>
      <c r="AJ377" s="582">
        <v>0</v>
      </c>
      <c r="AK377" s="581">
        <f t="shared" si="23"/>
        <v>0</v>
      </c>
      <c r="AL377" s="750" t="s">
        <v>1714</v>
      </c>
      <c r="AM377" s="743">
        <f t="shared" si="24"/>
        <v>239.98</v>
      </c>
    </row>
    <row r="378" spans="1:39" s="560" customFormat="1" ht="14.4" hidden="1" thickBot="1">
      <c r="A378" s="620" t="s">
        <v>963</v>
      </c>
      <c r="B378" s="621" t="s">
        <v>1225</v>
      </c>
      <c r="C378" s="628"/>
      <c r="D378" s="580"/>
      <c r="E378" s="581"/>
      <c r="F378" s="581"/>
      <c r="G378" s="778"/>
      <c r="H378" s="581"/>
      <c r="I378" s="582"/>
      <c r="J378" s="582"/>
      <c r="K378" s="582"/>
      <c r="L378" s="575"/>
      <c r="M378" s="575"/>
      <c r="N378" s="809"/>
      <c r="O378" s="575"/>
      <c r="P378" s="575"/>
      <c r="Q378" s="575"/>
      <c r="R378" s="575"/>
      <c r="S378" s="575"/>
      <c r="T378" s="575"/>
      <c r="U378" s="809"/>
      <c r="V378" s="575"/>
      <c r="W378" s="575"/>
      <c r="X378" s="575"/>
      <c r="Y378" s="575"/>
      <c r="Z378" s="575"/>
      <c r="AA378" s="575"/>
      <c r="AB378" s="809"/>
      <c r="AC378" s="575"/>
      <c r="AD378" s="575"/>
      <c r="AE378" s="575"/>
      <c r="AF378" s="817"/>
      <c r="AG378" s="575"/>
      <c r="AH378" s="575"/>
      <c r="AI378" s="738">
        <f t="shared" si="25"/>
        <v>0</v>
      </c>
      <c r="AJ378" s="582">
        <v>0</v>
      </c>
      <c r="AK378" s="581">
        <f t="shared" si="23"/>
        <v>0</v>
      </c>
      <c r="AL378" s="750"/>
      <c r="AM378" s="743">
        <f t="shared" si="24"/>
        <v>0</v>
      </c>
    </row>
    <row r="379" spans="1:39" s="560" customFormat="1" ht="14.4" hidden="1" thickBot="1">
      <c r="A379" s="620" t="s">
        <v>964</v>
      </c>
      <c r="B379" s="621" t="s">
        <v>1286</v>
      </c>
      <c r="C379" s="628" t="s">
        <v>36</v>
      </c>
      <c r="D379" s="580"/>
      <c r="E379" s="581"/>
      <c r="F379" s="581"/>
      <c r="G379" s="778"/>
      <c r="H379" s="581"/>
      <c r="I379" s="582"/>
      <c r="J379" s="582"/>
      <c r="K379" s="582"/>
      <c r="L379" s="575"/>
      <c r="M379" s="575"/>
      <c r="N379" s="809"/>
      <c r="O379" s="575"/>
      <c r="P379" s="575"/>
      <c r="Q379" s="575"/>
      <c r="R379" s="575"/>
      <c r="S379" s="575"/>
      <c r="T379" s="575"/>
      <c r="U379" s="809"/>
      <c r="V379" s="575"/>
      <c r="W379" s="575"/>
      <c r="X379" s="575"/>
      <c r="Y379" s="575"/>
      <c r="Z379" s="575"/>
      <c r="AA379" s="575"/>
      <c r="AB379" s="809"/>
      <c r="AC379" s="575"/>
      <c r="AD379" s="575"/>
      <c r="AE379" s="575"/>
      <c r="AF379" s="817"/>
      <c r="AG379" s="575"/>
      <c r="AH379" s="575"/>
      <c r="AI379" s="738">
        <f t="shared" si="25"/>
        <v>0</v>
      </c>
      <c r="AJ379" s="582">
        <v>0</v>
      </c>
      <c r="AK379" s="581">
        <f t="shared" si="23"/>
        <v>0</v>
      </c>
      <c r="AL379" s="750" t="s">
        <v>1715</v>
      </c>
      <c r="AM379" s="743">
        <f t="shared" si="24"/>
        <v>117.85</v>
      </c>
    </row>
    <row r="380" spans="1:39" s="560" customFormat="1" ht="14.4" hidden="1" thickBot="1">
      <c r="A380" s="620" t="s">
        <v>965</v>
      </c>
      <c r="B380" s="621" t="s">
        <v>1287</v>
      </c>
      <c r="C380" s="628" t="s">
        <v>36</v>
      </c>
      <c r="D380" s="580"/>
      <c r="E380" s="581"/>
      <c r="F380" s="581"/>
      <c r="G380" s="778"/>
      <c r="H380" s="581"/>
      <c r="I380" s="582"/>
      <c r="J380" s="582"/>
      <c r="K380" s="582"/>
      <c r="L380" s="575"/>
      <c r="M380" s="575"/>
      <c r="N380" s="809"/>
      <c r="O380" s="575"/>
      <c r="P380" s="575"/>
      <c r="Q380" s="575"/>
      <c r="R380" s="575"/>
      <c r="S380" s="575"/>
      <c r="T380" s="575"/>
      <c r="U380" s="809"/>
      <c r="V380" s="575"/>
      <c r="W380" s="575"/>
      <c r="X380" s="575"/>
      <c r="Y380" s="575"/>
      <c r="Z380" s="575"/>
      <c r="AA380" s="575"/>
      <c r="AB380" s="809"/>
      <c r="AC380" s="575"/>
      <c r="AD380" s="575"/>
      <c r="AE380" s="575"/>
      <c r="AF380" s="817"/>
      <c r="AG380" s="575"/>
      <c r="AH380" s="575"/>
      <c r="AI380" s="738">
        <f t="shared" si="25"/>
        <v>0</v>
      </c>
      <c r="AJ380" s="582">
        <v>0</v>
      </c>
      <c r="AK380" s="581">
        <f t="shared" si="23"/>
        <v>0</v>
      </c>
      <c r="AL380" s="750" t="s">
        <v>1716</v>
      </c>
      <c r="AM380" s="743">
        <f t="shared" si="24"/>
        <v>65.94</v>
      </c>
    </row>
    <row r="381" spans="1:39" s="560" customFormat="1" ht="14.4" hidden="1" thickBot="1">
      <c r="A381" s="620" t="s">
        <v>966</v>
      </c>
      <c r="B381" s="621" t="s">
        <v>1288</v>
      </c>
      <c r="C381" s="628" t="s">
        <v>36</v>
      </c>
      <c r="D381" s="580"/>
      <c r="E381" s="581"/>
      <c r="F381" s="581"/>
      <c r="G381" s="778"/>
      <c r="H381" s="581"/>
      <c r="I381" s="582"/>
      <c r="J381" s="582"/>
      <c r="K381" s="582"/>
      <c r="L381" s="575"/>
      <c r="M381" s="575"/>
      <c r="N381" s="809"/>
      <c r="O381" s="575"/>
      <c r="P381" s="575"/>
      <c r="Q381" s="575"/>
      <c r="R381" s="575"/>
      <c r="S381" s="575"/>
      <c r="T381" s="575"/>
      <c r="U381" s="809"/>
      <c r="V381" s="575"/>
      <c r="W381" s="575"/>
      <c r="X381" s="575"/>
      <c r="Y381" s="575"/>
      <c r="Z381" s="575"/>
      <c r="AA381" s="575"/>
      <c r="AB381" s="809"/>
      <c r="AC381" s="575"/>
      <c r="AD381" s="575"/>
      <c r="AE381" s="575"/>
      <c r="AF381" s="817"/>
      <c r="AG381" s="575"/>
      <c r="AH381" s="575"/>
      <c r="AI381" s="738">
        <f t="shared" si="25"/>
        <v>0</v>
      </c>
      <c r="AJ381" s="582">
        <v>0</v>
      </c>
      <c r="AK381" s="581">
        <f t="shared" si="23"/>
        <v>0</v>
      </c>
      <c r="AL381" s="750" t="s">
        <v>1576</v>
      </c>
      <c r="AM381" s="743">
        <f t="shared" si="24"/>
        <v>49.66</v>
      </c>
    </row>
    <row r="382" spans="1:39" s="560" customFormat="1" ht="14.4" hidden="1" thickBot="1">
      <c r="A382" s="620" t="s">
        <v>967</v>
      </c>
      <c r="B382" s="621" t="s">
        <v>1277</v>
      </c>
      <c r="C382" s="628"/>
      <c r="D382" s="580"/>
      <c r="E382" s="581"/>
      <c r="F382" s="581"/>
      <c r="G382" s="778"/>
      <c r="H382" s="581"/>
      <c r="I382" s="582"/>
      <c r="J382" s="582"/>
      <c r="K382" s="582"/>
      <c r="L382" s="575"/>
      <c r="M382" s="575"/>
      <c r="N382" s="809"/>
      <c r="O382" s="575"/>
      <c r="P382" s="575"/>
      <c r="Q382" s="575"/>
      <c r="R382" s="575"/>
      <c r="S382" s="575"/>
      <c r="T382" s="575"/>
      <c r="U382" s="809"/>
      <c r="V382" s="575"/>
      <c r="W382" s="575"/>
      <c r="X382" s="575"/>
      <c r="Y382" s="575"/>
      <c r="Z382" s="575"/>
      <c r="AA382" s="575"/>
      <c r="AB382" s="809"/>
      <c r="AC382" s="575"/>
      <c r="AD382" s="575"/>
      <c r="AE382" s="575"/>
      <c r="AF382" s="817"/>
      <c r="AG382" s="575"/>
      <c r="AH382" s="575"/>
      <c r="AI382" s="738">
        <f t="shared" si="25"/>
        <v>0</v>
      </c>
      <c r="AJ382" s="582">
        <v>0</v>
      </c>
      <c r="AK382" s="581">
        <f t="shared" si="23"/>
        <v>0</v>
      </c>
      <c r="AL382" s="750"/>
      <c r="AM382" s="743">
        <f t="shared" si="24"/>
        <v>0</v>
      </c>
    </row>
    <row r="383" spans="1:39" s="560" customFormat="1" ht="14.4" hidden="1" thickBot="1">
      <c r="A383" s="620" t="s">
        <v>968</v>
      </c>
      <c r="B383" s="621" t="s">
        <v>1289</v>
      </c>
      <c r="C383" s="628" t="s">
        <v>36</v>
      </c>
      <c r="D383" s="580"/>
      <c r="E383" s="581"/>
      <c r="F383" s="581"/>
      <c r="G383" s="778"/>
      <c r="H383" s="581"/>
      <c r="I383" s="582"/>
      <c r="J383" s="582"/>
      <c r="K383" s="582"/>
      <c r="L383" s="575"/>
      <c r="M383" s="575"/>
      <c r="N383" s="809"/>
      <c r="O383" s="575"/>
      <c r="P383" s="575"/>
      <c r="Q383" s="575"/>
      <c r="R383" s="575"/>
      <c r="S383" s="575"/>
      <c r="T383" s="575"/>
      <c r="U383" s="809"/>
      <c r="V383" s="575"/>
      <c r="W383" s="575"/>
      <c r="X383" s="575"/>
      <c r="Y383" s="575"/>
      <c r="Z383" s="575"/>
      <c r="AA383" s="575"/>
      <c r="AB383" s="809"/>
      <c r="AC383" s="575"/>
      <c r="AD383" s="575"/>
      <c r="AE383" s="575"/>
      <c r="AF383" s="817"/>
      <c r="AG383" s="575"/>
      <c r="AH383" s="575"/>
      <c r="AI383" s="738">
        <f t="shared" si="25"/>
        <v>0</v>
      </c>
      <c r="AJ383" s="582">
        <v>0</v>
      </c>
      <c r="AK383" s="581">
        <f t="shared" si="23"/>
        <v>0</v>
      </c>
      <c r="AL383" s="750" t="s">
        <v>1717</v>
      </c>
      <c r="AM383" s="743">
        <f t="shared" si="24"/>
        <v>7.98</v>
      </c>
    </row>
    <row r="384" spans="1:39" s="560" customFormat="1" ht="14.4" hidden="1" thickBot="1">
      <c r="A384" s="620" t="s">
        <v>969</v>
      </c>
      <c r="B384" s="621" t="s">
        <v>1258</v>
      </c>
      <c r="C384" s="628"/>
      <c r="D384" s="580"/>
      <c r="E384" s="581"/>
      <c r="F384" s="581"/>
      <c r="G384" s="778"/>
      <c r="H384" s="581"/>
      <c r="I384" s="582"/>
      <c r="J384" s="582"/>
      <c r="K384" s="582"/>
      <c r="L384" s="575"/>
      <c r="M384" s="575"/>
      <c r="N384" s="809"/>
      <c r="O384" s="575"/>
      <c r="P384" s="575"/>
      <c r="Q384" s="575"/>
      <c r="R384" s="575"/>
      <c r="S384" s="575"/>
      <c r="T384" s="575"/>
      <c r="U384" s="809"/>
      <c r="V384" s="575"/>
      <c r="W384" s="575"/>
      <c r="X384" s="575"/>
      <c r="Y384" s="575"/>
      <c r="Z384" s="575"/>
      <c r="AA384" s="575"/>
      <c r="AB384" s="809"/>
      <c r="AC384" s="575"/>
      <c r="AD384" s="575"/>
      <c r="AE384" s="575"/>
      <c r="AF384" s="817"/>
      <c r="AG384" s="575"/>
      <c r="AH384" s="575"/>
      <c r="AI384" s="738">
        <f t="shared" si="25"/>
        <v>0</v>
      </c>
      <c r="AJ384" s="582">
        <v>0</v>
      </c>
      <c r="AK384" s="581">
        <f t="shared" si="23"/>
        <v>0</v>
      </c>
      <c r="AL384" s="750"/>
      <c r="AM384" s="743">
        <f t="shared" si="24"/>
        <v>0</v>
      </c>
    </row>
    <row r="385" spans="1:39" s="560" customFormat="1" ht="14.4" hidden="1" thickBot="1">
      <c r="A385" s="620" t="s">
        <v>970</v>
      </c>
      <c r="B385" s="621" t="s">
        <v>1290</v>
      </c>
      <c r="C385" s="628" t="s">
        <v>36</v>
      </c>
      <c r="D385" s="580"/>
      <c r="E385" s="581"/>
      <c r="F385" s="581"/>
      <c r="G385" s="778"/>
      <c r="H385" s="581"/>
      <c r="I385" s="582"/>
      <c r="J385" s="582"/>
      <c r="K385" s="582"/>
      <c r="L385" s="575"/>
      <c r="M385" s="575"/>
      <c r="N385" s="809"/>
      <c r="O385" s="575"/>
      <c r="P385" s="575"/>
      <c r="Q385" s="575"/>
      <c r="R385" s="575"/>
      <c r="S385" s="575"/>
      <c r="T385" s="575"/>
      <c r="U385" s="809"/>
      <c r="V385" s="575"/>
      <c r="W385" s="575"/>
      <c r="X385" s="575"/>
      <c r="Y385" s="575"/>
      <c r="Z385" s="575"/>
      <c r="AA385" s="575"/>
      <c r="AB385" s="809"/>
      <c r="AC385" s="575"/>
      <c r="AD385" s="575"/>
      <c r="AE385" s="575"/>
      <c r="AF385" s="817"/>
      <c r="AG385" s="575"/>
      <c r="AH385" s="575"/>
      <c r="AI385" s="738">
        <f t="shared" si="25"/>
        <v>0</v>
      </c>
      <c r="AJ385" s="582">
        <v>0</v>
      </c>
      <c r="AK385" s="581">
        <f t="shared" si="23"/>
        <v>0</v>
      </c>
      <c r="AL385" s="750" t="s">
        <v>1715</v>
      </c>
      <c r="AM385" s="743">
        <f t="shared" si="24"/>
        <v>117.85</v>
      </c>
    </row>
    <row r="386" spans="1:39" s="560" customFormat="1" ht="14.4" hidden="1" thickBot="1">
      <c r="A386" s="620" t="s">
        <v>971</v>
      </c>
      <c r="B386" s="621" t="s">
        <v>1262</v>
      </c>
      <c r="C386" s="628" t="s">
        <v>36</v>
      </c>
      <c r="D386" s="580"/>
      <c r="E386" s="581"/>
      <c r="F386" s="581"/>
      <c r="G386" s="778"/>
      <c r="H386" s="581"/>
      <c r="I386" s="582"/>
      <c r="J386" s="582"/>
      <c r="K386" s="582"/>
      <c r="L386" s="575"/>
      <c r="M386" s="575"/>
      <c r="N386" s="809"/>
      <c r="O386" s="575"/>
      <c r="P386" s="575"/>
      <c r="Q386" s="575"/>
      <c r="R386" s="575"/>
      <c r="S386" s="575"/>
      <c r="T386" s="575"/>
      <c r="U386" s="809"/>
      <c r="V386" s="575"/>
      <c r="W386" s="575"/>
      <c r="X386" s="575"/>
      <c r="Y386" s="575"/>
      <c r="Z386" s="575"/>
      <c r="AA386" s="575"/>
      <c r="AB386" s="809"/>
      <c r="AC386" s="575"/>
      <c r="AD386" s="575"/>
      <c r="AE386" s="575"/>
      <c r="AF386" s="817"/>
      <c r="AG386" s="575"/>
      <c r="AH386" s="575"/>
      <c r="AI386" s="738">
        <f t="shared" si="25"/>
        <v>0</v>
      </c>
      <c r="AJ386" s="582">
        <v>0</v>
      </c>
      <c r="AK386" s="581">
        <f t="shared" si="23"/>
        <v>0</v>
      </c>
      <c r="AL386" s="750" t="s">
        <v>1716</v>
      </c>
      <c r="AM386" s="743">
        <f t="shared" si="24"/>
        <v>65.94</v>
      </c>
    </row>
    <row r="387" spans="1:39" s="560" customFormat="1" ht="14.4" hidden="1" thickBot="1">
      <c r="A387" s="620" t="s">
        <v>972</v>
      </c>
      <c r="B387" s="621" t="s">
        <v>1263</v>
      </c>
      <c r="C387" s="628" t="s">
        <v>36</v>
      </c>
      <c r="D387" s="580"/>
      <c r="E387" s="581"/>
      <c r="F387" s="581"/>
      <c r="G387" s="778"/>
      <c r="H387" s="581"/>
      <c r="I387" s="582"/>
      <c r="J387" s="582"/>
      <c r="K387" s="582"/>
      <c r="L387" s="575"/>
      <c r="M387" s="575"/>
      <c r="N387" s="809"/>
      <c r="O387" s="575"/>
      <c r="P387" s="575"/>
      <c r="Q387" s="575"/>
      <c r="R387" s="575"/>
      <c r="S387" s="575"/>
      <c r="T387" s="575"/>
      <c r="U387" s="809"/>
      <c r="V387" s="575"/>
      <c r="W387" s="575"/>
      <c r="X387" s="575"/>
      <c r="Y387" s="575"/>
      <c r="Z387" s="575"/>
      <c r="AA387" s="575"/>
      <c r="AB387" s="809"/>
      <c r="AC387" s="575"/>
      <c r="AD387" s="575"/>
      <c r="AE387" s="575"/>
      <c r="AF387" s="817"/>
      <c r="AG387" s="575"/>
      <c r="AH387" s="575"/>
      <c r="AI387" s="738">
        <f t="shared" si="25"/>
        <v>0</v>
      </c>
      <c r="AJ387" s="582">
        <v>0</v>
      </c>
      <c r="AK387" s="581">
        <f t="shared" si="23"/>
        <v>0</v>
      </c>
      <c r="AL387" s="750" t="s">
        <v>1576</v>
      </c>
      <c r="AM387" s="743">
        <f t="shared" si="24"/>
        <v>49.66</v>
      </c>
    </row>
    <row r="388" spans="1:39" s="560" customFormat="1" ht="14.4" hidden="1" thickBot="1">
      <c r="A388" s="620" t="s">
        <v>973</v>
      </c>
      <c r="B388" s="621" t="s">
        <v>1291</v>
      </c>
      <c r="C388" s="628"/>
      <c r="D388" s="580"/>
      <c r="E388" s="581"/>
      <c r="F388" s="581"/>
      <c r="G388" s="778"/>
      <c r="H388" s="581"/>
      <c r="I388" s="582"/>
      <c r="J388" s="582"/>
      <c r="K388" s="582"/>
      <c r="L388" s="575"/>
      <c r="M388" s="575"/>
      <c r="N388" s="809"/>
      <c r="O388" s="575"/>
      <c r="P388" s="575"/>
      <c r="Q388" s="575"/>
      <c r="R388" s="575"/>
      <c r="S388" s="575"/>
      <c r="T388" s="575"/>
      <c r="U388" s="809"/>
      <c r="V388" s="575"/>
      <c r="W388" s="575"/>
      <c r="X388" s="575"/>
      <c r="Y388" s="575"/>
      <c r="Z388" s="575"/>
      <c r="AA388" s="575"/>
      <c r="AB388" s="809"/>
      <c r="AC388" s="575"/>
      <c r="AD388" s="575"/>
      <c r="AE388" s="575"/>
      <c r="AF388" s="817"/>
      <c r="AG388" s="575"/>
      <c r="AH388" s="575"/>
      <c r="AI388" s="738">
        <f t="shared" si="25"/>
        <v>0</v>
      </c>
      <c r="AJ388" s="582">
        <v>0</v>
      </c>
      <c r="AK388" s="581">
        <f t="shared" si="23"/>
        <v>0</v>
      </c>
      <c r="AL388" s="750"/>
      <c r="AM388" s="743">
        <f t="shared" si="24"/>
        <v>0</v>
      </c>
    </row>
    <row r="389" spans="1:39" s="560" customFormat="1" ht="14.4" hidden="1" thickBot="1">
      <c r="A389" s="620" t="s">
        <v>974</v>
      </c>
      <c r="B389" s="621" t="s">
        <v>1292</v>
      </c>
      <c r="C389" s="628" t="s">
        <v>36</v>
      </c>
      <c r="D389" s="580"/>
      <c r="E389" s="581"/>
      <c r="F389" s="581"/>
      <c r="G389" s="778"/>
      <c r="H389" s="581"/>
      <c r="I389" s="582"/>
      <c r="J389" s="582"/>
      <c r="K389" s="582"/>
      <c r="L389" s="575"/>
      <c r="M389" s="575"/>
      <c r="N389" s="809"/>
      <c r="O389" s="575"/>
      <c r="P389" s="575"/>
      <c r="Q389" s="575"/>
      <c r="R389" s="575"/>
      <c r="S389" s="575"/>
      <c r="T389" s="575"/>
      <c r="U389" s="809"/>
      <c r="V389" s="575"/>
      <c r="W389" s="575"/>
      <c r="X389" s="575"/>
      <c r="Y389" s="575"/>
      <c r="Z389" s="575"/>
      <c r="AA389" s="575"/>
      <c r="AB389" s="809"/>
      <c r="AC389" s="575"/>
      <c r="AD389" s="575"/>
      <c r="AE389" s="575"/>
      <c r="AF389" s="817"/>
      <c r="AG389" s="575"/>
      <c r="AH389" s="575"/>
      <c r="AI389" s="738">
        <f t="shared" si="25"/>
        <v>0</v>
      </c>
      <c r="AJ389" s="582">
        <v>0</v>
      </c>
      <c r="AK389" s="581">
        <f t="shared" si="23"/>
        <v>0</v>
      </c>
      <c r="AL389" s="750" t="s">
        <v>1718</v>
      </c>
      <c r="AM389" s="743">
        <f t="shared" si="24"/>
        <v>154.19</v>
      </c>
    </row>
    <row r="390" spans="1:39" s="560" customFormat="1" ht="14.4" hidden="1" thickBot="1">
      <c r="A390" s="620" t="s">
        <v>975</v>
      </c>
      <c r="B390" s="621" t="s">
        <v>1293</v>
      </c>
      <c r="C390" s="628" t="s">
        <v>36</v>
      </c>
      <c r="D390" s="580"/>
      <c r="E390" s="581"/>
      <c r="F390" s="581"/>
      <c r="G390" s="778"/>
      <c r="H390" s="581"/>
      <c r="I390" s="582"/>
      <c r="J390" s="582"/>
      <c r="K390" s="582"/>
      <c r="L390" s="575"/>
      <c r="M390" s="575"/>
      <c r="N390" s="809"/>
      <c r="O390" s="575"/>
      <c r="P390" s="575"/>
      <c r="Q390" s="575"/>
      <c r="R390" s="575"/>
      <c r="S390" s="575"/>
      <c r="T390" s="575"/>
      <c r="U390" s="809"/>
      <c r="V390" s="575"/>
      <c r="W390" s="575"/>
      <c r="X390" s="575"/>
      <c r="Y390" s="575"/>
      <c r="Z390" s="575"/>
      <c r="AA390" s="575"/>
      <c r="AB390" s="809"/>
      <c r="AC390" s="575"/>
      <c r="AD390" s="575"/>
      <c r="AE390" s="575"/>
      <c r="AF390" s="817"/>
      <c r="AG390" s="575"/>
      <c r="AH390" s="575"/>
      <c r="AI390" s="738">
        <f t="shared" si="25"/>
        <v>0</v>
      </c>
      <c r="AJ390" s="582">
        <v>0</v>
      </c>
      <c r="AK390" s="581">
        <f t="shared" si="23"/>
        <v>0</v>
      </c>
      <c r="AL390" s="750" t="s">
        <v>1719</v>
      </c>
      <c r="AM390" s="743">
        <f t="shared" si="24"/>
        <v>48.81</v>
      </c>
    </row>
    <row r="391" spans="1:39" s="560" customFormat="1" ht="14.4" hidden="1" thickBot="1">
      <c r="A391" s="620" t="s">
        <v>976</v>
      </c>
      <c r="B391" s="621" t="s">
        <v>1294</v>
      </c>
      <c r="C391" s="628"/>
      <c r="D391" s="580"/>
      <c r="E391" s="581"/>
      <c r="F391" s="581"/>
      <c r="G391" s="778"/>
      <c r="H391" s="581"/>
      <c r="I391" s="582"/>
      <c r="J391" s="582"/>
      <c r="K391" s="582"/>
      <c r="L391" s="575"/>
      <c r="M391" s="575"/>
      <c r="N391" s="809"/>
      <c r="O391" s="575"/>
      <c r="P391" s="575"/>
      <c r="Q391" s="575"/>
      <c r="R391" s="575"/>
      <c r="S391" s="575"/>
      <c r="T391" s="575"/>
      <c r="U391" s="809"/>
      <c r="V391" s="575"/>
      <c r="W391" s="575"/>
      <c r="X391" s="575"/>
      <c r="Y391" s="575"/>
      <c r="Z391" s="575"/>
      <c r="AA391" s="575"/>
      <c r="AB391" s="809"/>
      <c r="AC391" s="575"/>
      <c r="AD391" s="575"/>
      <c r="AE391" s="575"/>
      <c r="AF391" s="817"/>
      <c r="AG391" s="575"/>
      <c r="AH391" s="575"/>
      <c r="AI391" s="738">
        <f t="shared" si="25"/>
        <v>0</v>
      </c>
      <c r="AJ391" s="582">
        <v>0</v>
      </c>
      <c r="AK391" s="581">
        <f t="shared" si="23"/>
        <v>0</v>
      </c>
      <c r="AL391" s="750"/>
      <c r="AM391" s="743">
        <f t="shared" si="24"/>
        <v>0</v>
      </c>
    </row>
    <row r="392" spans="1:39" s="560" customFormat="1" ht="14.4" hidden="1" thickBot="1">
      <c r="A392" s="620" t="s">
        <v>977</v>
      </c>
      <c r="B392" s="621" t="s">
        <v>1235</v>
      </c>
      <c r="C392" s="628"/>
      <c r="D392" s="580"/>
      <c r="E392" s="581"/>
      <c r="F392" s="581"/>
      <c r="G392" s="778"/>
      <c r="H392" s="581"/>
      <c r="I392" s="582"/>
      <c r="J392" s="582"/>
      <c r="K392" s="582"/>
      <c r="L392" s="575"/>
      <c r="M392" s="575"/>
      <c r="N392" s="809"/>
      <c r="O392" s="575"/>
      <c r="P392" s="575"/>
      <c r="Q392" s="575"/>
      <c r="R392" s="575"/>
      <c r="S392" s="575"/>
      <c r="T392" s="575"/>
      <c r="U392" s="809"/>
      <c r="V392" s="575"/>
      <c r="W392" s="575"/>
      <c r="X392" s="575"/>
      <c r="Y392" s="575"/>
      <c r="Z392" s="575"/>
      <c r="AA392" s="575"/>
      <c r="AB392" s="809"/>
      <c r="AC392" s="575"/>
      <c r="AD392" s="575"/>
      <c r="AE392" s="575"/>
      <c r="AF392" s="817"/>
      <c r="AG392" s="575"/>
      <c r="AH392" s="575"/>
      <c r="AI392" s="738">
        <f t="shared" si="25"/>
        <v>0</v>
      </c>
      <c r="AJ392" s="582">
        <v>0</v>
      </c>
      <c r="AK392" s="581">
        <f t="shared" si="23"/>
        <v>0</v>
      </c>
      <c r="AL392" s="750"/>
      <c r="AM392" s="743">
        <f t="shared" si="24"/>
        <v>0</v>
      </c>
    </row>
    <row r="393" spans="1:39" s="560" customFormat="1" ht="14.4" hidden="1" thickBot="1">
      <c r="A393" s="620" t="s">
        <v>978</v>
      </c>
      <c r="B393" s="621" t="s">
        <v>1295</v>
      </c>
      <c r="C393" s="628" t="s">
        <v>36</v>
      </c>
      <c r="D393" s="580"/>
      <c r="E393" s="581"/>
      <c r="F393" s="581"/>
      <c r="G393" s="778"/>
      <c r="H393" s="581"/>
      <c r="I393" s="582"/>
      <c r="J393" s="582"/>
      <c r="K393" s="582"/>
      <c r="L393" s="575"/>
      <c r="M393" s="575"/>
      <c r="N393" s="809"/>
      <c r="O393" s="575"/>
      <c r="P393" s="575"/>
      <c r="Q393" s="575"/>
      <c r="R393" s="575"/>
      <c r="S393" s="575"/>
      <c r="T393" s="575"/>
      <c r="U393" s="809"/>
      <c r="V393" s="575"/>
      <c r="W393" s="575"/>
      <c r="X393" s="575"/>
      <c r="Y393" s="575"/>
      <c r="Z393" s="575"/>
      <c r="AA393" s="575"/>
      <c r="AB393" s="809"/>
      <c r="AC393" s="575"/>
      <c r="AD393" s="575"/>
      <c r="AE393" s="575"/>
      <c r="AF393" s="817"/>
      <c r="AG393" s="575"/>
      <c r="AH393" s="575"/>
      <c r="AI393" s="738">
        <f t="shared" si="25"/>
        <v>0</v>
      </c>
      <c r="AJ393" s="582">
        <v>0</v>
      </c>
      <c r="AK393" s="581">
        <f t="shared" si="23"/>
        <v>0</v>
      </c>
      <c r="AL393" s="750" t="s">
        <v>1594</v>
      </c>
      <c r="AM393" s="743">
        <f t="shared" si="24"/>
        <v>60</v>
      </c>
    </row>
    <row r="394" spans="1:39" s="560" customFormat="1" ht="14.4" hidden="1" thickBot="1">
      <c r="A394" s="620" t="s">
        <v>979</v>
      </c>
      <c r="B394" s="621" t="s">
        <v>1296</v>
      </c>
      <c r="C394" s="628" t="s">
        <v>36</v>
      </c>
      <c r="D394" s="580"/>
      <c r="E394" s="581"/>
      <c r="F394" s="581"/>
      <c r="G394" s="778"/>
      <c r="H394" s="581"/>
      <c r="I394" s="582"/>
      <c r="J394" s="582"/>
      <c r="K394" s="582"/>
      <c r="L394" s="575"/>
      <c r="M394" s="575"/>
      <c r="N394" s="809"/>
      <c r="O394" s="575"/>
      <c r="P394" s="575"/>
      <c r="Q394" s="575"/>
      <c r="R394" s="575"/>
      <c r="S394" s="575"/>
      <c r="T394" s="575"/>
      <c r="U394" s="809"/>
      <c r="V394" s="575"/>
      <c r="W394" s="575"/>
      <c r="X394" s="575"/>
      <c r="Y394" s="575"/>
      <c r="Z394" s="575"/>
      <c r="AA394" s="575"/>
      <c r="AB394" s="809"/>
      <c r="AC394" s="575"/>
      <c r="AD394" s="575"/>
      <c r="AE394" s="575"/>
      <c r="AF394" s="817"/>
      <c r="AG394" s="575"/>
      <c r="AH394" s="575"/>
      <c r="AI394" s="738">
        <f t="shared" si="25"/>
        <v>0</v>
      </c>
      <c r="AJ394" s="582">
        <v>0</v>
      </c>
      <c r="AK394" s="581">
        <f t="shared" si="23"/>
        <v>0</v>
      </c>
      <c r="AL394" s="750" t="s">
        <v>1619</v>
      </c>
      <c r="AM394" s="743">
        <f t="shared" si="24"/>
        <v>5.18</v>
      </c>
    </row>
    <row r="395" spans="1:39" s="560" customFormat="1" ht="14.4" hidden="1" thickBot="1">
      <c r="A395" s="620" t="s">
        <v>980</v>
      </c>
      <c r="B395" s="621" t="s">
        <v>1239</v>
      </c>
      <c r="C395" s="628"/>
      <c r="D395" s="580"/>
      <c r="E395" s="581"/>
      <c r="F395" s="581"/>
      <c r="G395" s="778"/>
      <c r="H395" s="581"/>
      <c r="I395" s="582"/>
      <c r="J395" s="582"/>
      <c r="K395" s="582"/>
      <c r="L395" s="575"/>
      <c r="M395" s="575"/>
      <c r="N395" s="809"/>
      <c r="O395" s="575"/>
      <c r="P395" s="575"/>
      <c r="Q395" s="575"/>
      <c r="R395" s="575"/>
      <c r="S395" s="575"/>
      <c r="T395" s="575"/>
      <c r="U395" s="809"/>
      <c r="V395" s="575"/>
      <c r="W395" s="575"/>
      <c r="X395" s="575"/>
      <c r="Y395" s="575"/>
      <c r="Z395" s="575"/>
      <c r="AA395" s="575"/>
      <c r="AB395" s="809"/>
      <c r="AC395" s="575"/>
      <c r="AD395" s="575"/>
      <c r="AE395" s="575"/>
      <c r="AF395" s="817"/>
      <c r="AG395" s="575"/>
      <c r="AH395" s="575"/>
      <c r="AI395" s="738">
        <f t="shared" si="25"/>
        <v>0</v>
      </c>
      <c r="AJ395" s="582">
        <v>0</v>
      </c>
      <c r="AK395" s="581">
        <f t="shared" si="23"/>
        <v>0</v>
      </c>
      <c r="AL395" s="750"/>
      <c r="AM395" s="743">
        <f t="shared" si="24"/>
        <v>0</v>
      </c>
    </row>
    <row r="396" spans="1:39" s="560" customFormat="1" ht="14.4" hidden="1" thickBot="1">
      <c r="A396" s="620" t="s">
        <v>981</v>
      </c>
      <c r="B396" s="621" t="s">
        <v>1297</v>
      </c>
      <c r="C396" s="628" t="s">
        <v>37</v>
      </c>
      <c r="D396" s="580"/>
      <c r="E396" s="581"/>
      <c r="F396" s="581"/>
      <c r="G396" s="778"/>
      <c r="H396" s="581"/>
      <c r="I396" s="582"/>
      <c r="J396" s="582"/>
      <c r="K396" s="582"/>
      <c r="L396" s="575"/>
      <c r="M396" s="575"/>
      <c r="N396" s="809"/>
      <c r="O396" s="575"/>
      <c r="P396" s="575"/>
      <c r="Q396" s="575"/>
      <c r="R396" s="575"/>
      <c r="S396" s="575"/>
      <c r="T396" s="575"/>
      <c r="U396" s="809"/>
      <c r="V396" s="575"/>
      <c r="W396" s="575"/>
      <c r="X396" s="575"/>
      <c r="Y396" s="575"/>
      <c r="Z396" s="575"/>
      <c r="AA396" s="575"/>
      <c r="AB396" s="809"/>
      <c r="AC396" s="575"/>
      <c r="AD396" s="575"/>
      <c r="AE396" s="575"/>
      <c r="AF396" s="817"/>
      <c r="AG396" s="575"/>
      <c r="AH396" s="575"/>
      <c r="AI396" s="738">
        <f t="shared" si="25"/>
        <v>0</v>
      </c>
      <c r="AJ396" s="582">
        <v>0</v>
      </c>
      <c r="AK396" s="581">
        <f t="shared" si="23"/>
        <v>0</v>
      </c>
      <c r="AL396" s="750" t="s">
        <v>1720</v>
      </c>
      <c r="AM396" s="743">
        <f t="shared" si="24"/>
        <v>73.98</v>
      </c>
    </row>
    <row r="397" spans="1:39" s="560" customFormat="1" ht="14.4" hidden="1" thickBot="1">
      <c r="A397" s="620" t="s">
        <v>982</v>
      </c>
      <c r="B397" s="621" t="s">
        <v>1241</v>
      </c>
      <c r="C397" s="628" t="s">
        <v>36</v>
      </c>
      <c r="D397" s="580"/>
      <c r="E397" s="581"/>
      <c r="F397" s="581"/>
      <c r="G397" s="778"/>
      <c r="H397" s="581"/>
      <c r="I397" s="582"/>
      <c r="J397" s="582"/>
      <c r="K397" s="582"/>
      <c r="L397" s="575"/>
      <c r="M397" s="575"/>
      <c r="N397" s="809"/>
      <c r="O397" s="575"/>
      <c r="P397" s="575"/>
      <c r="Q397" s="575"/>
      <c r="R397" s="575"/>
      <c r="S397" s="575"/>
      <c r="T397" s="575"/>
      <c r="U397" s="809"/>
      <c r="V397" s="575"/>
      <c r="W397" s="575"/>
      <c r="X397" s="575"/>
      <c r="Y397" s="575"/>
      <c r="Z397" s="575"/>
      <c r="AA397" s="575"/>
      <c r="AB397" s="809"/>
      <c r="AC397" s="575"/>
      <c r="AD397" s="575"/>
      <c r="AE397" s="575"/>
      <c r="AF397" s="817"/>
      <c r="AG397" s="575"/>
      <c r="AH397" s="575"/>
      <c r="AI397" s="738">
        <f t="shared" si="25"/>
        <v>0</v>
      </c>
      <c r="AJ397" s="582">
        <v>0</v>
      </c>
      <c r="AK397" s="581">
        <f t="shared" si="23"/>
        <v>0</v>
      </c>
      <c r="AL397" s="750" t="s">
        <v>1721</v>
      </c>
      <c r="AM397" s="743">
        <f t="shared" si="24"/>
        <v>44.39</v>
      </c>
    </row>
    <row r="398" spans="1:39" s="560" customFormat="1" ht="14.4" hidden="1" thickBot="1">
      <c r="A398" s="620" t="s">
        <v>983</v>
      </c>
      <c r="B398" s="621" t="s">
        <v>1298</v>
      </c>
      <c r="C398" s="628"/>
      <c r="D398" s="580"/>
      <c r="E398" s="581"/>
      <c r="F398" s="581"/>
      <c r="G398" s="778"/>
      <c r="H398" s="581"/>
      <c r="I398" s="582"/>
      <c r="J398" s="582"/>
      <c r="K398" s="582"/>
      <c r="L398" s="575"/>
      <c r="M398" s="575"/>
      <c r="N398" s="809"/>
      <c r="O398" s="575"/>
      <c r="P398" s="575"/>
      <c r="Q398" s="575"/>
      <c r="R398" s="575"/>
      <c r="S398" s="575"/>
      <c r="T398" s="575"/>
      <c r="U398" s="809"/>
      <c r="V398" s="575"/>
      <c r="W398" s="575"/>
      <c r="X398" s="575"/>
      <c r="Y398" s="575"/>
      <c r="Z398" s="575"/>
      <c r="AA398" s="575"/>
      <c r="AB398" s="809"/>
      <c r="AC398" s="575"/>
      <c r="AD398" s="575"/>
      <c r="AE398" s="575"/>
      <c r="AF398" s="817"/>
      <c r="AG398" s="575"/>
      <c r="AH398" s="575"/>
      <c r="AI398" s="738">
        <f t="shared" si="25"/>
        <v>0</v>
      </c>
      <c r="AJ398" s="582">
        <v>0</v>
      </c>
      <c r="AK398" s="581">
        <f t="shared" si="23"/>
        <v>0</v>
      </c>
      <c r="AL398" s="750"/>
      <c r="AM398" s="743">
        <f t="shared" si="24"/>
        <v>0</v>
      </c>
    </row>
    <row r="399" spans="1:39" s="560" customFormat="1" ht="14.4" hidden="1" thickBot="1">
      <c r="A399" s="620" t="s">
        <v>984</v>
      </c>
      <c r="B399" s="621" t="s">
        <v>1299</v>
      </c>
      <c r="C399" s="628" t="s">
        <v>36</v>
      </c>
      <c r="D399" s="580"/>
      <c r="E399" s="581"/>
      <c r="F399" s="581"/>
      <c r="G399" s="778"/>
      <c r="H399" s="581"/>
      <c r="I399" s="582"/>
      <c r="J399" s="582"/>
      <c r="K399" s="582"/>
      <c r="L399" s="575"/>
      <c r="M399" s="575"/>
      <c r="N399" s="809"/>
      <c r="O399" s="575"/>
      <c r="P399" s="575"/>
      <c r="Q399" s="575"/>
      <c r="R399" s="575"/>
      <c r="S399" s="575"/>
      <c r="T399" s="575"/>
      <c r="U399" s="809"/>
      <c r="V399" s="575"/>
      <c r="W399" s="575"/>
      <c r="X399" s="575"/>
      <c r="Y399" s="575"/>
      <c r="Z399" s="575"/>
      <c r="AA399" s="575"/>
      <c r="AB399" s="809"/>
      <c r="AC399" s="575"/>
      <c r="AD399" s="575"/>
      <c r="AE399" s="575"/>
      <c r="AF399" s="817"/>
      <c r="AG399" s="575"/>
      <c r="AH399" s="575"/>
      <c r="AI399" s="738">
        <f t="shared" si="25"/>
        <v>0</v>
      </c>
      <c r="AJ399" s="582">
        <v>0</v>
      </c>
      <c r="AK399" s="581">
        <f t="shared" si="23"/>
        <v>0</v>
      </c>
      <c r="AL399" s="750" t="s">
        <v>1722</v>
      </c>
      <c r="AM399" s="743">
        <f t="shared" si="24"/>
        <v>64</v>
      </c>
    </row>
    <row r="400" spans="1:39" s="560" customFormat="1" ht="14.4" hidden="1" thickBot="1">
      <c r="A400" s="620" t="s">
        <v>985</v>
      </c>
      <c r="B400" s="621" t="s">
        <v>1186</v>
      </c>
      <c r="C400" s="628"/>
      <c r="D400" s="580"/>
      <c r="E400" s="581"/>
      <c r="F400" s="581"/>
      <c r="G400" s="778"/>
      <c r="H400" s="581"/>
      <c r="I400" s="582"/>
      <c r="J400" s="582"/>
      <c r="K400" s="582"/>
      <c r="L400" s="575"/>
      <c r="M400" s="575"/>
      <c r="N400" s="809"/>
      <c r="O400" s="575"/>
      <c r="P400" s="575"/>
      <c r="Q400" s="575"/>
      <c r="R400" s="575"/>
      <c r="S400" s="575"/>
      <c r="T400" s="575"/>
      <c r="U400" s="809"/>
      <c r="V400" s="575"/>
      <c r="W400" s="575"/>
      <c r="X400" s="575"/>
      <c r="Y400" s="575"/>
      <c r="Z400" s="575"/>
      <c r="AA400" s="575"/>
      <c r="AB400" s="809"/>
      <c r="AC400" s="575"/>
      <c r="AD400" s="575"/>
      <c r="AE400" s="575"/>
      <c r="AF400" s="817"/>
      <c r="AG400" s="575"/>
      <c r="AH400" s="575"/>
      <c r="AI400" s="738">
        <f t="shared" si="25"/>
        <v>0</v>
      </c>
      <c r="AJ400" s="582">
        <v>0</v>
      </c>
      <c r="AK400" s="581">
        <f t="shared" si="23"/>
        <v>0</v>
      </c>
      <c r="AL400" s="750"/>
      <c r="AM400" s="743">
        <f t="shared" si="24"/>
        <v>0</v>
      </c>
    </row>
    <row r="401" spans="1:39" s="560" customFormat="1" ht="14.4" hidden="1" thickBot="1">
      <c r="A401" s="620" t="s">
        <v>986</v>
      </c>
      <c r="B401" s="621" t="s">
        <v>1300</v>
      </c>
      <c r="C401" s="628" t="s">
        <v>37</v>
      </c>
      <c r="D401" s="580"/>
      <c r="E401" s="581"/>
      <c r="F401" s="581"/>
      <c r="G401" s="778"/>
      <c r="H401" s="581"/>
      <c r="I401" s="582"/>
      <c r="J401" s="582"/>
      <c r="K401" s="582"/>
      <c r="L401" s="575"/>
      <c r="M401" s="575"/>
      <c r="N401" s="809"/>
      <c r="O401" s="575"/>
      <c r="P401" s="575"/>
      <c r="Q401" s="575"/>
      <c r="R401" s="575"/>
      <c r="S401" s="575"/>
      <c r="T401" s="575"/>
      <c r="U401" s="809"/>
      <c r="V401" s="575"/>
      <c r="W401" s="575"/>
      <c r="X401" s="575"/>
      <c r="Y401" s="575"/>
      <c r="Z401" s="575"/>
      <c r="AA401" s="575"/>
      <c r="AB401" s="809"/>
      <c r="AC401" s="575"/>
      <c r="AD401" s="575"/>
      <c r="AE401" s="575"/>
      <c r="AF401" s="817"/>
      <c r="AG401" s="575"/>
      <c r="AH401" s="575"/>
      <c r="AI401" s="738">
        <f t="shared" si="25"/>
        <v>0</v>
      </c>
      <c r="AJ401" s="582">
        <v>0</v>
      </c>
      <c r="AK401" s="581">
        <f t="shared" si="23"/>
        <v>0</v>
      </c>
      <c r="AL401" s="750" t="s">
        <v>1723</v>
      </c>
      <c r="AM401" s="743">
        <f t="shared" si="24"/>
        <v>22</v>
      </c>
    </row>
    <row r="402" spans="1:39" s="560" customFormat="1" ht="14.4" hidden="1" thickBot="1">
      <c r="A402" s="620" t="s">
        <v>987</v>
      </c>
      <c r="B402" s="621" t="s">
        <v>1301</v>
      </c>
      <c r="C402" s="628" t="s">
        <v>1436</v>
      </c>
      <c r="D402" s="580"/>
      <c r="E402" s="581"/>
      <c r="F402" s="581"/>
      <c r="G402" s="778"/>
      <c r="H402" s="581"/>
      <c r="I402" s="582"/>
      <c r="J402" s="582"/>
      <c r="K402" s="582"/>
      <c r="L402" s="575"/>
      <c r="M402" s="575"/>
      <c r="N402" s="809"/>
      <c r="O402" s="575"/>
      <c r="P402" s="575"/>
      <c r="Q402" s="575"/>
      <c r="R402" s="575"/>
      <c r="S402" s="575"/>
      <c r="T402" s="575"/>
      <c r="U402" s="809"/>
      <c r="V402" s="575"/>
      <c r="W402" s="575"/>
      <c r="X402" s="575"/>
      <c r="Y402" s="575"/>
      <c r="Z402" s="575"/>
      <c r="AA402" s="575"/>
      <c r="AB402" s="809"/>
      <c r="AC402" s="575"/>
      <c r="AD402" s="575"/>
      <c r="AE402" s="575"/>
      <c r="AF402" s="817"/>
      <c r="AG402" s="575"/>
      <c r="AH402" s="575"/>
      <c r="AI402" s="738">
        <f t="shared" si="25"/>
        <v>0</v>
      </c>
      <c r="AJ402" s="582">
        <v>0</v>
      </c>
      <c r="AK402" s="581">
        <f t="shared" si="23"/>
        <v>0</v>
      </c>
      <c r="AL402" s="750" t="s">
        <v>1441</v>
      </c>
      <c r="AM402" s="743">
        <f t="shared" si="24"/>
        <v>1</v>
      </c>
    </row>
    <row r="403" spans="1:39" s="560" customFormat="1" ht="14.4" hidden="1" thickBot="1">
      <c r="A403" s="620" t="s">
        <v>988</v>
      </c>
      <c r="B403" s="621" t="s">
        <v>1302</v>
      </c>
      <c r="C403" s="628"/>
      <c r="D403" s="580"/>
      <c r="E403" s="581"/>
      <c r="F403" s="581"/>
      <c r="G403" s="778"/>
      <c r="H403" s="581"/>
      <c r="I403" s="582"/>
      <c r="J403" s="582"/>
      <c r="K403" s="582"/>
      <c r="L403" s="575"/>
      <c r="M403" s="575"/>
      <c r="N403" s="809"/>
      <c r="O403" s="575"/>
      <c r="P403" s="575"/>
      <c r="Q403" s="575"/>
      <c r="R403" s="575"/>
      <c r="S403" s="575"/>
      <c r="T403" s="575"/>
      <c r="U403" s="809"/>
      <c r="V403" s="575"/>
      <c r="W403" s="575"/>
      <c r="X403" s="575"/>
      <c r="Y403" s="575"/>
      <c r="Z403" s="575"/>
      <c r="AA403" s="575"/>
      <c r="AB403" s="809"/>
      <c r="AC403" s="575"/>
      <c r="AD403" s="575"/>
      <c r="AE403" s="575"/>
      <c r="AF403" s="817"/>
      <c r="AG403" s="575"/>
      <c r="AH403" s="575"/>
      <c r="AI403" s="738">
        <f t="shared" si="25"/>
        <v>0</v>
      </c>
      <c r="AJ403" s="582">
        <v>0</v>
      </c>
      <c r="AK403" s="581">
        <f t="shared" si="23"/>
        <v>0</v>
      </c>
      <c r="AL403" s="750"/>
      <c r="AM403" s="743">
        <f t="shared" si="24"/>
        <v>0</v>
      </c>
    </row>
    <row r="404" spans="1:39" s="560" customFormat="1" ht="14.4" hidden="1" thickBot="1">
      <c r="A404" s="620" t="s">
        <v>989</v>
      </c>
      <c r="B404" s="621" t="s">
        <v>1235</v>
      </c>
      <c r="C404" s="628"/>
      <c r="D404" s="580"/>
      <c r="E404" s="581"/>
      <c r="F404" s="581"/>
      <c r="G404" s="778"/>
      <c r="H404" s="581"/>
      <c r="I404" s="582"/>
      <c r="J404" s="582"/>
      <c r="K404" s="582"/>
      <c r="L404" s="575"/>
      <c r="M404" s="575"/>
      <c r="N404" s="809"/>
      <c r="O404" s="575"/>
      <c r="P404" s="575"/>
      <c r="Q404" s="575"/>
      <c r="R404" s="575"/>
      <c r="S404" s="575"/>
      <c r="T404" s="575"/>
      <c r="U404" s="809"/>
      <c r="V404" s="575"/>
      <c r="W404" s="575"/>
      <c r="X404" s="575"/>
      <c r="Y404" s="575"/>
      <c r="Z404" s="575"/>
      <c r="AA404" s="575"/>
      <c r="AB404" s="809"/>
      <c r="AC404" s="575"/>
      <c r="AD404" s="575"/>
      <c r="AE404" s="575"/>
      <c r="AF404" s="817"/>
      <c r="AG404" s="575"/>
      <c r="AH404" s="575"/>
      <c r="AI404" s="738">
        <f t="shared" si="25"/>
        <v>0</v>
      </c>
      <c r="AJ404" s="582">
        <v>0</v>
      </c>
      <c r="AK404" s="581">
        <f t="shared" si="23"/>
        <v>0</v>
      </c>
      <c r="AL404" s="750"/>
      <c r="AM404" s="743">
        <f t="shared" si="24"/>
        <v>0</v>
      </c>
    </row>
    <row r="405" spans="1:39" s="560" customFormat="1" ht="14.4" hidden="1" thickBot="1">
      <c r="A405" s="620" t="s">
        <v>990</v>
      </c>
      <c r="B405" s="621" t="s">
        <v>1303</v>
      </c>
      <c r="C405" s="628" t="s">
        <v>36</v>
      </c>
      <c r="D405" s="580"/>
      <c r="E405" s="581"/>
      <c r="F405" s="581"/>
      <c r="G405" s="778"/>
      <c r="H405" s="581"/>
      <c r="I405" s="582"/>
      <c r="J405" s="582"/>
      <c r="K405" s="582"/>
      <c r="L405" s="575"/>
      <c r="M405" s="575"/>
      <c r="N405" s="809"/>
      <c r="O405" s="575"/>
      <c r="P405" s="575"/>
      <c r="Q405" s="575"/>
      <c r="R405" s="575"/>
      <c r="S405" s="575"/>
      <c r="T405" s="575"/>
      <c r="U405" s="809"/>
      <c r="V405" s="575"/>
      <c r="W405" s="575"/>
      <c r="X405" s="575"/>
      <c r="Y405" s="575"/>
      <c r="Z405" s="575"/>
      <c r="AA405" s="575"/>
      <c r="AB405" s="809"/>
      <c r="AC405" s="575"/>
      <c r="AD405" s="575"/>
      <c r="AE405" s="575"/>
      <c r="AF405" s="817"/>
      <c r="AG405" s="575"/>
      <c r="AH405" s="575"/>
      <c r="AI405" s="738">
        <f t="shared" si="25"/>
        <v>0</v>
      </c>
      <c r="AJ405" s="582">
        <v>0</v>
      </c>
      <c r="AK405" s="581">
        <f t="shared" si="23"/>
        <v>0</v>
      </c>
      <c r="AL405" s="750" t="s">
        <v>1724</v>
      </c>
      <c r="AM405" s="743">
        <f t="shared" si="24"/>
        <v>28.21</v>
      </c>
    </row>
    <row r="406" spans="1:39" s="560" customFormat="1" ht="14.4" hidden="1" thickBot="1">
      <c r="A406" s="620" t="s">
        <v>991</v>
      </c>
      <c r="B406" s="621" t="s">
        <v>1304</v>
      </c>
      <c r="C406" s="628"/>
      <c r="D406" s="580"/>
      <c r="E406" s="581"/>
      <c r="F406" s="581"/>
      <c r="G406" s="778"/>
      <c r="H406" s="581"/>
      <c r="I406" s="582"/>
      <c r="J406" s="582"/>
      <c r="K406" s="582"/>
      <c r="L406" s="575"/>
      <c r="M406" s="575"/>
      <c r="N406" s="809"/>
      <c r="O406" s="575"/>
      <c r="P406" s="575"/>
      <c r="Q406" s="575"/>
      <c r="R406" s="575"/>
      <c r="S406" s="575"/>
      <c r="T406" s="575"/>
      <c r="U406" s="809"/>
      <c r="V406" s="575"/>
      <c r="W406" s="575"/>
      <c r="X406" s="575"/>
      <c r="Y406" s="575"/>
      <c r="Z406" s="575"/>
      <c r="AA406" s="575"/>
      <c r="AB406" s="809"/>
      <c r="AC406" s="575"/>
      <c r="AD406" s="575"/>
      <c r="AE406" s="575"/>
      <c r="AF406" s="817"/>
      <c r="AG406" s="575"/>
      <c r="AH406" s="575"/>
      <c r="AI406" s="738">
        <f t="shared" si="25"/>
        <v>0</v>
      </c>
      <c r="AJ406" s="582">
        <v>0</v>
      </c>
      <c r="AK406" s="581">
        <f t="shared" ref="AK406:AK469" si="26">AI406+AJ406</f>
        <v>0</v>
      </c>
      <c r="AL406" s="750"/>
      <c r="AM406" s="743">
        <f t="shared" ref="AM406:AM469" si="27">AL406-AK406</f>
        <v>0</v>
      </c>
    </row>
    <row r="407" spans="1:39" s="560" customFormat="1" ht="14.4" hidden="1" thickBot="1">
      <c r="A407" s="620" t="s">
        <v>992</v>
      </c>
      <c r="B407" s="621" t="s">
        <v>1305</v>
      </c>
      <c r="C407" s="628" t="s">
        <v>39</v>
      </c>
      <c r="D407" s="580"/>
      <c r="E407" s="581"/>
      <c r="F407" s="581"/>
      <c r="G407" s="778"/>
      <c r="H407" s="581"/>
      <c r="I407" s="582"/>
      <c r="J407" s="582"/>
      <c r="K407" s="582"/>
      <c r="L407" s="575"/>
      <c r="M407" s="575"/>
      <c r="N407" s="809"/>
      <c r="O407" s="575"/>
      <c r="P407" s="575"/>
      <c r="Q407" s="575"/>
      <c r="R407" s="575"/>
      <c r="S407" s="575"/>
      <c r="T407" s="575"/>
      <c r="U407" s="809"/>
      <c r="V407" s="575"/>
      <c r="W407" s="575"/>
      <c r="X407" s="575"/>
      <c r="Y407" s="575"/>
      <c r="Z407" s="575"/>
      <c r="AA407" s="575"/>
      <c r="AB407" s="809"/>
      <c r="AC407" s="575"/>
      <c r="AD407" s="575"/>
      <c r="AE407" s="575"/>
      <c r="AF407" s="817"/>
      <c r="AG407" s="575"/>
      <c r="AH407" s="575"/>
      <c r="AI407" s="738">
        <f t="shared" si="25"/>
        <v>0</v>
      </c>
      <c r="AJ407" s="582">
        <v>0</v>
      </c>
      <c r="AK407" s="581">
        <f t="shared" si="26"/>
        <v>0</v>
      </c>
      <c r="AL407" s="750" t="s">
        <v>1725</v>
      </c>
      <c r="AM407" s="743">
        <f t="shared" si="27"/>
        <v>5.9</v>
      </c>
    </row>
    <row r="408" spans="1:39" s="560" customFormat="1" ht="14.4" hidden="1" thickBot="1">
      <c r="A408" s="620" t="s">
        <v>993</v>
      </c>
      <c r="B408" s="621" t="s">
        <v>1182</v>
      </c>
      <c r="C408" s="628" t="s">
        <v>36</v>
      </c>
      <c r="D408" s="580"/>
      <c r="E408" s="581"/>
      <c r="F408" s="581"/>
      <c r="G408" s="778"/>
      <c r="H408" s="581"/>
      <c r="I408" s="582"/>
      <c r="J408" s="582"/>
      <c r="K408" s="582"/>
      <c r="L408" s="575"/>
      <c r="M408" s="575"/>
      <c r="N408" s="809"/>
      <c r="O408" s="575"/>
      <c r="P408" s="575"/>
      <c r="Q408" s="575"/>
      <c r="R408" s="575"/>
      <c r="S408" s="575"/>
      <c r="T408" s="575"/>
      <c r="U408" s="809"/>
      <c r="V408" s="575"/>
      <c r="W408" s="575"/>
      <c r="X408" s="575"/>
      <c r="Y408" s="575"/>
      <c r="Z408" s="575"/>
      <c r="AA408" s="575"/>
      <c r="AB408" s="809"/>
      <c r="AC408" s="575"/>
      <c r="AD408" s="575"/>
      <c r="AE408" s="575"/>
      <c r="AF408" s="817"/>
      <c r="AG408" s="575"/>
      <c r="AH408" s="575"/>
      <c r="AI408" s="738">
        <f t="shared" si="25"/>
        <v>0</v>
      </c>
      <c r="AJ408" s="582">
        <v>0</v>
      </c>
      <c r="AK408" s="581">
        <f t="shared" si="26"/>
        <v>0</v>
      </c>
      <c r="AL408" s="750" t="s">
        <v>1664</v>
      </c>
      <c r="AM408" s="743">
        <f t="shared" si="27"/>
        <v>18.920000000000002</v>
      </c>
    </row>
    <row r="409" spans="1:39" s="560" customFormat="1" ht="14.4" hidden="1" thickBot="1">
      <c r="A409" s="620" t="s">
        <v>994</v>
      </c>
      <c r="B409" s="621" t="s">
        <v>1277</v>
      </c>
      <c r="C409" s="628"/>
      <c r="D409" s="580"/>
      <c r="E409" s="581"/>
      <c r="F409" s="581"/>
      <c r="G409" s="778"/>
      <c r="H409" s="581"/>
      <c r="I409" s="582"/>
      <c r="J409" s="582"/>
      <c r="K409" s="582"/>
      <c r="L409" s="575"/>
      <c r="M409" s="575"/>
      <c r="N409" s="809"/>
      <c r="O409" s="575"/>
      <c r="P409" s="575"/>
      <c r="Q409" s="575"/>
      <c r="R409" s="575"/>
      <c r="S409" s="575"/>
      <c r="T409" s="575"/>
      <c r="U409" s="809"/>
      <c r="V409" s="575"/>
      <c r="W409" s="575"/>
      <c r="X409" s="575"/>
      <c r="Y409" s="575"/>
      <c r="Z409" s="575"/>
      <c r="AA409" s="575"/>
      <c r="AB409" s="809"/>
      <c r="AC409" s="575"/>
      <c r="AD409" s="575"/>
      <c r="AE409" s="575"/>
      <c r="AF409" s="817"/>
      <c r="AG409" s="575"/>
      <c r="AH409" s="575"/>
      <c r="AI409" s="738">
        <f t="shared" si="25"/>
        <v>0</v>
      </c>
      <c r="AJ409" s="582">
        <v>0</v>
      </c>
      <c r="AK409" s="581">
        <f t="shared" si="26"/>
        <v>0</v>
      </c>
      <c r="AL409" s="750"/>
      <c r="AM409" s="743">
        <f t="shared" si="27"/>
        <v>0</v>
      </c>
    </row>
    <row r="410" spans="1:39" s="560" customFormat="1" ht="14.4" hidden="1" thickBot="1">
      <c r="A410" s="620" t="s">
        <v>995</v>
      </c>
      <c r="B410" s="621" t="s">
        <v>1306</v>
      </c>
      <c r="C410" s="628" t="s">
        <v>37</v>
      </c>
      <c r="D410" s="580"/>
      <c r="E410" s="581"/>
      <c r="F410" s="581"/>
      <c r="G410" s="778"/>
      <c r="H410" s="581"/>
      <c r="I410" s="582"/>
      <c r="J410" s="582"/>
      <c r="K410" s="582"/>
      <c r="L410" s="575"/>
      <c r="M410" s="575"/>
      <c r="N410" s="809"/>
      <c r="O410" s="575"/>
      <c r="P410" s="575"/>
      <c r="Q410" s="575"/>
      <c r="R410" s="575"/>
      <c r="S410" s="575"/>
      <c r="T410" s="575"/>
      <c r="U410" s="809"/>
      <c r="V410" s="575"/>
      <c r="W410" s="575"/>
      <c r="X410" s="575"/>
      <c r="Y410" s="575"/>
      <c r="Z410" s="575"/>
      <c r="AA410" s="575"/>
      <c r="AB410" s="809"/>
      <c r="AC410" s="575"/>
      <c r="AD410" s="575"/>
      <c r="AE410" s="575"/>
      <c r="AF410" s="817"/>
      <c r="AG410" s="575"/>
      <c r="AH410" s="575"/>
      <c r="AI410" s="738">
        <f t="shared" si="25"/>
        <v>0</v>
      </c>
      <c r="AJ410" s="582">
        <v>0</v>
      </c>
      <c r="AK410" s="581">
        <f t="shared" si="26"/>
        <v>0</v>
      </c>
      <c r="AL410" s="750" t="s">
        <v>1614</v>
      </c>
      <c r="AM410" s="743">
        <f t="shared" si="27"/>
        <v>90.62</v>
      </c>
    </row>
    <row r="411" spans="1:39" s="560" customFormat="1" ht="14.4" hidden="1" thickBot="1">
      <c r="A411" s="620" t="s">
        <v>996</v>
      </c>
      <c r="B411" s="621" t="s">
        <v>1307</v>
      </c>
      <c r="C411" s="628"/>
      <c r="D411" s="580"/>
      <c r="E411" s="581"/>
      <c r="F411" s="581"/>
      <c r="G411" s="778"/>
      <c r="H411" s="581"/>
      <c r="I411" s="582"/>
      <c r="J411" s="582"/>
      <c r="K411" s="582"/>
      <c r="L411" s="575"/>
      <c r="M411" s="575"/>
      <c r="N411" s="809"/>
      <c r="O411" s="575"/>
      <c r="P411" s="575"/>
      <c r="Q411" s="575"/>
      <c r="R411" s="575"/>
      <c r="S411" s="575"/>
      <c r="T411" s="575"/>
      <c r="U411" s="809"/>
      <c r="V411" s="575"/>
      <c r="W411" s="575"/>
      <c r="X411" s="575"/>
      <c r="Y411" s="575"/>
      <c r="Z411" s="575"/>
      <c r="AA411" s="575"/>
      <c r="AB411" s="809"/>
      <c r="AC411" s="575"/>
      <c r="AD411" s="575"/>
      <c r="AE411" s="575"/>
      <c r="AF411" s="817"/>
      <c r="AG411" s="575"/>
      <c r="AH411" s="575"/>
      <c r="AI411" s="738">
        <f t="shared" si="25"/>
        <v>0</v>
      </c>
      <c r="AJ411" s="582">
        <v>0</v>
      </c>
      <c r="AK411" s="581">
        <f t="shared" si="26"/>
        <v>0</v>
      </c>
      <c r="AL411" s="750"/>
      <c r="AM411" s="743">
        <f t="shared" si="27"/>
        <v>0</v>
      </c>
    </row>
    <row r="412" spans="1:39" s="560" customFormat="1" ht="14.4" hidden="1" thickBot="1">
      <c r="A412" s="620" t="s">
        <v>997</v>
      </c>
      <c r="B412" s="621" t="s">
        <v>1300</v>
      </c>
      <c r="C412" s="628" t="s">
        <v>37</v>
      </c>
      <c r="D412" s="580"/>
      <c r="E412" s="581"/>
      <c r="F412" s="581"/>
      <c r="G412" s="778"/>
      <c r="H412" s="581"/>
      <c r="I412" s="582"/>
      <c r="J412" s="582"/>
      <c r="K412" s="582"/>
      <c r="L412" s="575"/>
      <c r="M412" s="575"/>
      <c r="N412" s="809"/>
      <c r="O412" s="575"/>
      <c r="P412" s="575"/>
      <c r="Q412" s="575"/>
      <c r="R412" s="575"/>
      <c r="S412" s="575"/>
      <c r="T412" s="575"/>
      <c r="U412" s="809"/>
      <c r="V412" s="575"/>
      <c r="W412" s="575"/>
      <c r="X412" s="575"/>
      <c r="Y412" s="575"/>
      <c r="Z412" s="575"/>
      <c r="AA412" s="575"/>
      <c r="AB412" s="809"/>
      <c r="AC412" s="575"/>
      <c r="AD412" s="575"/>
      <c r="AE412" s="575"/>
      <c r="AF412" s="817"/>
      <c r="AG412" s="575"/>
      <c r="AH412" s="575"/>
      <c r="AI412" s="738">
        <f t="shared" si="25"/>
        <v>0</v>
      </c>
      <c r="AJ412" s="582">
        <v>0</v>
      </c>
      <c r="AK412" s="581">
        <f t="shared" si="26"/>
        <v>0</v>
      </c>
      <c r="AL412" s="750" t="s">
        <v>1726</v>
      </c>
      <c r="AM412" s="743">
        <f t="shared" si="27"/>
        <v>36.799999999999997</v>
      </c>
    </row>
    <row r="413" spans="1:39" s="560" customFormat="1" ht="14.4" hidden="1" thickBot="1">
      <c r="A413" s="620" t="s">
        <v>998</v>
      </c>
      <c r="B413" s="621" t="s">
        <v>1308</v>
      </c>
      <c r="C413" s="628"/>
      <c r="D413" s="580"/>
      <c r="E413" s="581"/>
      <c r="F413" s="581"/>
      <c r="G413" s="778"/>
      <c r="H413" s="581"/>
      <c r="I413" s="582"/>
      <c r="J413" s="582"/>
      <c r="K413" s="582"/>
      <c r="L413" s="575"/>
      <c r="M413" s="575"/>
      <c r="N413" s="809"/>
      <c r="O413" s="575"/>
      <c r="P413" s="575"/>
      <c r="Q413" s="575"/>
      <c r="R413" s="575"/>
      <c r="S413" s="575"/>
      <c r="T413" s="575"/>
      <c r="U413" s="809"/>
      <c r="V413" s="575"/>
      <c r="W413" s="575"/>
      <c r="X413" s="575"/>
      <c r="Y413" s="575"/>
      <c r="Z413" s="575"/>
      <c r="AA413" s="575"/>
      <c r="AB413" s="809"/>
      <c r="AC413" s="575"/>
      <c r="AD413" s="575"/>
      <c r="AE413" s="575"/>
      <c r="AF413" s="817"/>
      <c r="AG413" s="575"/>
      <c r="AH413" s="575"/>
      <c r="AI413" s="738">
        <f t="shared" si="25"/>
        <v>0</v>
      </c>
      <c r="AJ413" s="582">
        <v>0</v>
      </c>
      <c r="AK413" s="581">
        <f t="shared" si="26"/>
        <v>0</v>
      </c>
      <c r="AL413" s="750"/>
      <c r="AM413" s="743">
        <f t="shared" si="27"/>
        <v>0</v>
      </c>
    </row>
    <row r="414" spans="1:39" s="560" customFormat="1" ht="14.4" hidden="1" thickBot="1">
      <c r="A414" s="620" t="s">
        <v>999</v>
      </c>
      <c r="B414" s="621" t="s">
        <v>1309</v>
      </c>
      <c r="C414" s="628"/>
      <c r="D414" s="580"/>
      <c r="E414" s="581"/>
      <c r="F414" s="581"/>
      <c r="G414" s="778"/>
      <c r="H414" s="581"/>
      <c r="I414" s="582"/>
      <c r="J414" s="582"/>
      <c r="K414" s="582"/>
      <c r="L414" s="575"/>
      <c r="M414" s="575"/>
      <c r="N414" s="809"/>
      <c r="O414" s="575"/>
      <c r="P414" s="575"/>
      <c r="Q414" s="575"/>
      <c r="R414" s="575"/>
      <c r="S414" s="575"/>
      <c r="T414" s="575"/>
      <c r="U414" s="809"/>
      <c r="V414" s="575"/>
      <c r="W414" s="575"/>
      <c r="X414" s="575"/>
      <c r="Y414" s="575"/>
      <c r="Z414" s="575"/>
      <c r="AA414" s="575"/>
      <c r="AB414" s="809"/>
      <c r="AC414" s="575"/>
      <c r="AD414" s="575"/>
      <c r="AE414" s="575"/>
      <c r="AF414" s="817"/>
      <c r="AG414" s="575"/>
      <c r="AH414" s="575"/>
      <c r="AI414" s="738">
        <f t="shared" si="25"/>
        <v>0</v>
      </c>
      <c r="AJ414" s="582">
        <v>0</v>
      </c>
      <c r="AK414" s="581">
        <f t="shared" si="26"/>
        <v>0</v>
      </c>
      <c r="AL414" s="750"/>
      <c r="AM414" s="743">
        <f t="shared" si="27"/>
        <v>0</v>
      </c>
    </row>
    <row r="415" spans="1:39" s="560" customFormat="1" ht="14.4" hidden="1" thickBot="1">
      <c r="A415" s="620" t="s">
        <v>1000</v>
      </c>
      <c r="B415" s="621" t="s">
        <v>1310</v>
      </c>
      <c r="C415" s="628" t="s">
        <v>36</v>
      </c>
      <c r="D415" s="580"/>
      <c r="E415" s="581"/>
      <c r="F415" s="581"/>
      <c r="G415" s="778"/>
      <c r="H415" s="581"/>
      <c r="I415" s="582"/>
      <c r="J415" s="582"/>
      <c r="K415" s="582"/>
      <c r="L415" s="575"/>
      <c r="M415" s="575"/>
      <c r="N415" s="809"/>
      <c r="O415" s="575"/>
      <c r="P415" s="575"/>
      <c r="Q415" s="575"/>
      <c r="R415" s="575"/>
      <c r="S415" s="575"/>
      <c r="T415" s="575"/>
      <c r="U415" s="809"/>
      <c r="V415" s="575"/>
      <c r="W415" s="575"/>
      <c r="X415" s="575"/>
      <c r="Y415" s="575"/>
      <c r="Z415" s="575"/>
      <c r="AA415" s="575"/>
      <c r="AB415" s="809"/>
      <c r="AC415" s="575"/>
      <c r="AD415" s="575"/>
      <c r="AE415" s="575"/>
      <c r="AF415" s="817"/>
      <c r="AG415" s="575"/>
      <c r="AH415" s="575"/>
      <c r="AI415" s="738">
        <f t="shared" si="25"/>
        <v>0</v>
      </c>
      <c r="AJ415" s="582">
        <v>0</v>
      </c>
      <c r="AK415" s="581">
        <f t="shared" si="26"/>
        <v>0</v>
      </c>
      <c r="AL415" s="750" t="s">
        <v>1727</v>
      </c>
      <c r="AM415" s="743">
        <f t="shared" si="27"/>
        <v>42.32</v>
      </c>
    </row>
    <row r="416" spans="1:39" s="560" customFormat="1" ht="14.4" hidden="1" thickBot="1">
      <c r="A416" s="620" t="s">
        <v>1001</v>
      </c>
      <c r="B416" s="621" t="s">
        <v>1311</v>
      </c>
      <c r="C416" s="628" t="s">
        <v>36</v>
      </c>
      <c r="D416" s="580"/>
      <c r="E416" s="581"/>
      <c r="F416" s="581"/>
      <c r="G416" s="778"/>
      <c r="H416" s="581"/>
      <c r="I416" s="582"/>
      <c r="J416" s="582"/>
      <c r="K416" s="582"/>
      <c r="L416" s="575"/>
      <c r="M416" s="575"/>
      <c r="N416" s="809"/>
      <c r="O416" s="575"/>
      <c r="P416" s="575"/>
      <c r="Q416" s="575"/>
      <c r="R416" s="575"/>
      <c r="S416" s="575"/>
      <c r="T416" s="575"/>
      <c r="U416" s="809"/>
      <c r="V416" s="575"/>
      <c r="W416" s="575"/>
      <c r="X416" s="575"/>
      <c r="Y416" s="575"/>
      <c r="Z416" s="575"/>
      <c r="AA416" s="575"/>
      <c r="AB416" s="809"/>
      <c r="AC416" s="575"/>
      <c r="AD416" s="575"/>
      <c r="AE416" s="575"/>
      <c r="AF416" s="817"/>
      <c r="AG416" s="575"/>
      <c r="AH416" s="575"/>
      <c r="AI416" s="738">
        <f t="shared" si="25"/>
        <v>0</v>
      </c>
      <c r="AJ416" s="582">
        <v>0</v>
      </c>
      <c r="AK416" s="581">
        <f t="shared" si="26"/>
        <v>0</v>
      </c>
      <c r="AL416" s="750" t="s">
        <v>1727</v>
      </c>
      <c r="AM416" s="743">
        <f t="shared" si="27"/>
        <v>42.32</v>
      </c>
    </row>
    <row r="417" spans="1:39" s="560" customFormat="1" ht="14.4" hidden="1" thickBot="1">
      <c r="A417" s="620" t="s">
        <v>1002</v>
      </c>
      <c r="B417" s="621" t="s">
        <v>1312</v>
      </c>
      <c r="C417" s="628" t="s">
        <v>35</v>
      </c>
      <c r="D417" s="580"/>
      <c r="E417" s="581"/>
      <c r="F417" s="581"/>
      <c r="G417" s="778"/>
      <c r="H417" s="581"/>
      <c r="I417" s="582"/>
      <c r="J417" s="582"/>
      <c r="K417" s="582"/>
      <c r="L417" s="575"/>
      <c r="M417" s="575"/>
      <c r="N417" s="809"/>
      <c r="O417" s="575"/>
      <c r="P417" s="575"/>
      <c r="Q417" s="575"/>
      <c r="R417" s="575"/>
      <c r="S417" s="575"/>
      <c r="T417" s="575"/>
      <c r="U417" s="809"/>
      <c r="V417" s="575"/>
      <c r="W417" s="575"/>
      <c r="X417" s="575"/>
      <c r="Y417" s="575"/>
      <c r="Z417" s="575"/>
      <c r="AA417" s="575"/>
      <c r="AB417" s="809"/>
      <c r="AC417" s="575"/>
      <c r="AD417" s="575"/>
      <c r="AE417" s="575"/>
      <c r="AF417" s="817"/>
      <c r="AG417" s="575"/>
      <c r="AH417" s="575"/>
      <c r="AI417" s="738">
        <f t="shared" si="25"/>
        <v>0</v>
      </c>
      <c r="AJ417" s="582">
        <v>0</v>
      </c>
      <c r="AK417" s="581">
        <f t="shared" si="26"/>
        <v>0</v>
      </c>
      <c r="AL417" s="750" t="s">
        <v>1728</v>
      </c>
      <c r="AM417" s="743">
        <f t="shared" si="27"/>
        <v>10</v>
      </c>
    </row>
    <row r="418" spans="1:39" s="560" customFormat="1" ht="14.4" hidden="1" thickBot="1">
      <c r="A418" s="620" t="s">
        <v>474</v>
      </c>
      <c r="B418" s="621" t="s">
        <v>1313</v>
      </c>
      <c r="C418" s="628"/>
      <c r="D418" s="580"/>
      <c r="E418" s="581"/>
      <c r="F418" s="581"/>
      <c r="G418" s="778"/>
      <c r="H418" s="581"/>
      <c r="I418" s="582"/>
      <c r="J418" s="582"/>
      <c r="K418" s="582"/>
      <c r="L418" s="575"/>
      <c r="M418" s="575"/>
      <c r="N418" s="809"/>
      <c r="O418" s="575"/>
      <c r="P418" s="575"/>
      <c r="Q418" s="575"/>
      <c r="R418" s="575"/>
      <c r="S418" s="575"/>
      <c r="T418" s="575"/>
      <c r="U418" s="809"/>
      <c r="V418" s="575"/>
      <c r="W418" s="575"/>
      <c r="X418" s="575"/>
      <c r="Y418" s="575"/>
      <c r="Z418" s="575"/>
      <c r="AA418" s="575"/>
      <c r="AB418" s="809"/>
      <c r="AC418" s="575"/>
      <c r="AD418" s="575"/>
      <c r="AE418" s="575"/>
      <c r="AF418" s="817"/>
      <c r="AG418" s="575"/>
      <c r="AH418" s="575"/>
      <c r="AI418" s="738">
        <f t="shared" si="25"/>
        <v>0</v>
      </c>
      <c r="AJ418" s="582">
        <v>0</v>
      </c>
      <c r="AK418" s="581">
        <f t="shared" si="26"/>
        <v>0</v>
      </c>
      <c r="AL418" s="750"/>
      <c r="AM418" s="743">
        <f t="shared" si="27"/>
        <v>0</v>
      </c>
    </row>
    <row r="419" spans="1:39" s="560" customFormat="1" ht="14.4" hidden="1" thickBot="1">
      <c r="A419" s="620" t="s">
        <v>475</v>
      </c>
      <c r="B419" s="621" t="s">
        <v>1314</v>
      </c>
      <c r="C419" s="628"/>
      <c r="D419" s="580"/>
      <c r="E419" s="581"/>
      <c r="F419" s="581"/>
      <c r="G419" s="778"/>
      <c r="H419" s="581"/>
      <c r="I419" s="582"/>
      <c r="J419" s="582"/>
      <c r="K419" s="582"/>
      <c r="L419" s="575"/>
      <c r="M419" s="575"/>
      <c r="N419" s="809"/>
      <c r="O419" s="575"/>
      <c r="P419" s="575"/>
      <c r="Q419" s="575"/>
      <c r="R419" s="575"/>
      <c r="S419" s="575"/>
      <c r="T419" s="575"/>
      <c r="U419" s="809"/>
      <c r="V419" s="575"/>
      <c r="W419" s="575"/>
      <c r="X419" s="575"/>
      <c r="Y419" s="575"/>
      <c r="Z419" s="575"/>
      <c r="AA419" s="575"/>
      <c r="AB419" s="809"/>
      <c r="AC419" s="575"/>
      <c r="AD419" s="575"/>
      <c r="AE419" s="575"/>
      <c r="AF419" s="817"/>
      <c r="AG419" s="575"/>
      <c r="AH419" s="575"/>
      <c r="AI419" s="738">
        <f t="shared" si="25"/>
        <v>0</v>
      </c>
      <c r="AJ419" s="582">
        <v>0</v>
      </c>
      <c r="AK419" s="581">
        <f t="shared" si="26"/>
        <v>0</v>
      </c>
      <c r="AL419" s="750"/>
      <c r="AM419" s="743">
        <f t="shared" si="27"/>
        <v>0</v>
      </c>
    </row>
    <row r="420" spans="1:39" s="560" customFormat="1" ht="14.4" hidden="1" thickBot="1">
      <c r="A420" s="620" t="s">
        <v>476</v>
      </c>
      <c r="B420" s="621" t="s">
        <v>1315</v>
      </c>
      <c r="C420" s="628" t="s">
        <v>1436</v>
      </c>
      <c r="D420" s="580"/>
      <c r="E420" s="581"/>
      <c r="F420" s="581"/>
      <c r="G420" s="778"/>
      <c r="H420" s="581"/>
      <c r="I420" s="582"/>
      <c r="J420" s="582"/>
      <c r="K420" s="582"/>
      <c r="L420" s="575"/>
      <c r="M420" s="575"/>
      <c r="N420" s="809"/>
      <c r="O420" s="575"/>
      <c r="P420" s="575"/>
      <c r="Q420" s="575"/>
      <c r="R420" s="575"/>
      <c r="S420" s="575"/>
      <c r="T420" s="575"/>
      <c r="U420" s="809"/>
      <c r="V420" s="575"/>
      <c r="W420" s="575"/>
      <c r="X420" s="575"/>
      <c r="Y420" s="575"/>
      <c r="Z420" s="575"/>
      <c r="AA420" s="575"/>
      <c r="AB420" s="809"/>
      <c r="AC420" s="575"/>
      <c r="AD420" s="575"/>
      <c r="AE420" s="575"/>
      <c r="AF420" s="817"/>
      <c r="AG420" s="575"/>
      <c r="AH420" s="575"/>
      <c r="AI420" s="738">
        <f t="shared" si="25"/>
        <v>0</v>
      </c>
      <c r="AJ420" s="582">
        <v>0</v>
      </c>
      <c r="AK420" s="581">
        <f t="shared" si="26"/>
        <v>0</v>
      </c>
      <c r="AL420" s="750" t="s">
        <v>1657</v>
      </c>
      <c r="AM420" s="743">
        <f t="shared" si="27"/>
        <v>4</v>
      </c>
    </row>
    <row r="421" spans="1:39" s="560" customFormat="1" ht="14.4" hidden="1" thickBot="1">
      <c r="A421" s="620" t="s">
        <v>477</v>
      </c>
      <c r="B421" s="621" t="s">
        <v>1316</v>
      </c>
      <c r="C421" s="628" t="s">
        <v>1436</v>
      </c>
      <c r="D421" s="580"/>
      <c r="E421" s="581"/>
      <c r="F421" s="581"/>
      <c r="G421" s="778"/>
      <c r="H421" s="581"/>
      <c r="I421" s="582"/>
      <c r="J421" s="582"/>
      <c r="K421" s="582"/>
      <c r="L421" s="575"/>
      <c r="M421" s="575"/>
      <c r="N421" s="809"/>
      <c r="O421" s="575"/>
      <c r="P421" s="575"/>
      <c r="Q421" s="575"/>
      <c r="R421" s="575"/>
      <c r="S421" s="575"/>
      <c r="T421" s="575"/>
      <c r="U421" s="809"/>
      <c r="V421" s="575"/>
      <c r="W421" s="575"/>
      <c r="X421" s="575"/>
      <c r="Y421" s="575"/>
      <c r="Z421" s="575"/>
      <c r="AA421" s="575"/>
      <c r="AB421" s="809"/>
      <c r="AC421" s="575"/>
      <c r="AD421" s="575"/>
      <c r="AE421" s="575"/>
      <c r="AF421" s="817"/>
      <c r="AG421" s="575"/>
      <c r="AH421" s="575"/>
      <c r="AI421" s="738">
        <f t="shared" si="25"/>
        <v>0</v>
      </c>
      <c r="AJ421" s="582">
        <v>0</v>
      </c>
      <c r="AK421" s="581">
        <f t="shared" si="26"/>
        <v>0</v>
      </c>
      <c r="AL421" s="750" t="s">
        <v>1684</v>
      </c>
      <c r="AM421" s="743">
        <f t="shared" si="27"/>
        <v>2</v>
      </c>
    </row>
    <row r="422" spans="1:39" s="560" customFormat="1" ht="14.4" hidden="1" thickBot="1">
      <c r="A422" s="620" t="s">
        <v>478</v>
      </c>
      <c r="B422" s="621" t="s">
        <v>1317</v>
      </c>
      <c r="C422" s="628" t="s">
        <v>1436</v>
      </c>
      <c r="D422" s="580"/>
      <c r="E422" s="581"/>
      <c r="F422" s="581"/>
      <c r="G422" s="778"/>
      <c r="H422" s="581"/>
      <c r="I422" s="582"/>
      <c r="J422" s="582"/>
      <c r="K422" s="582"/>
      <c r="L422" s="575"/>
      <c r="M422" s="575"/>
      <c r="N422" s="809"/>
      <c r="O422" s="575"/>
      <c r="P422" s="575"/>
      <c r="Q422" s="575"/>
      <c r="R422" s="575"/>
      <c r="S422" s="575"/>
      <c r="T422" s="575"/>
      <c r="U422" s="809"/>
      <c r="V422" s="575"/>
      <c r="W422" s="575"/>
      <c r="X422" s="575"/>
      <c r="Y422" s="575"/>
      <c r="Z422" s="575"/>
      <c r="AA422" s="575"/>
      <c r="AB422" s="809"/>
      <c r="AC422" s="575"/>
      <c r="AD422" s="575"/>
      <c r="AE422" s="575"/>
      <c r="AF422" s="817"/>
      <c r="AG422" s="575"/>
      <c r="AH422" s="575"/>
      <c r="AI422" s="738">
        <f t="shared" si="25"/>
        <v>0</v>
      </c>
      <c r="AJ422" s="582">
        <v>0</v>
      </c>
      <c r="AK422" s="581">
        <f t="shared" si="26"/>
        <v>0</v>
      </c>
      <c r="AL422" s="750" t="s">
        <v>1657</v>
      </c>
      <c r="AM422" s="743">
        <f t="shared" si="27"/>
        <v>4</v>
      </c>
    </row>
    <row r="423" spans="1:39" s="560" customFormat="1" ht="14.4" hidden="1" thickBot="1">
      <c r="A423" s="620" t="s">
        <v>1003</v>
      </c>
      <c r="B423" s="621" t="s">
        <v>1318</v>
      </c>
      <c r="C423" s="628" t="s">
        <v>1436</v>
      </c>
      <c r="D423" s="580"/>
      <c r="E423" s="581"/>
      <c r="F423" s="581"/>
      <c r="G423" s="778"/>
      <c r="H423" s="581"/>
      <c r="I423" s="582"/>
      <c r="J423" s="582"/>
      <c r="K423" s="582"/>
      <c r="L423" s="575"/>
      <c r="M423" s="575"/>
      <c r="N423" s="809"/>
      <c r="O423" s="575"/>
      <c r="P423" s="575"/>
      <c r="Q423" s="575"/>
      <c r="R423" s="575"/>
      <c r="S423" s="575"/>
      <c r="T423" s="575"/>
      <c r="U423" s="809"/>
      <c r="V423" s="575"/>
      <c r="W423" s="575"/>
      <c r="X423" s="575"/>
      <c r="Y423" s="575"/>
      <c r="Z423" s="575"/>
      <c r="AA423" s="575"/>
      <c r="AB423" s="809"/>
      <c r="AC423" s="575"/>
      <c r="AD423" s="575"/>
      <c r="AE423" s="575"/>
      <c r="AF423" s="817"/>
      <c r="AG423" s="575"/>
      <c r="AH423" s="575"/>
      <c r="AI423" s="738">
        <f t="shared" si="25"/>
        <v>0</v>
      </c>
      <c r="AJ423" s="582">
        <v>0</v>
      </c>
      <c r="AK423" s="581">
        <f t="shared" si="26"/>
        <v>0</v>
      </c>
      <c r="AL423" s="750" t="s">
        <v>1684</v>
      </c>
      <c r="AM423" s="743">
        <f t="shared" si="27"/>
        <v>2</v>
      </c>
    </row>
    <row r="424" spans="1:39" s="560" customFormat="1" ht="14.4" hidden="1" thickBot="1">
      <c r="A424" s="620" t="s">
        <v>1004</v>
      </c>
      <c r="B424" s="621" t="s">
        <v>1319</v>
      </c>
      <c r="C424" s="628" t="s">
        <v>1436</v>
      </c>
      <c r="D424" s="580"/>
      <c r="E424" s="581"/>
      <c r="F424" s="581"/>
      <c r="G424" s="778"/>
      <c r="H424" s="581"/>
      <c r="I424" s="582"/>
      <c r="J424" s="582"/>
      <c r="K424" s="582"/>
      <c r="L424" s="575"/>
      <c r="M424" s="575"/>
      <c r="N424" s="809"/>
      <c r="O424" s="575"/>
      <c r="P424" s="575"/>
      <c r="Q424" s="575"/>
      <c r="R424" s="575"/>
      <c r="S424" s="575"/>
      <c r="T424" s="575"/>
      <c r="U424" s="809"/>
      <c r="V424" s="575"/>
      <c r="W424" s="575"/>
      <c r="X424" s="575"/>
      <c r="Y424" s="575"/>
      <c r="Z424" s="575"/>
      <c r="AA424" s="575"/>
      <c r="AB424" s="809"/>
      <c r="AC424" s="575"/>
      <c r="AD424" s="575"/>
      <c r="AE424" s="575"/>
      <c r="AF424" s="817"/>
      <c r="AG424" s="575"/>
      <c r="AH424" s="575"/>
      <c r="AI424" s="738">
        <f t="shared" si="25"/>
        <v>0</v>
      </c>
      <c r="AJ424" s="582">
        <v>0</v>
      </c>
      <c r="AK424" s="581">
        <f t="shared" si="26"/>
        <v>0</v>
      </c>
      <c r="AL424" s="750" t="s">
        <v>1441</v>
      </c>
      <c r="AM424" s="743">
        <f t="shared" si="27"/>
        <v>1</v>
      </c>
    </row>
    <row r="425" spans="1:39" s="560" customFormat="1" ht="14.4" hidden="1" thickBot="1">
      <c r="A425" s="620" t="s">
        <v>1005</v>
      </c>
      <c r="B425" s="621" t="s">
        <v>1320</v>
      </c>
      <c r="C425" s="628" t="s">
        <v>1436</v>
      </c>
      <c r="D425" s="580"/>
      <c r="E425" s="581"/>
      <c r="F425" s="581"/>
      <c r="G425" s="778"/>
      <c r="H425" s="581"/>
      <c r="I425" s="582"/>
      <c r="J425" s="582"/>
      <c r="K425" s="582"/>
      <c r="L425" s="575"/>
      <c r="M425" s="575"/>
      <c r="N425" s="809"/>
      <c r="O425" s="575"/>
      <c r="P425" s="575"/>
      <c r="Q425" s="575"/>
      <c r="R425" s="575"/>
      <c r="S425" s="575"/>
      <c r="T425" s="575"/>
      <c r="U425" s="809"/>
      <c r="V425" s="575"/>
      <c r="W425" s="575"/>
      <c r="X425" s="575"/>
      <c r="Y425" s="575"/>
      <c r="Z425" s="575"/>
      <c r="AA425" s="575"/>
      <c r="AB425" s="809"/>
      <c r="AC425" s="575"/>
      <c r="AD425" s="575"/>
      <c r="AE425" s="575"/>
      <c r="AF425" s="817"/>
      <c r="AG425" s="575"/>
      <c r="AH425" s="575"/>
      <c r="AI425" s="738">
        <f t="shared" si="25"/>
        <v>0</v>
      </c>
      <c r="AJ425" s="582">
        <v>0</v>
      </c>
      <c r="AK425" s="581">
        <f t="shared" si="26"/>
        <v>0</v>
      </c>
      <c r="AL425" s="750" t="s">
        <v>1603</v>
      </c>
      <c r="AM425" s="743">
        <f t="shared" si="27"/>
        <v>6</v>
      </c>
    </row>
    <row r="426" spans="1:39" s="560" customFormat="1" ht="14.4" hidden="1" thickBot="1">
      <c r="A426" s="620" t="s">
        <v>1006</v>
      </c>
      <c r="B426" s="621" t="s">
        <v>1321</v>
      </c>
      <c r="C426" s="628" t="s">
        <v>1436</v>
      </c>
      <c r="D426" s="580"/>
      <c r="E426" s="581"/>
      <c r="F426" s="581"/>
      <c r="G426" s="778"/>
      <c r="H426" s="581"/>
      <c r="I426" s="582"/>
      <c r="J426" s="582"/>
      <c r="K426" s="582"/>
      <c r="L426" s="575"/>
      <c r="M426" s="575"/>
      <c r="N426" s="809"/>
      <c r="O426" s="575"/>
      <c r="P426" s="575"/>
      <c r="Q426" s="575"/>
      <c r="R426" s="575"/>
      <c r="S426" s="575"/>
      <c r="T426" s="575"/>
      <c r="U426" s="809"/>
      <c r="V426" s="575"/>
      <c r="W426" s="575"/>
      <c r="X426" s="575"/>
      <c r="Y426" s="575"/>
      <c r="Z426" s="575"/>
      <c r="AA426" s="575"/>
      <c r="AB426" s="809"/>
      <c r="AC426" s="575"/>
      <c r="AD426" s="575"/>
      <c r="AE426" s="575"/>
      <c r="AF426" s="817"/>
      <c r="AG426" s="575"/>
      <c r="AH426" s="575"/>
      <c r="AI426" s="738">
        <f t="shared" si="25"/>
        <v>0</v>
      </c>
      <c r="AJ426" s="582">
        <v>0</v>
      </c>
      <c r="AK426" s="581">
        <f t="shared" si="26"/>
        <v>0</v>
      </c>
      <c r="AL426" s="750" t="s">
        <v>1657</v>
      </c>
      <c r="AM426" s="743">
        <f t="shared" si="27"/>
        <v>4</v>
      </c>
    </row>
    <row r="427" spans="1:39" s="560" customFormat="1" ht="14.4" hidden="1" thickBot="1">
      <c r="A427" s="620" t="s">
        <v>1007</v>
      </c>
      <c r="B427" s="621" t="s">
        <v>1322</v>
      </c>
      <c r="C427" s="628" t="s">
        <v>1437</v>
      </c>
      <c r="D427" s="580"/>
      <c r="E427" s="581"/>
      <c r="F427" s="581"/>
      <c r="G427" s="778"/>
      <c r="H427" s="581"/>
      <c r="I427" s="582"/>
      <c r="J427" s="582"/>
      <c r="K427" s="582"/>
      <c r="L427" s="575"/>
      <c r="M427" s="575"/>
      <c r="N427" s="809"/>
      <c r="O427" s="575"/>
      <c r="P427" s="575"/>
      <c r="Q427" s="575"/>
      <c r="R427" s="575"/>
      <c r="S427" s="575"/>
      <c r="T427" s="575"/>
      <c r="U427" s="809"/>
      <c r="V427" s="575"/>
      <c r="W427" s="575"/>
      <c r="X427" s="575"/>
      <c r="Y427" s="575"/>
      <c r="Z427" s="575"/>
      <c r="AA427" s="575"/>
      <c r="AB427" s="809"/>
      <c r="AC427" s="575"/>
      <c r="AD427" s="575"/>
      <c r="AE427" s="575"/>
      <c r="AF427" s="817"/>
      <c r="AG427" s="575"/>
      <c r="AH427" s="575"/>
      <c r="AI427" s="738">
        <f t="shared" si="25"/>
        <v>0</v>
      </c>
      <c r="AJ427" s="582">
        <v>0</v>
      </c>
      <c r="AK427" s="581">
        <f t="shared" si="26"/>
        <v>0</v>
      </c>
      <c r="AL427" s="750" t="s">
        <v>1441</v>
      </c>
      <c r="AM427" s="743">
        <f t="shared" si="27"/>
        <v>1</v>
      </c>
    </row>
    <row r="428" spans="1:39" s="560" customFormat="1" ht="14.4" hidden="1" thickBot="1">
      <c r="A428" s="620" t="s">
        <v>1008</v>
      </c>
      <c r="B428" s="621" t="s">
        <v>1323</v>
      </c>
      <c r="C428" s="628" t="s">
        <v>40</v>
      </c>
      <c r="D428" s="580"/>
      <c r="E428" s="581"/>
      <c r="F428" s="581"/>
      <c r="G428" s="778"/>
      <c r="H428" s="581"/>
      <c r="I428" s="582"/>
      <c r="J428" s="582"/>
      <c r="K428" s="582"/>
      <c r="L428" s="575"/>
      <c r="M428" s="575"/>
      <c r="N428" s="809"/>
      <c r="O428" s="575"/>
      <c r="P428" s="575"/>
      <c r="Q428" s="575"/>
      <c r="R428" s="575"/>
      <c r="S428" s="575"/>
      <c r="T428" s="575"/>
      <c r="U428" s="809"/>
      <c r="V428" s="575"/>
      <c r="W428" s="575"/>
      <c r="X428" s="575"/>
      <c r="Y428" s="575"/>
      <c r="Z428" s="575"/>
      <c r="AA428" s="575"/>
      <c r="AB428" s="809"/>
      <c r="AC428" s="575"/>
      <c r="AD428" s="575"/>
      <c r="AE428" s="575"/>
      <c r="AF428" s="817"/>
      <c r="AG428" s="575"/>
      <c r="AH428" s="575"/>
      <c r="AI428" s="738">
        <f t="shared" si="25"/>
        <v>0</v>
      </c>
      <c r="AJ428" s="582">
        <v>0</v>
      </c>
      <c r="AK428" s="581">
        <f t="shared" si="26"/>
        <v>0</v>
      </c>
      <c r="AL428" s="750" t="s">
        <v>1441</v>
      </c>
      <c r="AM428" s="743">
        <f t="shared" si="27"/>
        <v>1</v>
      </c>
    </row>
    <row r="429" spans="1:39" s="560" customFormat="1" ht="14.4" hidden="1" thickBot="1">
      <c r="A429" s="620" t="s">
        <v>1009</v>
      </c>
      <c r="B429" s="621" t="s">
        <v>1324</v>
      </c>
      <c r="C429" s="628" t="s">
        <v>1436</v>
      </c>
      <c r="D429" s="580"/>
      <c r="E429" s="581"/>
      <c r="F429" s="581"/>
      <c r="G429" s="778"/>
      <c r="H429" s="581"/>
      <c r="I429" s="582"/>
      <c r="J429" s="582"/>
      <c r="K429" s="582"/>
      <c r="L429" s="575"/>
      <c r="M429" s="575"/>
      <c r="N429" s="809"/>
      <c r="O429" s="575"/>
      <c r="P429" s="575"/>
      <c r="Q429" s="575"/>
      <c r="R429" s="575"/>
      <c r="S429" s="575"/>
      <c r="T429" s="575"/>
      <c r="U429" s="809"/>
      <c r="V429" s="575"/>
      <c r="W429" s="575"/>
      <c r="X429" s="575"/>
      <c r="Y429" s="575"/>
      <c r="Z429" s="575"/>
      <c r="AA429" s="575"/>
      <c r="AB429" s="809"/>
      <c r="AC429" s="575"/>
      <c r="AD429" s="575"/>
      <c r="AE429" s="575"/>
      <c r="AF429" s="817"/>
      <c r="AG429" s="575"/>
      <c r="AH429" s="575"/>
      <c r="AI429" s="738">
        <f t="shared" si="25"/>
        <v>0</v>
      </c>
      <c r="AJ429" s="582">
        <v>0</v>
      </c>
      <c r="AK429" s="581">
        <f t="shared" si="26"/>
        <v>0</v>
      </c>
      <c r="AL429" s="750" t="s">
        <v>1441</v>
      </c>
      <c r="AM429" s="743">
        <f t="shared" si="27"/>
        <v>1</v>
      </c>
    </row>
    <row r="430" spans="1:39" s="560" customFormat="1" ht="14.4" hidden="1" thickBot="1">
      <c r="A430" s="620" t="s">
        <v>1010</v>
      </c>
      <c r="B430" s="621" t="s">
        <v>1325</v>
      </c>
      <c r="C430" s="628" t="s">
        <v>1437</v>
      </c>
      <c r="D430" s="580"/>
      <c r="E430" s="581"/>
      <c r="F430" s="581"/>
      <c r="G430" s="778"/>
      <c r="H430" s="581"/>
      <c r="I430" s="582"/>
      <c r="J430" s="582"/>
      <c r="K430" s="582"/>
      <c r="L430" s="575"/>
      <c r="M430" s="575"/>
      <c r="N430" s="809"/>
      <c r="O430" s="575"/>
      <c r="P430" s="575"/>
      <c r="Q430" s="575"/>
      <c r="R430" s="575"/>
      <c r="S430" s="575"/>
      <c r="T430" s="575"/>
      <c r="U430" s="809"/>
      <c r="V430" s="575"/>
      <c r="W430" s="575"/>
      <c r="X430" s="575"/>
      <c r="Y430" s="575"/>
      <c r="Z430" s="575"/>
      <c r="AA430" s="575"/>
      <c r="AB430" s="809"/>
      <c r="AC430" s="575"/>
      <c r="AD430" s="575"/>
      <c r="AE430" s="575"/>
      <c r="AF430" s="817"/>
      <c r="AG430" s="575"/>
      <c r="AH430" s="575"/>
      <c r="AI430" s="738">
        <f t="shared" si="25"/>
        <v>0</v>
      </c>
      <c r="AJ430" s="582">
        <v>0</v>
      </c>
      <c r="AK430" s="581">
        <f t="shared" si="26"/>
        <v>0</v>
      </c>
      <c r="AL430" s="750" t="s">
        <v>1729</v>
      </c>
      <c r="AM430" s="743">
        <f t="shared" si="27"/>
        <v>19</v>
      </c>
    </row>
    <row r="431" spans="1:39" s="560" customFormat="1" ht="14.4" hidden="1" thickBot="1">
      <c r="A431" s="620" t="s">
        <v>479</v>
      </c>
      <c r="B431" s="621" t="s">
        <v>1326</v>
      </c>
      <c r="C431" s="628"/>
      <c r="D431" s="580"/>
      <c r="E431" s="581"/>
      <c r="F431" s="581"/>
      <c r="G431" s="778"/>
      <c r="H431" s="581"/>
      <c r="I431" s="582"/>
      <c r="J431" s="582"/>
      <c r="K431" s="582"/>
      <c r="L431" s="575"/>
      <c r="M431" s="575"/>
      <c r="N431" s="809"/>
      <c r="O431" s="575"/>
      <c r="P431" s="575"/>
      <c r="Q431" s="575"/>
      <c r="R431" s="575"/>
      <c r="S431" s="575"/>
      <c r="T431" s="575"/>
      <c r="U431" s="809"/>
      <c r="V431" s="575"/>
      <c r="W431" s="575"/>
      <c r="X431" s="575"/>
      <c r="Y431" s="575"/>
      <c r="Z431" s="575"/>
      <c r="AA431" s="575"/>
      <c r="AB431" s="809"/>
      <c r="AC431" s="575"/>
      <c r="AD431" s="575"/>
      <c r="AE431" s="575"/>
      <c r="AF431" s="817"/>
      <c r="AG431" s="575"/>
      <c r="AH431" s="575"/>
      <c r="AI431" s="738">
        <f t="shared" si="25"/>
        <v>0</v>
      </c>
      <c r="AJ431" s="582">
        <v>0</v>
      </c>
      <c r="AK431" s="581">
        <f t="shared" si="26"/>
        <v>0</v>
      </c>
      <c r="AL431" s="750"/>
      <c r="AM431" s="743">
        <f t="shared" si="27"/>
        <v>0</v>
      </c>
    </row>
    <row r="432" spans="1:39" s="560" customFormat="1" ht="14.4" hidden="1" thickBot="1">
      <c r="A432" s="620" t="s">
        <v>480</v>
      </c>
      <c r="B432" s="621" t="s">
        <v>1327</v>
      </c>
      <c r="C432" s="628" t="s">
        <v>1438</v>
      </c>
      <c r="D432" s="580"/>
      <c r="E432" s="581"/>
      <c r="F432" s="581"/>
      <c r="G432" s="778"/>
      <c r="H432" s="581"/>
      <c r="I432" s="582"/>
      <c r="J432" s="582"/>
      <c r="K432" s="582"/>
      <c r="L432" s="575"/>
      <c r="M432" s="575"/>
      <c r="N432" s="809"/>
      <c r="O432" s="575"/>
      <c r="P432" s="575"/>
      <c r="Q432" s="575"/>
      <c r="R432" s="575"/>
      <c r="S432" s="575"/>
      <c r="T432" s="575"/>
      <c r="U432" s="809"/>
      <c r="V432" s="575"/>
      <c r="W432" s="575"/>
      <c r="X432" s="575"/>
      <c r="Y432" s="575"/>
      <c r="Z432" s="575"/>
      <c r="AA432" s="575"/>
      <c r="AB432" s="809"/>
      <c r="AC432" s="575"/>
      <c r="AD432" s="575"/>
      <c r="AE432" s="575"/>
      <c r="AF432" s="817"/>
      <c r="AG432" s="575"/>
      <c r="AH432" s="575"/>
      <c r="AI432" s="738">
        <f t="shared" si="25"/>
        <v>0</v>
      </c>
      <c r="AJ432" s="582">
        <v>0</v>
      </c>
      <c r="AK432" s="581">
        <f t="shared" si="26"/>
        <v>0</v>
      </c>
      <c r="AL432" s="750" t="s">
        <v>1657</v>
      </c>
      <c r="AM432" s="743">
        <f t="shared" si="27"/>
        <v>4</v>
      </c>
    </row>
    <row r="433" spans="1:39" s="560" customFormat="1" ht="14.4" hidden="1" thickBot="1">
      <c r="A433" s="620" t="s">
        <v>481</v>
      </c>
      <c r="B433" s="621" t="s">
        <v>1328</v>
      </c>
      <c r="C433" s="628" t="s">
        <v>1438</v>
      </c>
      <c r="D433" s="580"/>
      <c r="E433" s="581"/>
      <c r="F433" s="581"/>
      <c r="G433" s="778"/>
      <c r="H433" s="581"/>
      <c r="I433" s="582"/>
      <c r="J433" s="582"/>
      <c r="K433" s="582"/>
      <c r="L433" s="575"/>
      <c r="M433" s="575"/>
      <c r="N433" s="809"/>
      <c r="O433" s="575"/>
      <c r="P433" s="575"/>
      <c r="Q433" s="575"/>
      <c r="R433" s="575"/>
      <c r="S433" s="575"/>
      <c r="T433" s="575"/>
      <c r="U433" s="809"/>
      <c r="V433" s="575"/>
      <c r="W433" s="575"/>
      <c r="X433" s="575"/>
      <c r="Y433" s="575"/>
      <c r="Z433" s="575"/>
      <c r="AA433" s="575"/>
      <c r="AB433" s="809"/>
      <c r="AC433" s="575"/>
      <c r="AD433" s="575"/>
      <c r="AE433" s="575"/>
      <c r="AF433" s="817"/>
      <c r="AG433" s="575"/>
      <c r="AH433" s="575"/>
      <c r="AI433" s="738">
        <f t="shared" si="25"/>
        <v>0</v>
      </c>
      <c r="AJ433" s="582">
        <v>0</v>
      </c>
      <c r="AK433" s="581">
        <f t="shared" si="26"/>
        <v>0</v>
      </c>
      <c r="AL433" s="750" t="s">
        <v>1603</v>
      </c>
      <c r="AM433" s="743">
        <f t="shared" si="27"/>
        <v>6</v>
      </c>
    </row>
    <row r="434" spans="1:39" s="560" customFormat="1" ht="14.4" hidden="1" thickBot="1">
      <c r="A434" s="620" t="s">
        <v>482</v>
      </c>
      <c r="B434" s="621" t="s">
        <v>1329</v>
      </c>
      <c r="C434" s="628" t="s">
        <v>1438</v>
      </c>
      <c r="D434" s="580"/>
      <c r="E434" s="581"/>
      <c r="F434" s="581"/>
      <c r="G434" s="778"/>
      <c r="H434" s="581"/>
      <c r="I434" s="582"/>
      <c r="J434" s="582"/>
      <c r="K434" s="582"/>
      <c r="L434" s="575"/>
      <c r="M434" s="575"/>
      <c r="N434" s="809"/>
      <c r="O434" s="575"/>
      <c r="P434" s="575"/>
      <c r="Q434" s="575"/>
      <c r="R434" s="575"/>
      <c r="S434" s="575"/>
      <c r="T434" s="575"/>
      <c r="U434" s="809"/>
      <c r="V434" s="575"/>
      <c r="W434" s="575"/>
      <c r="X434" s="575"/>
      <c r="Y434" s="575"/>
      <c r="Z434" s="575"/>
      <c r="AA434" s="575"/>
      <c r="AB434" s="809"/>
      <c r="AC434" s="575"/>
      <c r="AD434" s="575"/>
      <c r="AE434" s="575"/>
      <c r="AF434" s="817"/>
      <c r="AG434" s="575"/>
      <c r="AH434" s="575"/>
      <c r="AI434" s="738">
        <f t="shared" si="25"/>
        <v>0</v>
      </c>
      <c r="AJ434" s="582">
        <v>0</v>
      </c>
      <c r="AK434" s="581">
        <f t="shared" si="26"/>
        <v>0</v>
      </c>
      <c r="AL434" s="750" t="s">
        <v>1728</v>
      </c>
      <c r="AM434" s="743">
        <f t="shared" si="27"/>
        <v>10</v>
      </c>
    </row>
    <row r="435" spans="1:39" s="560" customFormat="1" ht="14.4" hidden="1" thickBot="1">
      <c r="A435" s="620" t="s">
        <v>1011</v>
      </c>
      <c r="B435" s="621" t="s">
        <v>1330</v>
      </c>
      <c r="C435" s="628" t="s">
        <v>37</v>
      </c>
      <c r="D435" s="580"/>
      <c r="E435" s="581"/>
      <c r="F435" s="581"/>
      <c r="G435" s="778"/>
      <c r="H435" s="581"/>
      <c r="I435" s="582"/>
      <c r="J435" s="582"/>
      <c r="K435" s="582"/>
      <c r="L435" s="575"/>
      <c r="M435" s="575"/>
      <c r="N435" s="809"/>
      <c r="O435" s="575"/>
      <c r="P435" s="575"/>
      <c r="Q435" s="575"/>
      <c r="R435" s="575"/>
      <c r="S435" s="575"/>
      <c r="T435" s="575"/>
      <c r="U435" s="809"/>
      <c r="V435" s="575"/>
      <c r="W435" s="575"/>
      <c r="X435" s="575"/>
      <c r="Y435" s="575"/>
      <c r="Z435" s="575"/>
      <c r="AA435" s="575"/>
      <c r="AB435" s="809"/>
      <c r="AC435" s="575"/>
      <c r="AD435" s="575"/>
      <c r="AE435" s="575"/>
      <c r="AF435" s="817"/>
      <c r="AG435" s="575"/>
      <c r="AH435" s="575"/>
      <c r="AI435" s="738">
        <f t="shared" ref="AI435:AI498" si="28">ROUND((SUM(D435:L435)),2)</f>
        <v>0</v>
      </c>
      <c r="AJ435" s="582">
        <v>0</v>
      </c>
      <c r="AK435" s="581">
        <f t="shared" si="26"/>
        <v>0</v>
      </c>
      <c r="AL435" s="750" t="s">
        <v>1730</v>
      </c>
      <c r="AM435" s="743">
        <f t="shared" si="27"/>
        <v>32.450000000000003</v>
      </c>
    </row>
    <row r="436" spans="1:39" s="560" customFormat="1" ht="14.4" hidden="1" thickBot="1">
      <c r="A436" s="620" t="s">
        <v>1012</v>
      </c>
      <c r="B436" s="621" t="s">
        <v>1331</v>
      </c>
      <c r="C436" s="628" t="s">
        <v>37</v>
      </c>
      <c r="D436" s="580"/>
      <c r="E436" s="581"/>
      <c r="F436" s="581"/>
      <c r="G436" s="778"/>
      <c r="H436" s="581"/>
      <c r="I436" s="582"/>
      <c r="J436" s="582"/>
      <c r="K436" s="582"/>
      <c r="L436" s="575"/>
      <c r="M436" s="575"/>
      <c r="N436" s="809"/>
      <c r="O436" s="575"/>
      <c r="P436" s="575"/>
      <c r="Q436" s="575"/>
      <c r="R436" s="575"/>
      <c r="S436" s="575"/>
      <c r="T436" s="575"/>
      <c r="U436" s="809"/>
      <c r="V436" s="575"/>
      <c r="W436" s="575"/>
      <c r="X436" s="575"/>
      <c r="Y436" s="575"/>
      <c r="Z436" s="575"/>
      <c r="AA436" s="575"/>
      <c r="AB436" s="809"/>
      <c r="AC436" s="575"/>
      <c r="AD436" s="575"/>
      <c r="AE436" s="575"/>
      <c r="AF436" s="817"/>
      <c r="AG436" s="575"/>
      <c r="AH436" s="575"/>
      <c r="AI436" s="738">
        <f t="shared" si="28"/>
        <v>0</v>
      </c>
      <c r="AJ436" s="582">
        <v>0</v>
      </c>
      <c r="AK436" s="581">
        <f t="shared" si="26"/>
        <v>0</v>
      </c>
      <c r="AL436" s="750" t="s">
        <v>1731</v>
      </c>
      <c r="AM436" s="743">
        <f t="shared" si="27"/>
        <v>45.55</v>
      </c>
    </row>
    <row r="437" spans="1:39" s="560" customFormat="1" ht="14.4" hidden="1" thickBot="1">
      <c r="A437" s="620" t="s">
        <v>1013</v>
      </c>
      <c r="B437" s="621" t="s">
        <v>1332</v>
      </c>
      <c r="C437" s="628" t="s">
        <v>1436</v>
      </c>
      <c r="D437" s="580"/>
      <c r="E437" s="581"/>
      <c r="F437" s="581"/>
      <c r="G437" s="778"/>
      <c r="H437" s="581"/>
      <c r="I437" s="582"/>
      <c r="J437" s="582"/>
      <c r="K437" s="582"/>
      <c r="L437" s="575"/>
      <c r="M437" s="575"/>
      <c r="N437" s="809"/>
      <c r="O437" s="575"/>
      <c r="P437" s="575"/>
      <c r="Q437" s="575"/>
      <c r="R437" s="575"/>
      <c r="S437" s="575"/>
      <c r="T437" s="575"/>
      <c r="U437" s="809"/>
      <c r="V437" s="575"/>
      <c r="W437" s="575"/>
      <c r="X437" s="575"/>
      <c r="Y437" s="575"/>
      <c r="Z437" s="575"/>
      <c r="AA437" s="575"/>
      <c r="AB437" s="809"/>
      <c r="AC437" s="575"/>
      <c r="AD437" s="575"/>
      <c r="AE437" s="575"/>
      <c r="AF437" s="817"/>
      <c r="AG437" s="575"/>
      <c r="AH437" s="575"/>
      <c r="AI437" s="738">
        <f t="shared" si="28"/>
        <v>0</v>
      </c>
      <c r="AJ437" s="582">
        <v>0</v>
      </c>
      <c r="AK437" s="581">
        <f t="shared" si="26"/>
        <v>0</v>
      </c>
      <c r="AL437" s="750" t="s">
        <v>1657</v>
      </c>
      <c r="AM437" s="743">
        <f t="shared" si="27"/>
        <v>4</v>
      </c>
    </row>
    <row r="438" spans="1:39" s="560" customFormat="1" ht="14.4" hidden="1" thickBot="1">
      <c r="A438" s="620" t="s">
        <v>1014</v>
      </c>
      <c r="B438" s="621" t="s">
        <v>1333</v>
      </c>
      <c r="C438" s="628" t="s">
        <v>1436</v>
      </c>
      <c r="D438" s="580"/>
      <c r="E438" s="581"/>
      <c r="F438" s="581"/>
      <c r="G438" s="778"/>
      <c r="H438" s="581"/>
      <c r="I438" s="582"/>
      <c r="J438" s="582"/>
      <c r="K438" s="582"/>
      <c r="L438" s="575"/>
      <c r="M438" s="575"/>
      <c r="N438" s="809"/>
      <c r="O438" s="575"/>
      <c r="P438" s="575"/>
      <c r="Q438" s="575"/>
      <c r="R438" s="575"/>
      <c r="S438" s="575"/>
      <c r="T438" s="575"/>
      <c r="U438" s="809"/>
      <c r="V438" s="575"/>
      <c r="W438" s="575"/>
      <c r="X438" s="575"/>
      <c r="Y438" s="575"/>
      <c r="Z438" s="575"/>
      <c r="AA438" s="575"/>
      <c r="AB438" s="809"/>
      <c r="AC438" s="575"/>
      <c r="AD438" s="575"/>
      <c r="AE438" s="575"/>
      <c r="AF438" s="817"/>
      <c r="AG438" s="575"/>
      <c r="AH438" s="575"/>
      <c r="AI438" s="738">
        <f t="shared" si="28"/>
        <v>0</v>
      </c>
      <c r="AJ438" s="582">
        <v>0</v>
      </c>
      <c r="AK438" s="581">
        <f t="shared" si="26"/>
        <v>0</v>
      </c>
      <c r="AL438" s="750" t="s">
        <v>1684</v>
      </c>
      <c r="AM438" s="743">
        <f t="shared" si="27"/>
        <v>2</v>
      </c>
    </row>
    <row r="439" spans="1:39" s="560" customFormat="1" ht="14.4" hidden="1" thickBot="1">
      <c r="A439" s="620" t="s">
        <v>1015</v>
      </c>
      <c r="B439" s="621" t="s">
        <v>1334</v>
      </c>
      <c r="C439" s="628" t="s">
        <v>1436</v>
      </c>
      <c r="D439" s="580"/>
      <c r="E439" s="581"/>
      <c r="F439" s="581"/>
      <c r="G439" s="778"/>
      <c r="H439" s="581"/>
      <c r="I439" s="582"/>
      <c r="J439" s="582"/>
      <c r="K439" s="582"/>
      <c r="L439" s="575"/>
      <c r="M439" s="575"/>
      <c r="N439" s="809"/>
      <c r="O439" s="575"/>
      <c r="P439" s="575"/>
      <c r="Q439" s="575"/>
      <c r="R439" s="575"/>
      <c r="S439" s="575"/>
      <c r="T439" s="575"/>
      <c r="U439" s="809"/>
      <c r="V439" s="575"/>
      <c r="W439" s="575"/>
      <c r="X439" s="575"/>
      <c r="Y439" s="575"/>
      <c r="Z439" s="575"/>
      <c r="AA439" s="575"/>
      <c r="AB439" s="809"/>
      <c r="AC439" s="575"/>
      <c r="AD439" s="575"/>
      <c r="AE439" s="575"/>
      <c r="AF439" s="817"/>
      <c r="AG439" s="575"/>
      <c r="AH439" s="575"/>
      <c r="AI439" s="738">
        <f t="shared" si="28"/>
        <v>0</v>
      </c>
      <c r="AJ439" s="582">
        <v>0</v>
      </c>
      <c r="AK439" s="581">
        <f t="shared" si="26"/>
        <v>0</v>
      </c>
      <c r="AL439" s="750" t="s">
        <v>1603</v>
      </c>
      <c r="AM439" s="743">
        <f t="shared" si="27"/>
        <v>6</v>
      </c>
    </row>
    <row r="440" spans="1:39" s="560" customFormat="1" ht="14.4" hidden="1" thickBot="1">
      <c r="A440" s="620" t="s">
        <v>1016</v>
      </c>
      <c r="B440" s="621" t="s">
        <v>1335</v>
      </c>
      <c r="C440" s="628" t="s">
        <v>1436</v>
      </c>
      <c r="D440" s="580"/>
      <c r="E440" s="581"/>
      <c r="F440" s="581"/>
      <c r="G440" s="778"/>
      <c r="H440" s="581"/>
      <c r="I440" s="582"/>
      <c r="J440" s="582"/>
      <c r="K440" s="582"/>
      <c r="L440" s="575"/>
      <c r="M440" s="575"/>
      <c r="N440" s="809"/>
      <c r="O440" s="575"/>
      <c r="P440" s="575"/>
      <c r="Q440" s="575"/>
      <c r="R440" s="575"/>
      <c r="S440" s="575"/>
      <c r="T440" s="575"/>
      <c r="U440" s="809"/>
      <c r="V440" s="575"/>
      <c r="W440" s="575"/>
      <c r="X440" s="575"/>
      <c r="Y440" s="575"/>
      <c r="Z440" s="575"/>
      <c r="AA440" s="575"/>
      <c r="AB440" s="809"/>
      <c r="AC440" s="575"/>
      <c r="AD440" s="575"/>
      <c r="AE440" s="575"/>
      <c r="AF440" s="817"/>
      <c r="AG440" s="575"/>
      <c r="AH440" s="575"/>
      <c r="AI440" s="738">
        <f t="shared" si="28"/>
        <v>0</v>
      </c>
      <c r="AJ440" s="582">
        <v>0</v>
      </c>
      <c r="AK440" s="581">
        <f t="shared" si="26"/>
        <v>0</v>
      </c>
      <c r="AL440" s="750" t="s">
        <v>1603</v>
      </c>
      <c r="AM440" s="743">
        <f t="shared" si="27"/>
        <v>6</v>
      </c>
    </row>
    <row r="441" spans="1:39" s="560" customFormat="1" ht="14.4" hidden="1" thickBot="1">
      <c r="A441" s="620" t="s">
        <v>1017</v>
      </c>
      <c r="B441" s="621" t="s">
        <v>1336</v>
      </c>
      <c r="C441" s="628" t="s">
        <v>1437</v>
      </c>
      <c r="D441" s="580"/>
      <c r="E441" s="581"/>
      <c r="F441" s="581"/>
      <c r="G441" s="778"/>
      <c r="H441" s="581"/>
      <c r="I441" s="582"/>
      <c r="J441" s="582"/>
      <c r="K441" s="582"/>
      <c r="L441" s="575"/>
      <c r="M441" s="575"/>
      <c r="N441" s="809"/>
      <c r="O441" s="575"/>
      <c r="P441" s="575"/>
      <c r="Q441" s="575"/>
      <c r="R441" s="575"/>
      <c r="S441" s="575"/>
      <c r="T441" s="575"/>
      <c r="U441" s="809"/>
      <c r="V441" s="575"/>
      <c r="W441" s="575"/>
      <c r="X441" s="575"/>
      <c r="Y441" s="575"/>
      <c r="Z441" s="575"/>
      <c r="AA441" s="575"/>
      <c r="AB441" s="809"/>
      <c r="AC441" s="575"/>
      <c r="AD441" s="575"/>
      <c r="AE441" s="575"/>
      <c r="AF441" s="817"/>
      <c r="AG441" s="575"/>
      <c r="AH441" s="575"/>
      <c r="AI441" s="738">
        <f t="shared" si="28"/>
        <v>0</v>
      </c>
      <c r="AJ441" s="582">
        <v>0</v>
      </c>
      <c r="AK441" s="581">
        <f t="shared" si="26"/>
        <v>0</v>
      </c>
      <c r="AL441" s="750" t="s">
        <v>1603</v>
      </c>
      <c r="AM441" s="743">
        <f t="shared" si="27"/>
        <v>6</v>
      </c>
    </row>
    <row r="442" spans="1:39" s="560" customFormat="1" ht="14.4" hidden="1" thickBot="1">
      <c r="A442" s="620" t="s">
        <v>483</v>
      </c>
      <c r="B442" s="621" t="s">
        <v>1337</v>
      </c>
      <c r="C442" s="628"/>
      <c r="D442" s="580"/>
      <c r="E442" s="581"/>
      <c r="F442" s="581"/>
      <c r="G442" s="778"/>
      <c r="H442" s="581"/>
      <c r="I442" s="582"/>
      <c r="J442" s="582"/>
      <c r="K442" s="582"/>
      <c r="L442" s="575"/>
      <c r="M442" s="575"/>
      <c r="N442" s="809"/>
      <c r="O442" s="575"/>
      <c r="P442" s="575"/>
      <c r="Q442" s="575"/>
      <c r="R442" s="575"/>
      <c r="S442" s="575"/>
      <c r="T442" s="575"/>
      <c r="U442" s="809"/>
      <c r="V442" s="575"/>
      <c r="W442" s="575"/>
      <c r="X442" s="575"/>
      <c r="Y442" s="575"/>
      <c r="Z442" s="575"/>
      <c r="AA442" s="575"/>
      <c r="AB442" s="809"/>
      <c r="AC442" s="575"/>
      <c r="AD442" s="575"/>
      <c r="AE442" s="575"/>
      <c r="AF442" s="817"/>
      <c r="AG442" s="575"/>
      <c r="AH442" s="575"/>
      <c r="AI442" s="738">
        <f t="shared" si="28"/>
        <v>0</v>
      </c>
      <c r="AJ442" s="582">
        <v>0</v>
      </c>
      <c r="AK442" s="581">
        <f t="shared" si="26"/>
        <v>0</v>
      </c>
      <c r="AL442" s="750"/>
      <c r="AM442" s="743">
        <f t="shared" si="27"/>
        <v>0</v>
      </c>
    </row>
    <row r="443" spans="1:39" s="560" customFormat="1" ht="14.4" hidden="1" thickBot="1">
      <c r="A443" s="620" t="s">
        <v>484</v>
      </c>
      <c r="B443" s="621" t="s">
        <v>1338</v>
      </c>
      <c r="C443" s="628" t="s">
        <v>39</v>
      </c>
      <c r="D443" s="580"/>
      <c r="E443" s="581"/>
      <c r="F443" s="581"/>
      <c r="G443" s="778"/>
      <c r="H443" s="581"/>
      <c r="I443" s="582"/>
      <c r="J443" s="582"/>
      <c r="K443" s="582"/>
      <c r="L443" s="575"/>
      <c r="M443" s="575"/>
      <c r="N443" s="809"/>
      <c r="O443" s="575"/>
      <c r="P443" s="575"/>
      <c r="Q443" s="575"/>
      <c r="R443" s="575"/>
      <c r="S443" s="575"/>
      <c r="T443" s="575"/>
      <c r="U443" s="809"/>
      <c r="V443" s="575"/>
      <c r="W443" s="575"/>
      <c r="X443" s="575"/>
      <c r="Y443" s="575"/>
      <c r="Z443" s="575"/>
      <c r="AA443" s="575"/>
      <c r="AB443" s="809"/>
      <c r="AC443" s="575"/>
      <c r="AD443" s="575"/>
      <c r="AE443" s="575"/>
      <c r="AF443" s="817"/>
      <c r="AG443" s="575"/>
      <c r="AH443" s="575"/>
      <c r="AI443" s="738">
        <f t="shared" si="28"/>
        <v>0</v>
      </c>
      <c r="AJ443" s="582">
        <v>0</v>
      </c>
      <c r="AK443" s="581">
        <f t="shared" si="26"/>
        <v>0</v>
      </c>
      <c r="AL443" s="750" t="s">
        <v>1732</v>
      </c>
      <c r="AM443" s="743">
        <f t="shared" si="27"/>
        <v>18.04</v>
      </c>
    </row>
    <row r="444" spans="1:39" s="560" customFormat="1" ht="14.4" hidden="1" thickBot="1">
      <c r="A444" s="620" t="s">
        <v>485</v>
      </c>
      <c r="B444" s="621" t="s">
        <v>1339</v>
      </c>
      <c r="C444" s="628" t="s">
        <v>39</v>
      </c>
      <c r="D444" s="580"/>
      <c r="E444" s="581"/>
      <c r="F444" s="581"/>
      <c r="G444" s="778"/>
      <c r="H444" s="581"/>
      <c r="I444" s="582"/>
      <c r="J444" s="582"/>
      <c r="K444" s="582"/>
      <c r="L444" s="575"/>
      <c r="M444" s="575"/>
      <c r="N444" s="809"/>
      <c r="O444" s="575"/>
      <c r="P444" s="575"/>
      <c r="Q444" s="575"/>
      <c r="R444" s="575"/>
      <c r="S444" s="575"/>
      <c r="T444" s="575"/>
      <c r="U444" s="809"/>
      <c r="V444" s="575"/>
      <c r="W444" s="575"/>
      <c r="X444" s="575"/>
      <c r="Y444" s="575"/>
      <c r="Z444" s="575"/>
      <c r="AA444" s="575"/>
      <c r="AB444" s="809"/>
      <c r="AC444" s="575"/>
      <c r="AD444" s="575"/>
      <c r="AE444" s="575"/>
      <c r="AF444" s="817"/>
      <c r="AG444" s="575"/>
      <c r="AH444" s="575"/>
      <c r="AI444" s="738">
        <f t="shared" si="28"/>
        <v>0</v>
      </c>
      <c r="AJ444" s="582">
        <v>0</v>
      </c>
      <c r="AK444" s="581">
        <f t="shared" si="26"/>
        <v>0</v>
      </c>
      <c r="AL444" s="750" t="s">
        <v>1732</v>
      </c>
      <c r="AM444" s="743">
        <f t="shared" si="27"/>
        <v>18.04</v>
      </c>
    </row>
    <row r="445" spans="1:39" s="560" customFormat="1" ht="14.4" hidden="1" thickBot="1">
      <c r="A445" s="620" t="s">
        <v>1018</v>
      </c>
      <c r="B445" s="621" t="s">
        <v>1340</v>
      </c>
      <c r="C445" s="628" t="s">
        <v>35</v>
      </c>
      <c r="D445" s="580"/>
      <c r="E445" s="581"/>
      <c r="F445" s="581"/>
      <c r="G445" s="778"/>
      <c r="H445" s="581"/>
      <c r="I445" s="582"/>
      <c r="J445" s="582"/>
      <c r="K445" s="582"/>
      <c r="L445" s="575"/>
      <c r="M445" s="575"/>
      <c r="N445" s="809"/>
      <c r="O445" s="575"/>
      <c r="P445" s="575"/>
      <c r="Q445" s="575"/>
      <c r="R445" s="575"/>
      <c r="S445" s="575"/>
      <c r="T445" s="575"/>
      <c r="U445" s="809"/>
      <c r="V445" s="575"/>
      <c r="W445" s="575"/>
      <c r="X445" s="575"/>
      <c r="Y445" s="575"/>
      <c r="Z445" s="575"/>
      <c r="AA445" s="575"/>
      <c r="AB445" s="809"/>
      <c r="AC445" s="575"/>
      <c r="AD445" s="575"/>
      <c r="AE445" s="575"/>
      <c r="AF445" s="817"/>
      <c r="AG445" s="575"/>
      <c r="AH445" s="575"/>
      <c r="AI445" s="738">
        <f t="shared" si="28"/>
        <v>0</v>
      </c>
      <c r="AJ445" s="582">
        <v>0</v>
      </c>
      <c r="AK445" s="581">
        <f t="shared" si="26"/>
        <v>0</v>
      </c>
      <c r="AL445" s="750" t="s">
        <v>1441</v>
      </c>
      <c r="AM445" s="743">
        <f t="shared" si="27"/>
        <v>1</v>
      </c>
    </row>
    <row r="446" spans="1:39" s="560" customFormat="1" ht="14.4" hidden="1" thickBot="1">
      <c r="A446" s="620" t="s">
        <v>1019</v>
      </c>
      <c r="B446" s="621" t="s">
        <v>1341</v>
      </c>
      <c r="C446" s="628" t="s">
        <v>40</v>
      </c>
      <c r="D446" s="580"/>
      <c r="E446" s="581"/>
      <c r="F446" s="581"/>
      <c r="G446" s="778"/>
      <c r="H446" s="581"/>
      <c r="I446" s="582"/>
      <c r="J446" s="582"/>
      <c r="K446" s="582"/>
      <c r="L446" s="575"/>
      <c r="M446" s="575"/>
      <c r="N446" s="809"/>
      <c r="O446" s="575"/>
      <c r="P446" s="575"/>
      <c r="Q446" s="575"/>
      <c r="R446" s="575"/>
      <c r="S446" s="575"/>
      <c r="T446" s="575"/>
      <c r="U446" s="809"/>
      <c r="V446" s="575"/>
      <c r="W446" s="575"/>
      <c r="X446" s="575"/>
      <c r="Y446" s="575"/>
      <c r="Z446" s="575"/>
      <c r="AA446" s="575"/>
      <c r="AB446" s="809"/>
      <c r="AC446" s="575"/>
      <c r="AD446" s="575"/>
      <c r="AE446" s="575"/>
      <c r="AF446" s="817"/>
      <c r="AG446" s="575"/>
      <c r="AH446" s="575"/>
      <c r="AI446" s="738">
        <f t="shared" si="28"/>
        <v>0</v>
      </c>
      <c r="AJ446" s="582">
        <v>0</v>
      </c>
      <c r="AK446" s="581">
        <f t="shared" si="26"/>
        <v>0</v>
      </c>
      <c r="AL446" s="750" t="s">
        <v>1441</v>
      </c>
      <c r="AM446" s="743">
        <f t="shared" si="27"/>
        <v>1</v>
      </c>
    </row>
    <row r="447" spans="1:39" s="560" customFormat="1" ht="14.4" hidden="1" thickBot="1">
      <c r="A447" s="620" t="s">
        <v>486</v>
      </c>
      <c r="B447" s="621" t="s">
        <v>1342</v>
      </c>
      <c r="C447" s="628"/>
      <c r="D447" s="580"/>
      <c r="E447" s="581"/>
      <c r="F447" s="581"/>
      <c r="G447" s="778"/>
      <c r="H447" s="581"/>
      <c r="I447" s="582"/>
      <c r="J447" s="582"/>
      <c r="K447" s="582"/>
      <c r="L447" s="575"/>
      <c r="M447" s="575"/>
      <c r="N447" s="809"/>
      <c r="O447" s="575"/>
      <c r="P447" s="575"/>
      <c r="Q447" s="575"/>
      <c r="R447" s="575"/>
      <c r="S447" s="575"/>
      <c r="T447" s="575"/>
      <c r="U447" s="809"/>
      <c r="V447" s="575"/>
      <c r="W447" s="575"/>
      <c r="X447" s="575"/>
      <c r="Y447" s="575"/>
      <c r="Z447" s="575"/>
      <c r="AA447" s="575"/>
      <c r="AB447" s="809"/>
      <c r="AC447" s="575"/>
      <c r="AD447" s="575"/>
      <c r="AE447" s="575"/>
      <c r="AF447" s="817"/>
      <c r="AG447" s="575"/>
      <c r="AH447" s="575"/>
      <c r="AI447" s="738">
        <f t="shared" si="28"/>
        <v>0</v>
      </c>
      <c r="AJ447" s="582">
        <v>0</v>
      </c>
      <c r="AK447" s="581">
        <f t="shared" si="26"/>
        <v>0</v>
      </c>
      <c r="AL447" s="750"/>
      <c r="AM447" s="743">
        <f t="shared" si="27"/>
        <v>0</v>
      </c>
    </row>
    <row r="448" spans="1:39" s="560" customFormat="1" ht="14.4" hidden="1" thickBot="1">
      <c r="A448" s="620" t="s">
        <v>487</v>
      </c>
      <c r="B448" s="621" t="s">
        <v>1338</v>
      </c>
      <c r="C448" s="628" t="s">
        <v>39</v>
      </c>
      <c r="D448" s="580"/>
      <c r="E448" s="581"/>
      <c r="F448" s="581"/>
      <c r="G448" s="778"/>
      <c r="H448" s="581"/>
      <c r="I448" s="582"/>
      <c r="J448" s="582"/>
      <c r="K448" s="582"/>
      <c r="L448" s="575"/>
      <c r="M448" s="575"/>
      <c r="N448" s="809"/>
      <c r="O448" s="575"/>
      <c r="P448" s="575"/>
      <c r="Q448" s="575"/>
      <c r="R448" s="575"/>
      <c r="S448" s="575"/>
      <c r="T448" s="575"/>
      <c r="U448" s="809"/>
      <c r="V448" s="575"/>
      <c r="W448" s="575"/>
      <c r="X448" s="575"/>
      <c r="Y448" s="575"/>
      <c r="Z448" s="575"/>
      <c r="AA448" s="575"/>
      <c r="AB448" s="809"/>
      <c r="AC448" s="575"/>
      <c r="AD448" s="575"/>
      <c r="AE448" s="575"/>
      <c r="AF448" s="817"/>
      <c r="AG448" s="575"/>
      <c r="AH448" s="575"/>
      <c r="AI448" s="738">
        <f t="shared" si="28"/>
        <v>0</v>
      </c>
      <c r="AJ448" s="582">
        <v>0</v>
      </c>
      <c r="AK448" s="581">
        <f t="shared" si="26"/>
        <v>0</v>
      </c>
      <c r="AL448" s="750" t="s">
        <v>1733</v>
      </c>
      <c r="AM448" s="743">
        <f t="shared" si="27"/>
        <v>10.08</v>
      </c>
    </row>
    <row r="449" spans="1:39" s="560" customFormat="1" ht="14.4" hidden="1" thickBot="1">
      <c r="A449" s="620" t="s">
        <v>488</v>
      </c>
      <c r="B449" s="621" t="s">
        <v>1339</v>
      </c>
      <c r="C449" s="628" t="s">
        <v>39</v>
      </c>
      <c r="D449" s="580"/>
      <c r="E449" s="581"/>
      <c r="F449" s="581"/>
      <c r="G449" s="778"/>
      <c r="H449" s="581"/>
      <c r="I449" s="582"/>
      <c r="J449" s="582"/>
      <c r="K449" s="582"/>
      <c r="L449" s="575"/>
      <c r="M449" s="575"/>
      <c r="N449" s="809"/>
      <c r="O449" s="575"/>
      <c r="P449" s="575"/>
      <c r="Q449" s="575"/>
      <c r="R449" s="575"/>
      <c r="S449" s="575"/>
      <c r="T449" s="575"/>
      <c r="U449" s="809"/>
      <c r="V449" s="575"/>
      <c r="W449" s="575"/>
      <c r="X449" s="575"/>
      <c r="Y449" s="575"/>
      <c r="Z449" s="575"/>
      <c r="AA449" s="575"/>
      <c r="AB449" s="809"/>
      <c r="AC449" s="575"/>
      <c r="AD449" s="575"/>
      <c r="AE449" s="575"/>
      <c r="AF449" s="817"/>
      <c r="AG449" s="575"/>
      <c r="AH449" s="575"/>
      <c r="AI449" s="738">
        <f t="shared" si="28"/>
        <v>0</v>
      </c>
      <c r="AJ449" s="582">
        <v>0</v>
      </c>
      <c r="AK449" s="581">
        <f t="shared" si="26"/>
        <v>0</v>
      </c>
      <c r="AL449" s="750" t="s">
        <v>1733</v>
      </c>
      <c r="AM449" s="743">
        <f t="shared" si="27"/>
        <v>10.08</v>
      </c>
    </row>
    <row r="450" spans="1:39" s="560" customFormat="1" ht="14.4" hidden="1" thickBot="1">
      <c r="A450" s="620" t="s">
        <v>489</v>
      </c>
      <c r="B450" s="621" t="s">
        <v>1343</v>
      </c>
      <c r="C450" s="628" t="s">
        <v>39</v>
      </c>
      <c r="D450" s="580"/>
      <c r="E450" s="581"/>
      <c r="F450" s="581"/>
      <c r="G450" s="778"/>
      <c r="H450" s="581"/>
      <c r="I450" s="582"/>
      <c r="J450" s="582"/>
      <c r="K450" s="582"/>
      <c r="L450" s="575"/>
      <c r="M450" s="575"/>
      <c r="N450" s="809"/>
      <c r="O450" s="575"/>
      <c r="P450" s="575"/>
      <c r="Q450" s="575"/>
      <c r="R450" s="575"/>
      <c r="S450" s="575"/>
      <c r="T450" s="575"/>
      <c r="U450" s="809"/>
      <c r="V450" s="575"/>
      <c r="W450" s="575"/>
      <c r="X450" s="575"/>
      <c r="Y450" s="575"/>
      <c r="Z450" s="575"/>
      <c r="AA450" s="575"/>
      <c r="AB450" s="809"/>
      <c r="AC450" s="575"/>
      <c r="AD450" s="575"/>
      <c r="AE450" s="575"/>
      <c r="AF450" s="817"/>
      <c r="AG450" s="575"/>
      <c r="AH450" s="575"/>
      <c r="AI450" s="738">
        <f t="shared" si="28"/>
        <v>0</v>
      </c>
      <c r="AJ450" s="582">
        <v>0</v>
      </c>
      <c r="AK450" s="581">
        <f t="shared" si="26"/>
        <v>0</v>
      </c>
      <c r="AL450" s="750" t="s">
        <v>1734</v>
      </c>
      <c r="AM450" s="743">
        <f t="shared" si="27"/>
        <v>5.04</v>
      </c>
    </row>
    <row r="451" spans="1:39" s="560" customFormat="1" ht="14.4" hidden="1" thickBot="1">
      <c r="A451" s="620" t="s">
        <v>490</v>
      </c>
      <c r="B451" s="621" t="s">
        <v>1344</v>
      </c>
      <c r="C451" s="628" t="s">
        <v>40</v>
      </c>
      <c r="D451" s="580"/>
      <c r="E451" s="581"/>
      <c r="F451" s="581"/>
      <c r="G451" s="778"/>
      <c r="H451" s="581"/>
      <c r="I451" s="582"/>
      <c r="J451" s="582"/>
      <c r="K451" s="582"/>
      <c r="L451" s="575"/>
      <c r="M451" s="575"/>
      <c r="N451" s="809"/>
      <c r="O451" s="575"/>
      <c r="P451" s="575"/>
      <c r="Q451" s="575"/>
      <c r="R451" s="575"/>
      <c r="S451" s="575"/>
      <c r="T451" s="575"/>
      <c r="U451" s="809"/>
      <c r="V451" s="575"/>
      <c r="W451" s="575"/>
      <c r="X451" s="575"/>
      <c r="Y451" s="575"/>
      <c r="Z451" s="575"/>
      <c r="AA451" s="575"/>
      <c r="AB451" s="809"/>
      <c r="AC451" s="575"/>
      <c r="AD451" s="575"/>
      <c r="AE451" s="575"/>
      <c r="AF451" s="817"/>
      <c r="AG451" s="575"/>
      <c r="AH451" s="575"/>
      <c r="AI451" s="738">
        <f t="shared" si="28"/>
        <v>0</v>
      </c>
      <c r="AJ451" s="582">
        <v>0</v>
      </c>
      <c r="AK451" s="581">
        <f t="shared" si="26"/>
        <v>0</v>
      </c>
      <c r="AL451" s="750" t="s">
        <v>1441</v>
      </c>
      <c r="AM451" s="743">
        <f t="shared" si="27"/>
        <v>1</v>
      </c>
    </row>
    <row r="452" spans="1:39" s="560" customFormat="1" ht="14.4" hidden="1" thickBot="1">
      <c r="A452" s="620" t="s">
        <v>1020</v>
      </c>
      <c r="B452" s="621" t="s">
        <v>1345</v>
      </c>
      <c r="C452" s="628" t="s">
        <v>37</v>
      </c>
      <c r="D452" s="580"/>
      <c r="E452" s="581"/>
      <c r="F452" s="581"/>
      <c r="G452" s="778"/>
      <c r="H452" s="581"/>
      <c r="I452" s="582"/>
      <c r="J452" s="582"/>
      <c r="K452" s="582"/>
      <c r="L452" s="575"/>
      <c r="M452" s="575"/>
      <c r="N452" s="809"/>
      <c r="O452" s="575"/>
      <c r="P452" s="575"/>
      <c r="Q452" s="575"/>
      <c r="R452" s="575"/>
      <c r="S452" s="575"/>
      <c r="T452" s="575"/>
      <c r="U452" s="809"/>
      <c r="V452" s="575"/>
      <c r="W452" s="575"/>
      <c r="X452" s="575"/>
      <c r="Y452" s="575"/>
      <c r="Z452" s="575"/>
      <c r="AA452" s="575"/>
      <c r="AB452" s="809"/>
      <c r="AC452" s="575"/>
      <c r="AD452" s="575"/>
      <c r="AE452" s="575"/>
      <c r="AF452" s="817"/>
      <c r="AG452" s="575"/>
      <c r="AH452" s="575"/>
      <c r="AI452" s="738">
        <f t="shared" si="28"/>
        <v>0</v>
      </c>
      <c r="AJ452" s="582">
        <v>0</v>
      </c>
      <c r="AK452" s="581">
        <f t="shared" si="26"/>
        <v>0</v>
      </c>
      <c r="AL452" s="750" t="s">
        <v>1588</v>
      </c>
      <c r="AM452" s="743">
        <f t="shared" si="27"/>
        <v>24</v>
      </c>
    </row>
    <row r="453" spans="1:39" s="560" customFormat="1" ht="14.4" hidden="1" thickBot="1">
      <c r="A453" s="620" t="s">
        <v>491</v>
      </c>
      <c r="B453" s="621" t="s">
        <v>1346</v>
      </c>
      <c r="C453" s="628"/>
      <c r="D453" s="580"/>
      <c r="E453" s="581"/>
      <c r="F453" s="581"/>
      <c r="G453" s="778"/>
      <c r="H453" s="581"/>
      <c r="I453" s="582"/>
      <c r="J453" s="582"/>
      <c r="K453" s="582"/>
      <c r="L453" s="575"/>
      <c r="M453" s="575"/>
      <c r="N453" s="809"/>
      <c r="O453" s="575"/>
      <c r="P453" s="575"/>
      <c r="Q453" s="575"/>
      <c r="R453" s="575"/>
      <c r="S453" s="575"/>
      <c r="T453" s="575"/>
      <c r="U453" s="809"/>
      <c r="V453" s="575"/>
      <c r="W453" s="575"/>
      <c r="X453" s="575"/>
      <c r="Y453" s="575"/>
      <c r="Z453" s="575"/>
      <c r="AA453" s="575"/>
      <c r="AB453" s="809"/>
      <c r="AC453" s="575"/>
      <c r="AD453" s="575"/>
      <c r="AE453" s="575"/>
      <c r="AF453" s="817"/>
      <c r="AG453" s="575"/>
      <c r="AH453" s="575"/>
      <c r="AI453" s="738">
        <f t="shared" si="28"/>
        <v>0</v>
      </c>
      <c r="AJ453" s="582">
        <v>0</v>
      </c>
      <c r="AK453" s="581">
        <f t="shared" si="26"/>
        <v>0</v>
      </c>
      <c r="AL453" s="750"/>
      <c r="AM453" s="743">
        <f t="shared" si="27"/>
        <v>0</v>
      </c>
    </row>
    <row r="454" spans="1:39" s="560" customFormat="1" ht="14.4" hidden="1" thickBot="1">
      <c r="A454" s="620" t="s">
        <v>492</v>
      </c>
      <c r="B454" s="621" t="s">
        <v>1347</v>
      </c>
      <c r="C454" s="628" t="s">
        <v>1438</v>
      </c>
      <c r="D454" s="580"/>
      <c r="E454" s="581"/>
      <c r="F454" s="581"/>
      <c r="G454" s="778"/>
      <c r="H454" s="581"/>
      <c r="I454" s="582"/>
      <c r="J454" s="582"/>
      <c r="K454" s="582"/>
      <c r="L454" s="575"/>
      <c r="M454" s="575"/>
      <c r="N454" s="809"/>
      <c r="O454" s="575"/>
      <c r="P454" s="575"/>
      <c r="Q454" s="575"/>
      <c r="R454" s="575"/>
      <c r="S454" s="575"/>
      <c r="T454" s="575"/>
      <c r="U454" s="809"/>
      <c r="V454" s="575"/>
      <c r="W454" s="575"/>
      <c r="X454" s="575"/>
      <c r="Y454" s="575"/>
      <c r="Z454" s="575"/>
      <c r="AA454" s="575"/>
      <c r="AB454" s="809"/>
      <c r="AC454" s="575"/>
      <c r="AD454" s="575"/>
      <c r="AE454" s="575"/>
      <c r="AF454" s="817"/>
      <c r="AG454" s="575"/>
      <c r="AH454" s="575"/>
      <c r="AI454" s="738">
        <f t="shared" si="28"/>
        <v>0</v>
      </c>
      <c r="AJ454" s="582">
        <v>0</v>
      </c>
      <c r="AK454" s="581">
        <f t="shared" si="26"/>
        <v>0</v>
      </c>
      <c r="AL454" s="750" t="s">
        <v>1479</v>
      </c>
      <c r="AM454" s="743">
        <f t="shared" si="27"/>
        <v>15</v>
      </c>
    </row>
    <row r="455" spans="1:39" s="560" customFormat="1" ht="14.4" hidden="1" thickBot="1">
      <c r="A455" s="620" t="s">
        <v>493</v>
      </c>
      <c r="B455" s="621" t="s">
        <v>1348</v>
      </c>
      <c r="C455" s="628" t="s">
        <v>37</v>
      </c>
      <c r="D455" s="580"/>
      <c r="E455" s="581"/>
      <c r="F455" s="581"/>
      <c r="G455" s="778"/>
      <c r="H455" s="581"/>
      <c r="I455" s="582"/>
      <c r="J455" s="582"/>
      <c r="K455" s="582"/>
      <c r="L455" s="575"/>
      <c r="M455" s="575"/>
      <c r="N455" s="809"/>
      <c r="O455" s="575"/>
      <c r="P455" s="575"/>
      <c r="Q455" s="575"/>
      <c r="R455" s="575"/>
      <c r="S455" s="575"/>
      <c r="T455" s="575"/>
      <c r="U455" s="809"/>
      <c r="V455" s="575"/>
      <c r="W455" s="575"/>
      <c r="X455" s="575"/>
      <c r="Y455" s="575"/>
      <c r="Z455" s="575"/>
      <c r="AA455" s="575"/>
      <c r="AB455" s="809"/>
      <c r="AC455" s="575"/>
      <c r="AD455" s="575"/>
      <c r="AE455" s="575"/>
      <c r="AF455" s="817"/>
      <c r="AG455" s="575"/>
      <c r="AH455" s="575"/>
      <c r="AI455" s="738">
        <f t="shared" si="28"/>
        <v>0</v>
      </c>
      <c r="AJ455" s="582">
        <v>0</v>
      </c>
      <c r="AK455" s="581">
        <f t="shared" si="26"/>
        <v>0</v>
      </c>
      <c r="AL455" s="750" t="s">
        <v>1735</v>
      </c>
      <c r="AM455" s="743">
        <f t="shared" si="27"/>
        <v>31.6</v>
      </c>
    </row>
    <row r="456" spans="1:39" s="560" customFormat="1" ht="14.4" hidden="1" thickBot="1">
      <c r="A456" s="620" t="s">
        <v>494</v>
      </c>
      <c r="B456" s="621" t="s">
        <v>1349</v>
      </c>
      <c r="C456" s="628" t="s">
        <v>37</v>
      </c>
      <c r="D456" s="580"/>
      <c r="E456" s="581"/>
      <c r="F456" s="581"/>
      <c r="G456" s="778"/>
      <c r="H456" s="581"/>
      <c r="I456" s="582"/>
      <c r="J456" s="582"/>
      <c r="K456" s="582"/>
      <c r="L456" s="575"/>
      <c r="M456" s="575"/>
      <c r="N456" s="809"/>
      <c r="O456" s="575"/>
      <c r="P456" s="575"/>
      <c r="Q456" s="575"/>
      <c r="R456" s="575"/>
      <c r="S456" s="575"/>
      <c r="T456" s="575"/>
      <c r="U456" s="809"/>
      <c r="V456" s="575"/>
      <c r="W456" s="575"/>
      <c r="X456" s="575"/>
      <c r="Y456" s="575"/>
      <c r="Z456" s="575"/>
      <c r="AA456" s="575"/>
      <c r="AB456" s="809"/>
      <c r="AC456" s="575"/>
      <c r="AD456" s="575"/>
      <c r="AE456" s="575"/>
      <c r="AF456" s="817"/>
      <c r="AG456" s="575"/>
      <c r="AH456" s="575"/>
      <c r="AI456" s="738">
        <f t="shared" si="28"/>
        <v>0</v>
      </c>
      <c r="AJ456" s="582">
        <v>0</v>
      </c>
      <c r="AK456" s="581">
        <f t="shared" si="26"/>
        <v>0</v>
      </c>
      <c r="AL456" s="750" t="s">
        <v>1736</v>
      </c>
      <c r="AM456" s="743">
        <f t="shared" si="27"/>
        <v>46.35</v>
      </c>
    </row>
    <row r="457" spans="1:39" s="560" customFormat="1" ht="14.4" hidden="1" thickBot="1">
      <c r="A457" s="620" t="s">
        <v>1021</v>
      </c>
      <c r="B457" s="621" t="s">
        <v>1350</v>
      </c>
      <c r="C457" s="628" t="s">
        <v>1436</v>
      </c>
      <c r="D457" s="580"/>
      <c r="E457" s="581"/>
      <c r="F457" s="581"/>
      <c r="G457" s="778"/>
      <c r="H457" s="581"/>
      <c r="I457" s="582"/>
      <c r="J457" s="582"/>
      <c r="K457" s="582"/>
      <c r="L457" s="575"/>
      <c r="M457" s="575"/>
      <c r="N457" s="809"/>
      <c r="O457" s="575"/>
      <c r="P457" s="575"/>
      <c r="Q457" s="575"/>
      <c r="R457" s="575"/>
      <c r="S457" s="575"/>
      <c r="T457" s="575"/>
      <c r="U457" s="809"/>
      <c r="V457" s="575"/>
      <c r="W457" s="575"/>
      <c r="X457" s="575"/>
      <c r="Y457" s="575"/>
      <c r="Z457" s="575"/>
      <c r="AA457" s="575"/>
      <c r="AB457" s="809"/>
      <c r="AC457" s="575"/>
      <c r="AD457" s="575"/>
      <c r="AE457" s="575"/>
      <c r="AF457" s="817"/>
      <c r="AG457" s="575"/>
      <c r="AH457" s="575"/>
      <c r="AI457" s="738">
        <f t="shared" si="28"/>
        <v>0</v>
      </c>
      <c r="AJ457" s="582">
        <v>0</v>
      </c>
      <c r="AK457" s="581">
        <f t="shared" si="26"/>
        <v>0</v>
      </c>
      <c r="AL457" s="750" t="s">
        <v>1603</v>
      </c>
      <c r="AM457" s="743">
        <f t="shared" si="27"/>
        <v>6</v>
      </c>
    </row>
    <row r="458" spans="1:39" s="560" customFormat="1" ht="14.4" hidden="1" thickBot="1">
      <c r="A458" s="620" t="s">
        <v>1022</v>
      </c>
      <c r="B458" s="621" t="s">
        <v>1351</v>
      </c>
      <c r="C458" s="628" t="s">
        <v>1437</v>
      </c>
      <c r="D458" s="580"/>
      <c r="E458" s="581"/>
      <c r="F458" s="581"/>
      <c r="G458" s="778"/>
      <c r="H458" s="581"/>
      <c r="I458" s="582"/>
      <c r="J458" s="582"/>
      <c r="K458" s="582"/>
      <c r="L458" s="575"/>
      <c r="M458" s="575"/>
      <c r="N458" s="809"/>
      <c r="O458" s="575"/>
      <c r="P458" s="575"/>
      <c r="Q458" s="575"/>
      <c r="R458" s="575"/>
      <c r="S458" s="575"/>
      <c r="T458" s="575"/>
      <c r="U458" s="809"/>
      <c r="V458" s="575"/>
      <c r="W458" s="575"/>
      <c r="X458" s="575"/>
      <c r="Y458" s="575"/>
      <c r="Z458" s="575"/>
      <c r="AA458" s="575"/>
      <c r="AB458" s="809"/>
      <c r="AC458" s="575"/>
      <c r="AD458" s="575"/>
      <c r="AE458" s="575"/>
      <c r="AF458" s="817"/>
      <c r="AG458" s="575"/>
      <c r="AH458" s="575"/>
      <c r="AI458" s="738">
        <f t="shared" si="28"/>
        <v>0</v>
      </c>
      <c r="AJ458" s="582">
        <v>0</v>
      </c>
      <c r="AK458" s="581">
        <f t="shared" si="26"/>
        <v>0</v>
      </c>
      <c r="AL458" s="750" t="s">
        <v>1441</v>
      </c>
      <c r="AM458" s="743">
        <f t="shared" si="27"/>
        <v>1</v>
      </c>
    </row>
    <row r="459" spans="1:39" s="560" customFormat="1" ht="14.4" hidden="1" thickBot="1">
      <c r="A459" s="620" t="s">
        <v>1023</v>
      </c>
      <c r="B459" s="621" t="s">
        <v>1352</v>
      </c>
      <c r="C459" s="628" t="s">
        <v>1436</v>
      </c>
      <c r="D459" s="580"/>
      <c r="E459" s="581"/>
      <c r="F459" s="581"/>
      <c r="G459" s="778"/>
      <c r="H459" s="581"/>
      <c r="I459" s="582"/>
      <c r="J459" s="582"/>
      <c r="K459" s="582"/>
      <c r="L459" s="575"/>
      <c r="M459" s="575"/>
      <c r="N459" s="809"/>
      <c r="O459" s="575"/>
      <c r="P459" s="575"/>
      <c r="Q459" s="575"/>
      <c r="R459" s="575"/>
      <c r="S459" s="575"/>
      <c r="T459" s="575"/>
      <c r="U459" s="809"/>
      <c r="V459" s="575"/>
      <c r="W459" s="575"/>
      <c r="X459" s="575"/>
      <c r="Y459" s="575"/>
      <c r="Z459" s="575"/>
      <c r="AA459" s="575"/>
      <c r="AB459" s="809"/>
      <c r="AC459" s="575"/>
      <c r="AD459" s="575"/>
      <c r="AE459" s="575"/>
      <c r="AF459" s="817"/>
      <c r="AG459" s="575"/>
      <c r="AH459" s="575"/>
      <c r="AI459" s="738">
        <f t="shared" si="28"/>
        <v>0</v>
      </c>
      <c r="AJ459" s="582">
        <v>0</v>
      </c>
      <c r="AK459" s="581">
        <f t="shared" si="26"/>
        <v>0</v>
      </c>
      <c r="AL459" s="750" t="s">
        <v>1684</v>
      </c>
      <c r="AM459" s="743">
        <f t="shared" si="27"/>
        <v>2</v>
      </c>
    </row>
    <row r="460" spans="1:39" s="560" customFormat="1" ht="14.4" hidden="1" thickBot="1">
      <c r="A460" s="620" t="s">
        <v>1024</v>
      </c>
      <c r="B460" s="621" t="s">
        <v>1353</v>
      </c>
      <c r="C460" s="628"/>
      <c r="D460" s="580"/>
      <c r="E460" s="581"/>
      <c r="F460" s="581"/>
      <c r="G460" s="778"/>
      <c r="H460" s="581"/>
      <c r="I460" s="582"/>
      <c r="J460" s="582"/>
      <c r="K460" s="582"/>
      <c r="L460" s="575"/>
      <c r="M460" s="575"/>
      <c r="N460" s="809"/>
      <c r="O460" s="575"/>
      <c r="P460" s="575"/>
      <c r="Q460" s="575"/>
      <c r="R460" s="575"/>
      <c r="S460" s="575"/>
      <c r="T460" s="575"/>
      <c r="U460" s="809"/>
      <c r="V460" s="575"/>
      <c r="W460" s="575"/>
      <c r="X460" s="575"/>
      <c r="Y460" s="575"/>
      <c r="Z460" s="575"/>
      <c r="AA460" s="575"/>
      <c r="AB460" s="809"/>
      <c r="AC460" s="575"/>
      <c r="AD460" s="575"/>
      <c r="AE460" s="575"/>
      <c r="AF460" s="817"/>
      <c r="AG460" s="575"/>
      <c r="AH460" s="575"/>
      <c r="AI460" s="738">
        <f t="shared" si="28"/>
        <v>0</v>
      </c>
      <c r="AJ460" s="582">
        <v>0</v>
      </c>
      <c r="AK460" s="581">
        <f t="shared" si="26"/>
        <v>0</v>
      </c>
      <c r="AL460" s="750"/>
      <c r="AM460" s="743">
        <f t="shared" si="27"/>
        <v>0</v>
      </c>
    </row>
    <row r="461" spans="1:39" s="560" customFormat="1" ht="14.4" hidden="1" thickBot="1">
      <c r="A461" s="620" t="s">
        <v>495</v>
      </c>
      <c r="B461" s="621" t="s">
        <v>1354</v>
      </c>
      <c r="C461" s="628" t="s">
        <v>63</v>
      </c>
      <c r="D461" s="580"/>
      <c r="E461" s="581"/>
      <c r="F461" s="581"/>
      <c r="G461" s="778"/>
      <c r="H461" s="581"/>
      <c r="I461" s="582"/>
      <c r="J461" s="582"/>
      <c r="K461" s="582"/>
      <c r="L461" s="575"/>
      <c r="M461" s="575"/>
      <c r="N461" s="809"/>
      <c r="O461" s="575"/>
      <c r="P461" s="575"/>
      <c r="Q461" s="575"/>
      <c r="R461" s="575"/>
      <c r="S461" s="575"/>
      <c r="T461" s="575"/>
      <c r="U461" s="809"/>
      <c r="V461" s="575"/>
      <c r="W461" s="575"/>
      <c r="X461" s="575"/>
      <c r="Y461" s="575"/>
      <c r="Z461" s="575"/>
      <c r="AA461" s="575"/>
      <c r="AB461" s="809"/>
      <c r="AC461" s="575"/>
      <c r="AD461" s="575"/>
      <c r="AE461" s="575"/>
      <c r="AF461" s="817"/>
      <c r="AG461" s="575"/>
      <c r="AH461" s="575"/>
      <c r="AI461" s="738">
        <f t="shared" si="28"/>
        <v>0</v>
      </c>
      <c r="AJ461" s="582">
        <v>0</v>
      </c>
      <c r="AK461" s="581">
        <f t="shared" si="26"/>
        <v>0</v>
      </c>
      <c r="AL461" s="750" t="s">
        <v>1441</v>
      </c>
      <c r="AM461" s="743">
        <f t="shared" si="27"/>
        <v>1</v>
      </c>
    </row>
    <row r="462" spans="1:39" s="560" customFormat="1" ht="14.4" hidden="1" thickBot="1">
      <c r="A462" s="620" t="s">
        <v>496</v>
      </c>
      <c r="B462" s="621" t="s">
        <v>1355</v>
      </c>
      <c r="C462" s="628" t="s">
        <v>37</v>
      </c>
      <c r="D462" s="580"/>
      <c r="E462" s="581"/>
      <c r="F462" s="581"/>
      <c r="G462" s="778"/>
      <c r="H462" s="581"/>
      <c r="I462" s="582"/>
      <c r="J462" s="582"/>
      <c r="K462" s="582"/>
      <c r="L462" s="575"/>
      <c r="M462" s="575"/>
      <c r="N462" s="809"/>
      <c r="O462" s="575"/>
      <c r="P462" s="575"/>
      <c r="Q462" s="575"/>
      <c r="R462" s="575"/>
      <c r="S462" s="575"/>
      <c r="T462" s="575"/>
      <c r="U462" s="809"/>
      <c r="V462" s="575"/>
      <c r="W462" s="575"/>
      <c r="X462" s="575"/>
      <c r="Y462" s="575"/>
      <c r="Z462" s="575"/>
      <c r="AA462" s="575"/>
      <c r="AB462" s="809"/>
      <c r="AC462" s="575"/>
      <c r="AD462" s="575"/>
      <c r="AE462" s="575"/>
      <c r="AF462" s="817"/>
      <c r="AG462" s="575"/>
      <c r="AH462" s="575"/>
      <c r="AI462" s="738">
        <f t="shared" si="28"/>
        <v>0</v>
      </c>
      <c r="AJ462" s="582">
        <v>0</v>
      </c>
      <c r="AK462" s="581">
        <f t="shared" si="26"/>
        <v>0</v>
      </c>
      <c r="AL462" s="750" t="s">
        <v>1737</v>
      </c>
      <c r="AM462" s="743">
        <f t="shared" si="27"/>
        <v>77.95</v>
      </c>
    </row>
    <row r="463" spans="1:39" s="560" customFormat="1" ht="14.4" hidden="1" thickBot="1">
      <c r="A463" s="620" t="s">
        <v>1025</v>
      </c>
      <c r="B463" s="621" t="s">
        <v>1356</v>
      </c>
      <c r="C463" s="628"/>
      <c r="D463" s="580"/>
      <c r="E463" s="581"/>
      <c r="F463" s="581"/>
      <c r="G463" s="778"/>
      <c r="H463" s="581"/>
      <c r="I463" s="582"/>
      <c r="J463" s="582"/>
      <c r="K463" s="582"/>
      <c r="L463" s="575"/>
      <c r="M463" s="575"/>
      <c r="N463" s="809"/>
      <c r="O463" s="575"/>
      <c r="P463" s="575"/>
      <c r="Q463" s="575"/>
      <c r="R463" s="575"/>
      <c r="S463" s="575"/>
      <c r="T463" s="575"/>
      <c r="U463" s="809"/>
      <c r="V463" s="575"/>
      <c r="W463" s="575"/>
      <c r="X463" s="575"/>
      <c r="Y463" s="575"/>
      <c r="Z463" s="575"/>
      <c r="AA463" s="575"/>
      <c r="AB463" s="809"/>
      <c r="AC463" s="575"/>
      <c r="AD463" s="575"/>
      <c r="AE463" s="575"/>
      <c r="AF463" s="817"/>
      <c r="AG463" s="575"/>
      <c r="AH463" s="575"/>
      <c r="AI463" s="738">
        <f t="shared" si="28"/>
        <v>0</v>
      </c>
      <c r="AJ463" s="582">
        <v>0</v>
      </c>
      <c r="AK463" s="581">
        <f t="shared" si="26"/>
        <v>0</v>
      </c>
      <c r="AL463" s="750"/>
      <c r="AM463" s="743">
        <f t="shared" si="27"/>
        <v>0</v>
      </c>
    </row>
    <row r="464" spans="1:39" s="560" customFormat="1" ht="14.4" hidden="1" thickBot="1">
      <c r="A464" s="620" t="s">
        <v>1026</v>
      </c>
      <c r="B464" s="621" t="s">
        <v>1357</v>
      </c>
      <c r="C464" s="628" t="s">
        <v>37</v>
      </c>
      <c r="D464" s="580"/>
      <c r="E464" s="581"/>
      <c r="F464" s="581"/>
      <c r="G464" s="778"/>
      <c r="H464" s="581"/>
      <c r="I464" s="582"/>
      <c r="J464" s="582"/>
      <c r="K464" s="582"/>
      <c r="L464" s="575"/>
      <c r="M464" s="575"/>
      <c r="N464" s="809"/>
      <c r="O464" s="575"/>
      <c r="P464" s="575"/>
      <c r="Q464" s="575"/>
      <c r="R464" s="575"/>
      <c r="S464" s="575"/>
      <c r="T464" s="575"/>
      <c r="U464" s="809"/>
      <c r="V464" s="575"/>
      <c r="W464" s="575"/>
      <c r="X464" s="575"/>
      <c r="Y464" s="575"/>
      <c r="Z464" s="575"/>
      <c r="AA464" s="575"/>
      <c r="AB464" s="809"/>
      <c r="AC464" s="575"/>
      <c r="AD464" s="575"/>
      <c r="AE464" s="575"/>
      <c r="AF464" s="817"/>
      <c r="AG464" s="575"/>
      <c r="AH464" s="575"/>
      <c r="AI464" s="738">
        <f t="shared" si="28"/>
        <v>0</v>
      </c>
      <c r="AJ464" s="582">
        <v>0</v>
      </c>
      <c r="AK464" s="581">
        <f t="shared" si="26"/>
        <v>0</v>
      </c>
      <c r="AL464" s="750" t="s">
        <v>1738</v>
      </c>
      <c r="AM464" s="743">
        <f t="shared" si="27"/>
        <v>110.78</v>
      </c>
    </row>
    <row r="465" spans="1:39" s="560" customFormat="1" ht="14.4" hidden="1" thickBot="1">
      <c r="A465" s="620" t="s">
        <v>1027</v>
      </c>
      <c r="B465" s="621" t="s">
        <v>1358</v>
      </c>
      <c r="C465" s="628" t="s">
        <v>1436</v>
      </c>
      <c r="D465" s="580"/>
      <c r="E465" s="581"/>
      <c r="F465" s="581"/>
      <c r="G465" s="778"/>
      <c r="H465" s="581"/>
      <c r="I465" s="582"/>
      <c r="J465" s="582"/>
      <c r="K465" s="582"/>
      <c r="L465" s="575"/>
      <c r="M465" s="575"/>
      <c r="N465" s="809"/>
      <c r="O465" s="575"/>
      <c r="P465" s="575"/>
      <c r="Q465" s="575"/>
      <c r="R465" s="575"/>
      <c r="S465" s="575"/>
      <c r="T465" s="575"/>
      <c r="U465" s="809"/>
      <c r="V465" s="575"/>
      <c r="W465" s="575"/>
      <c r="X465" s="575"/>
      <c r="Y465" s="575"/>
      <c r="Z465" s="575"/>
      <c r="AA465" s="575"/>
      <c r="AB465" s="809"/>
      <c r="AC465" s="575"/>
      <c r="AD465" s="575"/>
      <c r="AE465" s="575"/>
      <c r="AF465" s="817"/>
      <c r="AG465" s="575"/>
      <c r="AH465" s="575"/>
      <c r="AI465" s="738">
        <f t="shared" si="28"/>
        <v>0</v>
      </c>
      <c r="AJ465" s="582">
        <v>0</v>
      </c>
      <c r="AK465" s="581">
        <f t="shared" si="26"/>
        <v>0</v>
      </c>
      <c r="AL465" s="750" t="s">
        <v>1739</v>
      </c>
      <c r="AM465" s="743">
        <f t="shared" si="27"/>
        <v>34</v>
      </c>
    </row>
    <row r="466" spans="1:39" s="560" customFormat="1" ht="14.4" hidden="1" thickBot="1">
      <c r="A466" s="620" t="s">
        <v>1028</v>
      </c>
      <c r="B466" s="621" t="s">
        <v>1359</v>
      </c>
      <c r="C466" s="628" t="s">
        <v>36</v>
      </c>
      <c r="D466" s="580"/>
      <c r="E466" s="581"/>
      <c r="F466" s="581"/>
      <c r="G466" s="778"/>
      <c r="H466" s="581"/>
      <c r="I466" s="582"/>
      <c r="J466" s="582"/>
      <c r="K466" s="582"/>
      <c r="L466" s="575"/>
      <c r="M466" s="575"/>
      <c r="N466" s="809"/>
      <c r="O466" s="575"/>
      <c r="P466" s="575"/>
      <c r="Q466" s="575"/>
      <c r="R466" s="575"/>
      <c r="S466" s="575"/>
      <c r="T466" s="575"/>
      <c r="U466" s="809"/>
      <c r="V466" s="575"/>
      <c r="W466" s="575"/>
      <c r="X466" s="575"/>
      <c r="Y466" s="575"/>
      <c r="Z466" s="575"/>
      <c r="AA466" s="575"/>
      <c r="AB466" s="809"/>
      <c r="AC466" s="575"/>
      <c r="AD466" s="575"/>
      <c r="AE466" s="575"/>
      <c r="AF466" s="817"/>
      <c r="AG466" s="575"/>
      <c r="AH466" s="575"/>
      <c r="AI466" s="738">
        <f t="shared" si="28"/>
        <v>0</v>
      </c>
      <c r="AJ466" s="582">
        <v>0</v>
      </c>
      <c r="AK466" s="581">
        <f t="shared" si="26"/>
        <v>0</v>
      </c>
      <c r="AL466" s="750" t="s">
        <v>1740</v>
      </c>
      <c r="AM466" s="743">
        <f t="shared" si="27"/>
        <v>35.200000000000003</v>
      </c>
    </row>
    <row r="467" spans="1:39" s="560" customFormat="1" ht="14.4" hidden="1" thickBot="1">
      <c r="A467" s="620" t="s">
        <v>1029</v>
      </c>
      <c r="B467" s="621" t="s">
        <v>1360</v>
      </c>
      <c r="C467" s="628" t="s">
        <v>39</v>
      </c>
      <c r="D467" s="580"/>
      <c r="E467" s="581"/>
      <c r="F467" s="581"/>
      <c r="G467" s="778"/>
      <c r="H467" s="581"/>
      <c r="I467" s="582"/>
      <c r="J467" s="582"/>
      <c r="K467" s="582"/>
      <c r="L467" s="575"/>
      <c r="M467" s="575"/>
      <c r="N467" s="809"/>
      <c r="O467" s="575"/>
      <c r="P467" s="575"/>
      <c r="Q467" s="575"/>
      <c r="R467" s="575"/>
      <c r="S467" s="575"/>
      <c r="T467" s="575"/>
      <c r="U467" s="809"/>
      <c r="V467" s="575"/>
      <c r="W467" s="575"/>
      <c r="X467" s="575"/>
      <c r="Y467" s="575"/>
      <c r="Z467" s="575"/>
      <c r="AA467" s="575"/>
      <c r="AB467" s="809"/>
      <c r="AC467" s="575"/>
      <c r="AD467" s="575"/>
      <c r="AE467" s="575"/>
      <c r="AF467" s="817"/>
      <c r="AG467" s="575"/>
      <c r="AH467" s="575"/>
      <c r="AI467" s="738">
        <f t="shared" si="28"/>
        <v>0</v>
      </c>
      <c r="AJ467" s="582">
        <v>0</v>
      </c>
      <c r="AK467" s="581">
        <f t="shared" si="26"/>
        <v>0</v>
      </c>
      <c r="AL467" s="750" t="s">
        <v>1741</v>
      </c>
      <c r="AM467" s="743">
        <f t="shared" si="27"/>
        <v>1.32</v>
      </c>
    </row>
    <row r="468" spans="1:39" s="560" customFormat="1" ht="14.4" hidden="1" thickBot="1">
      <c r="A468" s="620" t="s">
        <v>1030</v>
      </c>
      <c r="B468" s="621" t="s">
        <v>1361</v>
      </c>
      <c r="C468" s="628" t="s">
        <v>47</v>
      </c>
      <c r="D468" s="580"/>
      <c r="E468" s="581"/>
      <c r="F468" s="581"/>
      <c r="G468" s="778"/>
      <c r="H468" s="581"/>
      <c r="I468" s="582"/>
      <c r="J468" s="582"/>
      <c r="K468" s="582"/>
      <c r="L468" s="575"/>
      <c r="M468" s="575"/>
      <c r="N468" s="809"/>
      <c r="O468" s="575"/>
      <c r="P468" s="575"/>
      <c r="Q468" s="575"/>
      <c r="R468" s="575"/>
      <c r="S468" s="575"/>
      <c r="T468" s="575"/>
      <c r="U468" s="809"/>
      <c r="V468" s="575"/>
      <c r="W468" s="575"/>
      <c r="X468" s="575"/>
      <c r="Y468" s="575"/>
      <c r="Z468" s="575"/>
      <c r="AA468" s="575"/>
      <c r="AB468" s="809"/>
      <c r="AC468" s="575"/>
      <c r="AD468" s="575"/>
      <c r="AE468" s="575"/>
      <c r="AF468" s="817"/>
      <c r="AG468" s="575"/>
      <c r="AH468" s="575"/>
      <c r="AI468" s="738">
        <f t="shared" si="28"/>
        <v>0</v>
      </c>
      <c r="AJ468" s="582">
        <v>0</v>
      </c>
      <c r="AK468" s="581">
        <f t="shared" si="26"/>
        <v>0</v>
      </c>
      <c r="AL468" s="750" t="s">
        <v>1742</v>
      </c>
      <c r="AM468" s="743">
        <f t="shared" si="27"/>
        <v>114.4</v>
      </c>
    </row>
    <row r="469" spans="1:39" s="560" customFormat="1" ht="14.4" hidden="1" thickBot="1">
      <c r="A469" s="620" t="s">
        <v>1031</v>
      </c>
      <c r="B469" s="621" t="s">
        <v>1362</v>
      </c>
      <c r="C469" s="628" t="s">
        <v>37</v>
      </c>
      <c r="D469" s="580"/>
      <c r="E469" s="581"/>
      <c r="F469" s="581"/>
      <c r="G469" s="778"/>
      <c r="H469" s="581"/>
      <c r="I469" s="582"/>
      <c r="J469" s="582"/>
      <c r="K469" s="582"/>
      <c r="L469" s="575"/>
      <c r="M469" s="575"/>
      <c r="N469" s="809"/>
      <c r="O469" s="575"/>
      <c r="P469" s="575"/>
      <c r="Q469" s="575"/>
      <c r="R469" s="575"/>
      <c r="S469" s="575"/>
      <c r="T469" s="575"/>
      <c r="U469" s="809"/>
      <c r="V469" s="575"/>
      <c r="W469" s="575"/>
      <c r="X469" s="575"/>
      <c r="Y469" s="575"/>
      <c r="Z469" s="575"/>
      <c r="AA469" s="575"/>
      <c r="AB469" s="809"/>
      <c r="AC469" s="575"/>
      <c r="AD469" s="575"/>
      <c r="AE469" s="575"/>
      <c r="AF469" s="817"/>
      <c r="AG469" s="575"/>
      <c r="AH469" s="575"/>
      <c r="AI469" s="738">
        <f t="shared" si="28"/>
        <v>0</v>
      </c>
      <c r="AJ469" s="582">
        <v>0</v>
      </c>
      <c r="AK469" s="581">
        <f t="shared" si="26"/>
        <v>0</v>
      </c>
      <c r="AL469" s="750" t="s">
        <v>1743</v>
      </c>
      <c r="AM469" s="743">
        <f t="shared" si="27"/>
        <v>89.98</v>
      </c>
    </row>
    <row r="470" spans="1:39" s="560" customFormat="1" ht="14.4" hidden="1" thickBot="1">
      <c r="A470" s="620" t="s">
        <v>1032</v>
      </c>
      <c r="B470" s="621" t="s">
        <v>1363</v>
      </c>
      <c r="C470" s="628" t="s">
        <v>37</v>
      </c>
      <c r="D470" s="580"/>
      <c r="E470" s="581"/>
      <c r="F470" s="581"/>
      <c r="G470" s="778"/>
      <c r="H470" s="581"/>
      <c r="I470" s="582"/>
      <c r="J470" s="582"/>
      <c r="K470" s="582"/>
      <c r="L470" s="575"/>
      <c r="M470" s="575"/>
      <c r="N470" s="809"/>
      <c r="O470" s="575"/>
      <c r="P470" s="575"/>
      <c r="Q470" s="575"/>
      <c r="R470" s="575"/>
      <c r="S470" s="575"/>
      <c r="T470" s="575"/>
      <c r="U470" s="809"/>
      <c r="V470" s="575"/>
      <c r="W470" s="575"/>
      <c r="X470" s="575"/>
      <c r="Y470" s="575"/>
      <c r="Z470" s="575"/>
      <c r="AA470" s="575"/>
      <c r="AB470" s="809"/>
      <c r="AC470" s="575"/>
      <c r="AD470" s="575"/>
      <c r="AE470" s="575"/>
      <c r="AF470" s="817"/>
      <c r="AG470" s="575"/>
      <c r="AH470" s="575"/>
      <c r="AI470" s="738">
        <f t="shared" si="28"/>
        <v>0</v>
      </c>
      <c r="AJ470" s="582">
        <v>0</v>
      </c>
      <c r="AK470" s="581">
        <f t="shared" ref="AK470:AK533" si="29">AI470+AJ470</f>
        <v>0</v>
      </c>
      <c r="AL470" s="750" t="s">
        <v>1744</v>
      </c>
      <c r="AM470" s="743">
        <f t="shared" ref="AM470:AM533" si="30">AL470-AK470</f>
        <v>33.78</v>
      </c>
    </row>
    <row r="471" spans="1:39" s="560" customFormat="1" ht="14.4" hidden="1" thickBot="1">
      <c r="A471" s="620" t="s">
        <v>1033</v>
      </c>
      <c r="B471" s="621" t="s">
        <v>1339</v>
      </c>
      <c r="C471" s="628" t="s">
        <v>39</v>
      </c>
      <c r="D471" s="580"/>
      <c r="E471" s="581"/>
      <c r="F471" s="581"/>
      <c r="G471" s="778"/>
      <c r="H471" s="581"/>
      <c r="I471" s="582"/>
      <c r="J471" s="582"/>
      <c r="K471" s="582"/>
      <c r="L471" s="575"/>
      <c r="M471" s="575"/>
      <c r="N471" s="809"/>
      <c r="O471" s="575"/>
      <c r="P471" s="575"/>
      <c r="Q471" s="575"/>
      <c r="R471" s="575"/>
      <c r="S471" s="575"/>
      <c r="T471" s="575"/>
      <c r="U471" s="809"/>
      <c r="V471" s="575"/>
      <c r="W471" s="575"/>
      <c r="X471" s="575"/>
      <c r="Y471" s="575"/>
      <c r="Z471" s="575"/>
      <c r="AA471" s="575"/>
      <c r="AB471" s="809"/>
      <c r="AC471" s="575"/>
      <c r="AD471" s="575"/>
      <c r="AE471" s="575"/>
      <c r="AF471" s="817"/>
      <c r="AG471" s="575"/>
      <c r="AH471" s="575"/>
      <c r="AI471" s="738">
        <f t="shared" si="28"/>
        <v>0</v>
      </c>
      <c r="AJ471" s="582">
        <v>0</v>
      </c>
      <c r="AK471" s="581">
        <f t="shared" si="29"/>
        <v>0</v>
      </c>
      <c r="AL471" s="750" t="s">
        <v>1745</v>
      </c>
      <c r="AM471" s="743">
        <f t="shared" si="30"/>
        <v>18</v>
      </c>
    </row>
    <row r="472" spans="1:39" s="560" customFormat="1" ht="14.4" hidden="1" thickBot="1">
      <c r="A472" s="620" t="s">
        <v>1034</v>
      </c>
      <c r="B472" s="621" t="s">
        <v>1364</v>
      </c>
      <c r="C472" s="628" t="s">
        <v>37</v>
      </c>
      <c r="D472" s="580"/>
      <c r="E472" s="581"/>
      <c r="F472" s="581"/>
      <c r="G472" s="778"/>
      <c r="H472" s="581"/>
      <c r="I472" s="582"/>
      <c r="J472" s="582"/>
      <c r="K472" s="582"/>
      <c r="L472" s="575"/>
      <c r="M472" s="575"/>
      <c r="N472" s="809"/>
      <c r="O472" s="575"/>
      <c r="P472" s="575"/>
      <c r="Q472" s="575"/>
      <c r="R472" s="575"/>
      <c r="S472" s="575"/>
      <c r="T472" s="575"/>
      <c r="U472" s="809"/>
      <c r="V472" s="575"/>
      <c r="W472" s="575"/>
      <c r="X472" s="575"/>
      <c r="Y472" s="575"/>
      <c r="Z472" s="575"/>
      <c r="AA472" s="575"/>
      <c r="AB472" s="809"/>
      <c r="AC472" s="575"/>
      <c r="AD472" s="575"/>
      <c r="AE472" s="575"/>
      <c r="AF472" s="817"/>
      <c r="AG472" s="575"/>
      <c r="AH472" s="575"/>
      <c r="AI472" s="738">
        <f t="shared" si="28"/>
        <v>0</v>
      </c>
      <c r="AJ472" s="582">
        <v>0</v>
      </c>
      <c r="AK472" s="581">
        <f t="shared" si="29"/>
        <v>0</v>
      </c>
      <c r="AL472" s="750" t="s">
        <v>1746</v>
      </c>
      <c r="AM472" s="743">
        <f t="shared" si="30"/>
        <v>56.2</v>
      </c>
    </row>
    <row r="473" spans="1:39" s="560" customFormat="1" ht="14.4" hidden="1" thickBot="1">
      <c r="A473" s="620" t="s">
        <v>1035</v>
      </c>
      <c r="B473" s="621" t="s">
        <v>1365</v>
      </c>
      <c r="C473" s="628" t="s">
        <v>37</v>
      </c>
      <c r="D473" s="580"/>
      <c r="E473" s="581"/>
      <c r="F473" s="581"/>
      <c r="G473" s="778"/>
      <c r="H473" s="581"/>
      <c r="I473" s="582"/>
      <c r="J473" s="582"/>
      <c r="K473" s="582"/>
      <c r="L473" s="575"/>
      <c r="M473" s="575"/>
      <c r="N473" s="809"/>
      <c r="O473" s="575"/>
      <c r="P473" s="575"/>
      <c r="Q473" s="575"/>
      <c r="R473" s="575"/>
      <c r="S473" s="575"/>
      <c r="T473" s="575"/>
      <c r="U473" s="809"/>
      <c r="V473" s="575"/>
      <c r="W473" s="575"/>
      <c r="X473" s="575"/>
      <c r="Y473" s="575"/>
      <c r="Z473" s="575"/>
      <c r="AA473" s="575"/>
      <c r="AB473" s="809"/>
      <c r="AC473" s="575"/>
      <c r="AD473" s="575"/>
      <c r="AE473" s="575"/>
      <c r="AF473" s="817"/>
      <c r="AG473" s="575"/>
      <c r="AH473" s="575"/>
      <c r="AI473" s="738">
        <f t="shared" si="28"/>
        <v>0</v>
      </c>
      <c r="AJ473" s="582">
        <v>0</v>
      </c>
      <c r="AK473" s="581">
        <f t="shared" si="29"/>
        <v>0</v>
      </c>
      <c r="AL473" s="750" t="s">
        <v>1746</v>
      </c>
      <c r="AM473" s="743">
        <f t="shared" si="30"/>
        <v>56.2</v>
      </c>
    </row>
    <row r="474" spans="1:39" s="560" customFormat="1" ht="14.4" hidden="1" thickBot="1">
      <c r="A474" s="620" t="s">
        <v>1036</v>
      </c>
      <c r="B474" s="621" t="s">
        <v>1366</v>
      </c>
      <c r="C474" s="628" t="s">
        <v>36</v>
      </c>
      <c r="D474" s="580"/>
      <c r="E474" s="581"/>
      <c r="F474" s="581"/>
      <c r="G474" s="778"/>
      <c r="H474" s="581"/>
      <c r="I474" s="582"/>
      <c r="J474" s="582"/>
      <c r="K474" s="582"/>
      <c r="L474" s="575"/>
      <c r="M474" s="575"/>
      <c r="N474" s="809"/>
      <c r="O474" s="575"/>
      <c r="P474" s="575"/>
      <c r="Q474" s="575"/>
      <c r="R474" s="575"/>
      <c r="S474" s="575"/>
      <c r="T474" s="575"/>
      <c r="U474" s="809"/>
      <c r="V474" s="575"/>
      <c r="W474" s="575"/>
      <c r="X474" s="575"/>
      <c r="Y474" s="575"/>
      <c r="Z474" s="575"/>
      <c r="AA474" s="575"/>
      <c r="AB474" s="809"/>
      <c r="AC474" s="575"/>
      <c r="AD474" s="575"/>
      <c r="AE474" s="575"/>
      <c r="AF474" s="817"/>
      <c r="AG474" s="575"/>
      <c r="AH474" s="575"/>
      <c r="AI474" s="738">
        <f t="shared" si="28"/>
        <v>0</v>
      </c>
      <c r="AJ474" s="582">
        <v>0</v>
      </c>
      <c r="AK474" s="581">
        <f t="shared" si="29"/>
        <v>0</v>
      </c>
      <c r="AL474" s="750" t="s">
        <v>1747</v>
      </c>
      <c r="AM474" s="743">
        <f t="shared" si="30"/>
        <v>59.01</v>
      </c>
    </row>
    <row r="475" spans="1:39" s="560" customFormat="1" ht="14.4" hidden="1" thickBot="1">
      <c r="A475" s="620" t="s">
        <v>1037</v>
      </c>
      <c r="B475" s="621" t="s">
        <v>1367</v>
      </c>
      <c r="C475" s="628" t="s">
        <v>37</v>
      </c>
      <c r="D475" s="580"/>
      <c r="E475" s="581"/>
      <c r="F475" s="581"/>
      <c r="G475" s="778"/>
      <c r="H475" s="581"/>
      <c r="I475" s="582"/>
      <c r="J475" s="582"/>
      <c r="K475" s="582"/>
      <c r="L475" s="575"/>
      <c r="M475" s="575"/>
      <c r="N475" s="809"/>
      <c r="O475" s="575"/>
      <c r="P475" s="575"/>
      <c r="Q475" s="575"/>
      <c r="R475" s="575"/>
      <c r="S475" s="575"/>
      <c r="T475" s="575"/>
      <c r="U475" s="809"/>
      <c r="V475" s="575"/>
      <c r="W475" s="575"/>
      <c r="X475" s="575"/>
      <c r="Y475" s="575"/>
      <c r="Z475" s="575"/>
      <c r="AA475" s="575"/>
      <c r="AB475" s="809"/>
      <c r="AC475" s="575"/>
      <c r="AD475" s="575"/>
      <c r="AE475" s="575"/>
      <c r="AF475" s="817"/>
      <c r="AG475" s="575"/>
      <c r="AH475" s="575"/>
      <c r="AI475" s="738">
        <f t="shared" si="28"/>
        <v>0</v>
      </c>
      <c r="AJ475" s="582">
        <v>0</v>
      </c>
      <c r="AK475" s="581">
        <f t="shared" si="29"/>
        <v>0</v>
      </c>
      <c r="AL475" s="750" t="s">
        <v>1748</v>
      </c>
      <c r="AM475" s="743">
        <f t="shared" si="30"/>
        <v>36.119999999999997</v>
      </c>
    </row>
    <row r="476" spans="1:39" s="560" customFormat="1" ht="14.4" hidden="1" thickBot="1">
      <c r="A476" s="620" t="s">
        <v>1038</v>
      </c>
      <c r="B476" s="621" t="s">
        <v>1368</v>
      </c>
      <c r="C476" s="628" t="s">
        <v>37</v>
      </c>
      <c r="D476" s="580"/>
      <c r="E476" s="581"/>
      <c r="F476" s="581"/>
      <c r="G476" s="778"/>
      <c r="H476" s="581"/>
      <c r="I476" s="582"/>
      <c r="J476" s="582"/>
      <c r="K476" s="582"/>
      <c r="L476" s="575"/>
      <c r="M476" s="575"/>
      <c r="N476" s="809"/>
      <c r="O476" s="575"/>
      <c r="P476" s="575"/>
      <c r="Q476" s="575"/>
      <c r="R476" s="575"/>
      <c r="S476" s="575"/>
      <c r="T476" s="575"/>
      <c r="U476" s="809"/>
      <c r="V476" s="575"/>
      <c r="W476" s="575"/>
      <c r="X476" s="575"/>
      <c r="Y476" s="575"/>
      <c r="Z476" s="575"/>
      <c r="AA476" s="575"/>
      <c r="AB476" s="809"/>
      <c r="AC476" s="575"/>
      <c r="AD476" s="575"/>
      <c r="AE476" s="575"/>
      <c r="AF476" s="817"/>
      <c r="AG476" s="575"/>
      <c r="AH476" s="575"/>
      <c r="AI476" s="738">
        <f t="shared" si="28"/>
        <v>0</v>
      </c>
      <c r="AJ476" s="582">
        <v>0</v>
      </c>
      <c r="AK476" s="581">
        <f t="shared" si="29"/>
        <v>0</v>
      </c>
      <c r="AL476" s="750" t="s">
        <v>1656</v>
      </c>
      <c r="AM476" s="743">
        <f t="shared" si="30"/>
        <v>20</v>
      </c>
    </row>
    <row r="477" spans="1:39" s="560" customFormat="1" ht="14.4" hidden="1" thickBot="1">
      <c r="A477" s="620" t="s">
        <v>497</v>
      </c>
      <c r="B477" s="621" t="s">
        <v>1369</v>
      </c>
      <c r="C477" s="628"/>
      <c r="D477" s="580"/>
      <c r="E477" s="581"/>
      <c r="F477" s="581"/>
      <c r="G477" s="778"/>
      <c r="H477" s="581"/>
      <c r="I477" s="582"/>
      <c r="J477" s="582"/>
      <c r="K477" s="582"/>
      <c r="L477" s="575"/>
      <c r="M477" s="575"/>
      <c r="N477" s="809"/>
      <c r="O477" s="575"/>
      <c r="P477" s="575"/>
      <c r="Q477" s="575"/>
      <c r="R477" s="575"/>
      <c r="S477" s="575"/>
      <c r="T477" s="575"/>
      <c r="U477" s="809"/>
      <c r="V477" s="575"/>
      <c r="W477" s="575"/>
      <c r="X477" s="575"/>
      <c r="Y477" s="575"/>
      <c r="Z477" s="575"/>
      <c r="AA477" s="575"/>
      <c r="AB477" s="809"/>
      <c r="AC477" s="575"/>
      <c r="AD477" s="575"/>
      <c r="AE477" s="575"/>
      <c r="AF477" s="817"/>
      <c r="AG477" s="575"/>
      <c r="AH477" s="575"/>
      <c r="AI477" s="738">
        <f t="shared" si="28"/>
        <v>0</v>
      </c>
      <c r="AJ477" s="582">
        <v>0</v>
      </c>
      <c r="AK477" s="581">
        <f t="shared" si="29"/>
        <v>0</v>
      </c>
      <c r="AL477" s="750"/>
      <c r="AM477" s="743">
        <f t="shared" si="30"/>
        <v>0</v>
      </c>
    </row>
    <row r="478" spans="1:39" s="560" customFormat="1" ht="14.4" hidden="1" thickBot="1">
      <c r="A478" s="620" t="s">
        <v>498</v>
      </c>
      <c r="B478" s="621" t="s">
        <v>1370</v>
      </c>
      <c r="C478" s="628"/>
      <c r="D478" s="580"/>
      <c r="E478" s="581"/>
      <c r="F478" s="581"/>
      <c r="G478" s="778"/>
      <c r="H478" s="581"/>
      <c r="I478" s="582"/>
      <c r="J478" s="582"/>
      <c r="K478" s="582"/>
      <c r="L478" s="575"/>
      <c r="M478" s="575"/>
      <c r="N478" s="809"/>
      <c r="O478" s="575"/>
      <c r="P478" s="575"/>
      <c r="Q478" s="575"/>
      <c r="R478" s="575"/>
      <c r="S478" s="575"/>
      <c r="T478" s="575"/>
      <c r="U478" s="809"/>
      <c r="V478" s="575"/>
      <c r="W478" s="575"/>
      <c r="X478" s="575"/>
      <c r="Y478" s="575"/>
      <c r="Z478" s="575"/>
      <c r="AA478" s="575"/>
      <c r="AB478" s="809"/>
      <c r="AC478" s="575"/>
      <c r="AD478" s="575"/>
      <c r="AE478" s="575"/>
      <c r="AF478" s="817"/>
      <c r="AG478" s="575"/>
      <c r="AH478" s="575"/>
      <c r="AI478" s="738">
        <f t="shared" si="28"/>
        <v>0</v>
      </c>
      <c r="AJ478" s="582">
        <v>0</v>
      </c>
      <c r="AK478" s="581">
        <f t="shared" si="29"/>
        <v>0</v>
      </c>
      <c r="AL478" s="750"/>
      <c r="AM478" s="743">
        <f t="shared" si="30"/>
        <v>0</v>
      </c>
    </row>
    <row r="479" spans="1:39" s="560" customFormat="1" ht="14.4" hidden="1" thickBot="1">
      <c r="A479" s="620" t="s">
        <v>1039</v>
      </c>
      <c r="B479" s="621" t="s">
        <v>1371</v>
      </c>
      <c r="C479" s="628"/>
      <c r="D479" s="580"/>
      <c r="E479" s="581"/>
      <c r="F479" s="581"/>
      <c r="G479" s="778"/>
      <c r="H479" s="581"/>
      <c r="I479" s="582"/>
      <c r="J479" s="582"/>
      <c r="K479" s="582"/>
      <c r="L479" s="575"/>
      <c r="M479" s="575"/>
      <c r="N479" s="809"/>
      <c r="O479" s="575"/>
      <c r="P479" s="575"/>
      <c r="Q479" s="575"/>
      <c r="R479" s="575"/>
      <c r="S479" s="575"/>
      <c r="T479" s="575"/>
      <c r="U479" s="809"/>
      <c r="V479" s="575"/>
      <c r="W479" s="575"/>
      <c r="X479" s="575"/>
      <c r="Y479" s="575"/>
      <c r="Z479" s="575"/>
      <c r="AA479" s="575"/>
      <c r="AB479" s="809"/>
      <c r="AC479" s="575"/>
      <c r="AD479" s="575"/>
      <c r="AE479" s="575"/>
      <c r="AF479" s="817"/>
      <c r="AG479" s="575"/>
      <c r="AH479" s="575"/>
      <c r="AI479" s="738">
        <f t="shared" si="28"/>
        <v>0</v>
      </c>
      <c r="AJ479" s="582">
        <v>0</v>
      </c>
      <c r="AK479" s="581">
        <f t="shared" si="29"/>
        <v>0</v>
      </c>
      <c r="AL479" s="750"/>
      <c r="AM479" s="743">
        <f t="shared" si="30"/>
        <v>0</v>
      </c>
    </row>
    <row r="480" spans="1:39" s="560" customFormat="1" ht="14.4" hidden="1" thickBot="1">
      <c r="A480" s="620" t="s">
        <v>1040</v>
      </c>
      <c r="B480" s="621" t="s">
        <v>1372</v>
      </c>
      <c r="C480" s="628" t="s">
        <v>1439</v>
      </c>
      <c r="D480" s="580"/>
      <c r="E480" s="581"/>
      <c r="F480" s="581"/>
      <c r="G480" s="778"/>
      <c r="H480" s="581"/>
      <c r="I480" s="582"/>
      <c r="J480" s="582"/>
      <c r="K480" s="582"/>
      <c r="L480" s="575"/>
      <c r="M480" s="575"/>
      <c r="N480" s="809"/>
      <c r="O480" s="575"/>
      <c r="P480" s="575"/>
      <c r="Q480" s="575"/>
      <c r="R480" s="575"/>
      <c r="S480" s="575"/>
      <c r="T480" s="575"/>
      <c r="U480" s="809"/>
      <c r="V480" s="575"/>
      <c r="W480" s="575"/>
      <c r="X480" s="575"/>
      <c r="Y480" s="575"/>
      <c r="Z480" s="575"/>
      <c r="AA480" s="575"/>
      <c r="AB480" s="809"/>
      <c r="AC480" s="575"/>
      <c r="AD480" s="575"/>
      <c r="AE480" s="575"/>
      <c r="AF480" s="817"/>
      <c r="AG480" s="575"/>
      <c r="AH480" s="575"/>
      <c r="AI480" s="738">
        <f t="shared" si="28"/>
        <v>0</v>
      </c>
      <c r="AJ480" s="582">
        <v>0</v>
      </c>
      <c r="AK480" s="581">
        <f t="shared" si="29"/>
        <v>0</v>
      </c>
      <c r="AL480" s="750" t="s">
        <v>1441</v>
      </c>
      <c r="AM480" s="743">
        <f t="shared" si="30"/>
        <v>1</v>
      </c>
    </row>
    <row r="481" spans="1:39" s="560" customFormat="1" ht="14.4" hidden="1" thickBot="1">
      <c r="A481" s="620" t="s">
        <v>1041</v>
      </c>
      <c r="B481" s="621" t="s">
        <v>1373</v>
      </c>
      <c r="C481" s="628" t="s">
        <v>1439</v>
      </c>
      <c r="D481" s="580"/>
      <c r="E481" s="581"/>
      <c r="F481" s="581"/>
      <c r="G481" s="778"/>
      <c r="H481" s="581"/>
      <c r="I481" s="582"/>
      <c r="J481" s="582"/>
      <c r="K481" s="582"/>
      <c r="L481" s="575"/>
      <c r="M481" s="575"/>
      <c r="N481" s="809"/>
      <c r="O481" s="575"/>
      <c r="P481" s="575"/>
      <c r="Q481" s="575"/>
      <c r="R481" s="575"/>
      <c r="S481" s="575"/>
      <c r="T481" s="575"/>
      <c r="U481" s="809"/>
      <c r="V481" s="575"/>
      <c r="W481" s="575"/>
      <c r="X481" s="575"/>
      <c r="Y481" s="575"/>
      <c r="Z481" s="575"/>
      <c r="AA481" s="575"/>
      <c r="AB481" s="809"/>
      <c r="AC481" s="575"/>
      <c r="AD481" s="575"/>
      <c r="AE481" s="575"/>
      <c r="AF481" s="817"/>
      <c r="AG481" s="575"/>
      <c r="AH481" s="575"/>
      <c r="AI481" s="738">
        <f t="shared" si="28"/>
        <v>0</v>
      </c>
      <c r="AJ481" s="582">
        <v>0</v>
      </c>
      <c r="AK481" s="581">
        <f t="shared" si="29"/>
        <v>0</v>
      </c>
      <c r="AL481" s="750" t="s">
        <v>1441</v>
      </c>
      <c r="AM481" s="743">
        <f t="shared" si="30"/>
        <v>1</v>
      </c>
    </row>
    <row r="482" spans="1:39" s="560" customFormat="1" ht="14.4" hidden="1" thickBot="1">
      <c r="A482" s="620" t="s">
        <v>1042</v>
      </c>
      <c r="B482" s="621" t="s">
        <v>1374</v>
      </c>
      <c r="C482" s="628" t="s">
        <v>1439</v>
      </c>
      <c r="D482" s="580"/>
      <c r="E482" s="581"/>
      <c r="F482" s="581"/>
      <c r="G482" s="778"/>
      <c r="H482" s="581"/>
      <c r="I482" s="582"/>
      <c r="J482" s="582"/>
      <c r="K482" s="582"/>
      <c r="L482" s="575"/>
      <c r="M482" s="575"/>
      <c r="N482" s="809"/>
      <c r="O482" s="575"/>
      <c r="P482" s="575"/>
      <c r="Q482" s="575"/>
      <c r="R482" s="575"/>
      <c r="S482" s="575"/>
      <c r="T482" s="575"/>
      <c r="U482" s="809"/>
      <c r="V482" s="575"/>
      <c r="W482" s="575"/>
      <c r="X482" s="575"/>
      <c r="Y482" s="575"/>
      <c r="Z482" s="575"/>
      <c r="AA482" s="575"/>
      <c r="AB482" s="809"/>
      <c r="AC482" s="575"/>
      <c r="AD482" s="575"/>
      <c r="AE482" s="575"/>
      <c r="AF482" s="817"/>
      <c r="AG482" s="575"/>
      <c r="AH482" s="575"/>
      <c r="AI482" s="738">
        <f t="shared" si="28"/>
        <v>0</v>
      </c>
      <c r="AJ482" s="582">
        <v>0</v>
      </c>
      <c r="AK482" s="581">
        <f t="shared" si="29"/>
        <v>0</v>
      </c>
      <c r="AL482" s="750" t="s">
        <v>1441</v>
      </c>
      <c r="AM482" s="743">
        <f t="shared" si="30"/>
        <v>1</v>
      </c>
    </row>
    <row r="483" spans="1:39" s="560" customFormat="1" ht="14.4" hidden="1" thickBot="1">
      <c r="A483" s="620" t="s">
        <v>1043</v>
      </c>
      <c r="B483" s="621" t="s">
        <v>1375</v>
      </c>
      <c r="C483" s="628" t="s">
        <v>1439</v>
      </c>
      <c r="D483" s="580"/>
      <c r="E483" s="581"/>
      <c r="F483" s="581"/>
      <c r="G483" s="778"/>
      <c r="H483" s="581"/>
      <c r="I483" s="582"/>
      <c r="J483" s="582"/>
      <c r="K483" s="582"/>
      <c r="L483" s="575"/>
      <c r="M483" s="575"/>
      <c r="N483" s="809"/>
      <c r="O483" s="575"/>
      <c r="P483" s="575"/>
      <c r="Q483" s="575"/>
      <c r="R483" s="575"/>
      <c r="S483" s="575"/>
      <c r="T483" s="575"/>
      <c r="U483" s="809"/>
      <c r="V483" s="575"/>
      <c r="W483" s="575"/>
      <c r="X483" s="575"/>
      <c r="Y483" s="575"/>
      <c r="Z483" s="575"/>
      <c r="AA483" s="575"/>
      <c r="AB483" s="809"/>
      <c r="AC483" s="575"/>
      <c r="AD483" s="575"/>
      <c r="AE483" s="575"/>
      <c r="AF483" s="817"/>
      <c r="AG483" s="575"/>
      <c r="AH483" s="575"/>
      <c r="AI483" s="738">
        <f t="shared" si="28"/>
        <v>0</v>
      </c>
      <c r="AJ483" s="582">
        <v>0</v>
      </c>
      <c r="AK483" s="581">
        <f t="shared" si="29"/>
        <v>0</v>
      </c>
      <c r="AL483" s="750" t="s">
        <v>1441</v>
      </c>
      <c r="AM483" s="743">
        <f t="shared" si="30"/>
        <v>1</v>
      </c>
    </row>
    <row r="484" spans="1:39" s="560" customFormat="1" ht="14.4" hidden="1" thickBot="1">
      <c r="A484" s="620" t="s">
        <v>1044</v>
      </c>
      <c r="B484" s="621" t="s">
        <v>1376</v>
      </c>
      <c r="C484" s="628"/>
      <c r="D484" s="580"/>
      <c r="E484" s="581"/>
      <c r="F484" s="581"/>
      <c r="G484" s="778"/>
      <c r="H484" s="581"/>
      <c r="I484" s="582"/>
      <c r="J484" s="582"/>
      <c r="K484" s="582"/>
      <c r="L484" s="575"/>
      <c r="M484" s="575"/>
      <c r="N484" s="809"/>
      <c r="O484" s="575"/>
      <c r="P484" s="575"/>
      <c r="Q484" s="575"/>
      <c r="R484" s="575"/>
      <c r="S484" s="575"/>
      <c r="T484" s="575"/>
      <c r="U484" s="809"/>
      <c r="V484" s="575"/>
      <c r="W484" s="575"/>
      <c r="X484" s="575"/>
      <c r="Y484" s="575"/>
      <c r="Z484" s="575"/>
      <c r="AA484" s="575"/>
      <c r="AB484" s="809"/>
      <c r="AC484" s="575"/>
      <c r="AD484" s="575"/>
      <c r="AE484" s="575"/>
      <c r="AF484" s="817"/>
      <c r="AG484" s="575"/>
      <c r="AH484" s="575"/>
      <c r="AI484" s="738">
        <f t="shared" si="28"/>
        <v>0</v>
      </c>
      <c r="AJ484" s="582">
        <v>0</v>
      </c>
      <c r="AK484" s="581">
        <f t="shared" si="29"/>
        <v>0</v>
      </c>
      <c r="AL484" s="750"/>
      <c r="AM484" s="743">
        <f t="shared" si="30"/>
        <v>0</v>
      </c>
    </row>
    <row r="485" spans="1:39" s="560" customFormat="1" ht="14.4" hidden="1" thickBot="1">
      <c r="A485" s="620" t="s">
        <v>1045</v>
      </c>
      <c r="B485" s="621" t="s">
        <v>1376</v>
      </c>
      <c r="C485" s="628" t="s">
        <v>1438</v>
      </c>
      <c r="D485" s="580"/>
      <c r="E485" s="581"/>
      <c r="F485" s="581"/>
      <c r="G485" s="778"/>
      <c r="H485" s="581"/>
      <c r="I485" s="582"/>
      <c r="J485" s="582"/>
      <c r="K485" s="582"/>
      <c r="L485" s="575"/>
      <c r="M485" s="575"/>
      <c r="N485" s="809"/>
      <c r="O485" s="575"/>
      <c r="P485" s="575"/>
      <c r="Q485" s="575"/>
      <c r="R485" s="575"/>
      <c r="S485" s="575"/>
      <c r="T485" s="575"/>
      <c r="U485" s="809"/>
      <c r="V485" s="575"/>
      <c r="W485" s="575"/>
      <c r="X485" s="575"/>
      <c r="Y485" s="575"/>
      <c r="Z485" s="575"/>
      <c r="AA485" s="575"/>
      <c r="AB485" s="809"/>
      <c r="AC485" s="575"/>
      <c r="AD485" s="575"/>
      <c r="AE485" s="575"/>
      <c r="AF485" s="817"/>
      <c r="AG485" s="575"/>
      <c r="AH485" s="575"/>
      <c r="AI485" s="738">
        <f t="shared" si="28"/>
        <v>0</v>
      </c>
      <c r="AJ485" s="582">
        <v>0</v>
      </c>
      <c r="AK485" s="581">
        <f t="shared" si="29"/>
        <v>0</v>
      </c>
      <c r="AL485" s="750" t="s">
        <v>1749</v>
      </c>
      <c r="AM485" s="743">
        <f t="shared" si="30"/>
        <v>43</v>
      </c>
    </row>
    <row r="486" spans="1:39" s="560" customFormat="1" ht="14.4" hidden="1" thickBot="1">
      <c r="A486" s="620" t="s">
        <v>1046</v>
      </c>
      <c r="B486" s="621" t="s">
        <v>1377</v>
      </c>
      <c r="C486" s="628" t="s">
        <v>1438</v>
      </c>
      <c r="D486" s="580"/>
      <c r="E486" s="581"/>
      <c r="F486" s="581"/>
      <c r="G486" s="778"/>
      <c r="H486" s="581"/>
      <c r="I486" s="582"/>
      <c r="J486" s="582"/>
      <c r="K486" s="582"/>
      <c r="L486" s="575"/>
      <c r="M486" s="575"/>
      <c r="N486" s="809"/>
      <c r="O486" s="575"/>
      <c r="P486" s="575"/>
      <c r="Q486" s="575"/>
      <c r="R486" s="575"/>
      <c r="S486" s="575"/>
      <c r="T486" s="575"/>
      <c r="U486" s="809"/>
      <c r="V486" s="575"/>
      <c r="W486" s="575"/>
      <c r="X486" s="575"/>
      <c r="Y486" s="575"/>
      <c r="Z486" s="575"/>
      <c r="AA486" s="575"/>
      <c r="AB486" s="809"/>
      <c r="AC486" s="575"/>
      <c r="AD486" s="575"/>
      <c r="AE486" s="575"/>
      <c r="AF486" s="817"/>
      <c r="AG486" s="575"/>
      <c r="AH486" s="575"/>
      <c r="AI486" s="738">
        <f t="shared" si="28"/>
        <v>0</v>
      </c>
      <c r="AJ486" s="582">
        <v>0</v>
      </c>
      <c r="AK486" s="581">
        <f t="shared" si="29"/>
        <v>0</v>
      </c>
      <c r="AL486" s="750" t="s">
        <v>1750</v>
      </c>
      <c r="AM486" s="743">
        <f t="shared" si="30"/>
        <v>7</v>
      </c>
    </row>
    <row r="487" spans="1:39" s="560" customFormat="1" ht="14.4" hidden="1" thickBot="1">
      <c r="A487" s="620" t="s">
        <v>1047</v>
      </c>
      <c r="B487" s="621" t="s">
        <v>1378</v>
      </c>
      <c r="C487" s="628"/>
      <c r="D487" s="580"/>
      <c r="E487" s="581"/>
      <c r="F487" s="581"/>
      <c r="G487" s="778"/>
      <c r="H487" s="581"/>
      <c r="I487" s="582"/>
      <c r="J487" s="582"/>
      <c r="K487" s="582"/>
      <c r="L487" s="575"/>
      <c r="M487" s="575"/>
      <c r="N487" s="809"/>
      <c r="O487" s="575"/>
      <c r="P487" s="575"/>
      <c r="Q487" s="575"/>
      <c r="R487" s="575"/>
      <c r="S487" s="575"/>
      <c r="T487" s="575"/>
      <c r="U487" s="809"/>
      <c r="V487" s="575"/>
      <c r="W487" s="575"/>
      <c r="X487" s="575"/>
      <c r="Y487" s="575"/>
      <c r="Z487" s="575"/>
      <c r="AA487" s="575"/>
      <c r="AB487" s="809"/>
      <c r="AC487" s="575"/>
      <c r="AD487" s="575"/>
      <c r="AE487" s="575"/>
      <c r="AF487" s="817"/>
      <c r="AG487" s="575"/>
      <c r="AH487" s="575"/>
      <c r="AI487" s="738">
        <f t="shared" si="28"/>
        <v>0</v>
      </c>
      <c r="AJ487" s="582">
        <v>0</v>
      </c>
      <c r="AK487" s="581">
        <f t="shared" si="29"/>
        <v>0</v>
      </c>
      <c r="AL487" s="750"/>
      <c r="AM487" s="743">
        <f t="shared" si="30"/>
        <v>0</v>
      </c>
    </row>
    <row r="488" spans="1:39" s="560" customFormat="1" ht="14.4" hidden="1" thickBot="1">
      <c r="A488" s="620" t="s">
        <v>1048</v>
      </c>
      <c r="B488" s="621" t="s">
        <v>1379</v>
      </c>
      <c r="C488" s="628" t="s">
        <v>35</v>
      </c>
      <c r="D488" s="580"/>
      <c r="E488" s="581"/>
      <c r="F488" s="581"/>
      <c r="G488" s="778"/>
      <c r="H488" s="581"/>
      <c r="I488" s="582"/>
      <c r="J488" s="582"/>
      <c r="K488" s="582"/>
      <c r="L488" s="575"/>
      <c r="M488" s="575"/>
      <c r="N488" s="809"/>
      <c r="O488" s="575"/>
      <c r="P488" s="575"/>
      <c r="Q488" s="575"/>
      <c r="R488" s="575"/>
      <c r="S488" s="575"/>
      <c r="T488" s="575"/>
      <c r="U488" s="809"/>
      <c r="V488" s="575"/>
      <c r="W488" s="575"/>
      <c r="X488" s="575"/>
      <c r="Y488" s="575"/>
      <c r="Z488" s="575"/>
      <c r="AA488" s="575"/>
      <c r="AB488" s="809"/>
      <c r="AC488" s="575"/>
      <c r="AD488" s="575"/>
      <c r="AE488" s="575"/>
      <c r="AF488" s="817"/>
      <c r="AG488" s="575"/>
      <c r="AH488" s="575"/>
      <c r="AI488" s="738">
        <f t="shared" si="28"/>
        <v>0</v>
      </c>
      <c r="AJ488" s="582">
        <v>0</v>
      </c>
      <c r="AK488" s="581">
        <f t="shared" si="29"/>
        <v>0</v>
      </c>
      <c r="AL488" s="750" t="s">
        <v>1751</v>
      </c>
      <c r="AM488" s="743">
        <f t="shared" si="30"/>
        <v>17</v>
      </c>
    </row>
    <row r="489" spans="1:39" s="560" customFormat="1" ht="14.4" hidden="1" thickBot="1">
      <c r="A489" s="620" t="s">
        <v>1049</v>
      </c>
      <c r="B489" s="621" t="s">
        <v>1380</v>
      </c>
      <c r="C489" s="628" t="s">
        <v>35</v>
      </c>
      <c r="D489" s="580"/>
      <c r="E489" s="581"/>
      <c r="F489" s="581"/>
      <c r="G489" s="778"/>
      <c r="H489" s="581"/>
      <c r="I489" s="582"/>
      <c r="J489" s="582"/>
      <c r="K489" s="582"/>
      <c r="L489" s="575"/>
      <c r="M489" s="575"/>
      <c r="N489" s="809"/>
      <c r="O489" s="575"/>
      <c r="P489" s="575"/>
      <c r="Q489" s="575"/>
      <c r="R489" s="575"/>
      <c r="S489" s="575"/>
      <c r="T489" s="575"/>
      <c r="U489" s="809"/>
      <c r="V489" s="575"/>
      <c r="W489" s="575"/>
      <c r="X489" s="575"/>
      <c r="Y489" s="575"/>
      <c r="Z489" s="575"/>
      <c r="AA489" s="575"/>
      <c r="AB489" s="809"/>
      <c r="AC489" s="575"/>
      <c r="AD489" s="575"/>
      <c r="AE489" s="575"/>
      <c r="AF489" s="817"/>
      <c r="AG489" s="575"/>
      <c r="AH489" s="575"/>
      <c r="AI489" s="738">
        <f t="shared" si="28"/>
        <v>0</v>
      </c>
      <c r="AJ489" s="582">
        <v>0</v>
      </c>
      <c r="AK489" s="581">
        <f t="shared" si="29"/>
        <v>0</v>
      </c>
      <c r="AL489" s="750" t="s">
        <v>1752</v>
      </c>
      <c r="AM489" s="743">
        <f t="shared" si="30"/>
        <v>23</v>
      </c>
    </row>
    <row r="490" spans="1:39" s="560" customFormat="1" ht="14.4" hidden="1" thickBot="1">
      <c r="A490" s="620" t="s">
        <v>1050</v>
      </c>
      <c r="B490" s="621" t="s">
        <v>1381</v>
      </c>
      <c r="C490" s="628" t="s">
        <v>35</v>
      </c>
      <c r="D490" s="580"/>
      <c r="E490" s="581"/>
      <c r="F490" s="581"/>
      <c r="G490" s="778"/>
      <c r="H490" s="581"/>
      <c r="I490" s="582"/>
      <c r="J490" s="582"/>
      <c r="K490" s="582"/>
      <c r="L490" s="575"/>
      <c r="M490" s="575"/>
      <c r="N490" s="809"/>
      <c r="O490" s="575"/>
      <c r="P490" s="575"/>
      <c r="Q490" s="575"/>
      <c r="R490" s="575"/>
      <c r="S490" s="575"/>
      <c r="T490" s="575"/>
      <c r="U490" s="809"/>
      <c r="V490" s="575"/>
      <c r="W490" s="575"/>
      <c r="X490" s="575"/>
      <c r="Y490" s="575"/>
      <c r="Z490" s="575"/>
      <c r="AA490" s="575"/>
      <c r="AB490" s="809"/>
      <c r="AC490" s="575"/>
      <c r="AD490" s="575"/>
      <c r="AE490" s="575"/>
      <c r="AF490" s="817"/>
      <c r="AG490" s="575"/>
      <c r="AH490" s="575"/>
      <c r="AI490" s="738">
        <f t="shared" si="28"/>
        <v>0</v>
      </c>
      <c r="AJ490" s="582">
        <v>0</v>
      </c>
      <c r="AK490" s="581">
        <f t="shared" si="29"/>
        <v>0</v>
      </c>
      <c r="AL490" s="750" t="s">
        <v>1684</v>
      </c>
      <c r="AM490" s="743">
        <f t="shared" si="30"/>
        <v>2</v>
      </c>
    </row>
    <row r="491" spans="1:39" s="560" customFormat="1" ht="14.4" hidden="1" thickBot="1">
      <c r="A491" s="620" t="s">
        <v>1051</v>
      </c>
      <c r="B491" s="621" t="s">
        <v>1382</v>
      </c>
      <c r="C491" s="628" t="s">
        <v>35</v>
      </c>
      <c r="D491" s="580"/>
      <c r="E491" s="581"/>
      <c r="F491" s="581"/>
      <c r="G491" s="778"/>
      <c r="H491" s="581"/>
      <c r="I491" s="582"/>
      <c r="J491" s="582"/>
      <c r="K491" s="582"/>
      <c r="L491" s="575"/>
      <c r="M491" s="575"/>
      <c r="N491" s="809"/>
      <c r="O491" s="575"/>
      <c r="P491" s="575"/>
      <c r="Q491" s="575"/>
      <c r="R491" s="575"/>
      <c r="S491" s="575"/>
      <c r="T491" s="575"/>
      <c r="U491" s="809"/>
      <c r="V491" s="575"/>
      <c r="W491" s="575"/>
      <c r="X491" s="575"/>
      <c r="Y491" s="575"/>
      <c r="Z491" s="575"/>
      <c r="AA491" s="575"/>
      <c r="AB491" s="809"/>
      <c r="AC491" s="575"/>
      <c r="AD491" s="575"/>
      <c r="AE491" s="575"/>
      <c r="AF491" s="817"/>
      <c r="AG491" s="575"/>
      <c r="AH491" s="575"/>
      <c r="AI491" s="738">
        <f t="shared" si="28"/>
        <v>0</v>
      </c>
      <c r="AJ491" s="582">
        <v>0</v>
      </c>
      <c r="AK491" s="581">
        <f t="shared" si="29"/>
        <v>0</v>
      </c>
      <c r="AL491" s="750" t="s">
        <v>1441</v>
      </c>
      <c r="AM491" s="743">
        <f t="shared" si="30"/>
        <v>1</v>
      </c>
    </row>
    <row r="492" spans="1:39" s="560" customFormat="1" ht="14.4" hidden="1" thickBot="1">
      <c r="A492" s="620" t="s">
        <v>1052</v>
      </c>
      <c r="B492" s="621" t="s">
        <v>1383</v>
      </c>
      <c r="C492" s="628" t="s">
        <v>35</v>
      </c>
      <c r="D492" s="580"/>
      <c r="E492" s="581"/>
      <c r="F492" s="581"/>
      <c r="G492" s="778"/>
      <c r="H492" s="581"/>
      <c r="I492" s="582"/>
      <c r="J492" s="582"/>
      <c r="K492" s="582"/>
      <c r="L492" s="575"/>
      <c r="M492" s="575"/>
      <c r="N492" s="809"/>
      <c r="O492" s="575"/>
      <c r="P492" s="575"/>
      <c r="Q492" s="575"/>
      <c r="R492" s="575"/>
      <c r="S492" s="575"/>
      <c r="T492" s="575"/>
      <c r="U492" s="809"/>
      <c r="V492" s="575"/>
      <c r="W492" s="575"/>
      <c r="X492" s="575"/>
      <c r="Y492" s="575"/>
      <c r="Z492" s="575"/>
      <c r="AA492" s="575"/>
      <c r="AB492" s="809"/>
      <c r="AC492" s="575"/>
      <c r="AD492" s="575"/>
      <c r="AE492" s="575"/>
      <c r="AF492" s="817"/>
      <c r="AG492" s="575"/>
      <c r="AH492" s="575"/>
      <c r="AI492" s="738">
        <f t="shared" si="28"/>
        <v>0</v>
      </c>
      <c r="AJ492" s="582">
        <v>0</v>
      </c>
      <c r="AK492" s="581">
        <f t="shared" si="29"/>
        <v>0</v>
      </c>
      <c r="AL492" s="750" t="s">
        <v>1750</v>
      </c>
      <c r="AM492" s="743">
        <f t="shared" si="30"/>
        <v>7</v>
      </c>
    </row>
    <row r="493" spans="1:39" s="560" customFormat="1" ht="14.4" hidden="1" thickBot="1">
      <c r="A493" s="620" t="s">
        <v>1053</v>
      </c>
      <c r="B493" s="621" t="s">
        <v>1384</v>
      </c>
      <c r="C493" s="628"/>
      <c r="D493" s="580"/>
      <c r="E493" s="581"/>
      <c r="F493" s="581"/>
      <c r="G493" s="778"/>
      <c r="H493" s="581"/>
      <c r="I493" s="582"/>
      <c r="J493" s="582"/>
      <c r="K493" s="582"/>
      <c r="L493" s="575"/>
      <c r="M493" s="575"/>
      <c r="N493" s="809"/>
      <c r="O493" s="575"/>
      <c r="P493" s="575"/>
      <c r="Q493" s="575"/>
      <c r="R493" s="575"/>
      <c r="S493" s="575"/>
      <c r="T493" s="575"/>
      <c r="U493" s="809"/>
      <c r="V493" s="575"/>
      <c r="W493" s="575"/>
      <c r="X493" s="575"/>
      <c r="Y493" s="575"/>
      <c r="Z493" s="575"/>
      <c r="AA493" s="575"/>
      <c r="AB493" s="809"/>
      <c r="AC493" s="575"/>
      <c r="AD493" s="575"/>
      <c r="AE493" s="575"/>
      <c r="AF493" s="817"/>
      <c r="AG493" s="575"/>
      <c r="AH493" s="575"/>
      <c r="AI493" s="738">
        <f t="shared" si="28"/>
        <v>0</v>
      </c>
      <c r="AJ493" s="582">
        <v>0</v>
      </c>
      <c r="AK493" s="581">
        <f t="shared" si="29"/>
        <v>0</v>
      </c>
      <c r="AL493" s="750"/>
      <c r="AM493" s="743">
        <f t="shared" si="30"/>
        <v>0</v>
      </c>
    </row>
    <row r="494" spans="1:39" s="560" customFormat="1" ht="14.4" hidden="1" thickBot="1">
      <c r="A494" s="620" t="s">
        <v>1054</v>
      </c>
      <c r="B494" s="621" t="s">
        <v>1385</v>
      </c>
      <c r="C494" s="628" t="s">
        <v>1438</v>
      </c>
      <c r="D494" s="580"/>
      <c r="E494" s="581"/>
      <c r="F494" s="581"/>
      <c r="G494" s="778"/>
      <c r="H494" s="581"/>
      <c r="I494" s="582"/>
      <c r="J494" s="582"/>
      <c r="K494" s="582"/>
      <c r="L494" s="575"/>
      <c r="M494" s="575"/>
      <c r="N494" s="809"/>
      <c r="O494" s="575"/>
      <c r="P494" s="575"/>
      <c r="Q494" s="575"/>
      <c r="R494" s="575"/>
      <c r="S494" s="575"/>
      <c r="T494" s="575"/>
      <c r="U494" s="809"/>
      <c r="V494" s="575"/>
      <c r="W494" s="575"/>
      <c r="X494" s="575"/>
      <c r="Y494" s="575"/>
      <c r="Z494" s="575"/>
      <c r="AA494" s="575"/>
      <c r="AB494" s="809"/>
      <c r="AC494" s="575"/>
      <c r="AD494" s="575"/>
      <c r="AE494" s="575"/>
      <c r="AF494" s="817"/>
      <c r="AG494" s="575"/>
      <c r="AH494" s="575"/>
      <c r="AI494" s="738">
        <f t="shared" si="28"/>
        <v>0</v>
      </c>
      <c r="AJ494" s="582">
        <v>0</v>
      </c>
      <c r="AK494" s="581">
        <f t="shared" si="29"/>
        <v>0</v>
      </c>
      <c r="AL494" s="750" t="s">
        <v>1475</v>
      </c>
      <c r="AM494" s="743">
        <f t="shared" si="30"/>
        <v>16</v>
      </c>
    </row>
    <row r="495" spans="1:39" s="560" customFormat="1" ht="14.4" hidden="1" thickBot="1">
      <c r="A495" s="620" t="s">
        <v>1055</v>
      </c>
      <c r="B495" s="621" t="s">
        <v>1386</v>
      </c>
      <c r="C495" s="628" t="s">
        <v>1438</v>
      </c>
      <c r="D495" s="580"/>
      <c r="E495" s="581"/>
      <c r="F495" s="581"/>
      <c r="G495" s="778"/>
      <c r="H495" s="581"/>
      <c r="I495" s="582"/>
      <c r="J495" s="582"/>
      <c r="K495" s="582"/>
      <c r="L495" s="575"/>
      <c r="M495" s="575"/>
      <c r="N495" s="809"/>
      <c r="O495" s="575"/>
      <c r="P495" s="575"/>
      <c r="Q495" s="575"/>
      <c r="R495" s="575"/>
      <c r="S495" s="575"/>
      <c r="T495" s="575"/>
      <c r="U495" s="809"/>
      <c r="V495" s="575"/>
      <c r="W495" s="575"/>
      <c r="X495" s="575"/>
      <c r="Y495" s="575"/>
      <c r="Z495" s="575"/>
      <c r="AA495" s="575"/>
      <c r="AB495" s="809"/>
      <c r="AC495" s="575"/>
      <c r="AD495" s="575"/>
      <c r="AE495" s="575"/>
      <c r="AF495" s="817"/>
      <c r="AG495" s="575"/>
      <c r="AH495" s="575"/>
      <c r="AI495" s="738">
        <f t="shared" si="28"/>
        <v>0</v>
      </c>
      <c r="AJ495" s="582">
        <v>0</v>
      </c>
      <c r="AK495" s="581">
        <f t="shared" si="29"/>
        <v>0</v>
      </c>
      <c r="AL495" s="750" t="s">
        <v>1684</v>
      </c>
      <c r="AM495" s="743">
        <f t="shared" si="30"/>
        <v>2</v>
      </c>
    </row>
    <row r="496" spans="1:39" s="560" customFormat="1" ht="14.4" hidden="1" thickBot="1">
      <c r="A496" s="620" t="s">
        <v>1056</v>
      </c>
      <c r="B496" s="621" t="s">
        <v>1387</v>
      </c>
      <c r="C496" s="628" t="s">
        <v>1438</v>
      </c>
      <c r="D496" s="580"/>
      <c r="E496" s="581"/>
      <c r="F496" s="581"/>
      <c r="G496" s="778"/>
      <c r="H496" s="581"/>
      <c r="I496" s="582"/>
      <c r="J496" s="582"/>
      <c r="K496" s="582"/>
      <c r="L496" s="575"/>
      <c r="M496" s="575"/>
      <c r="N496" s="809"/>
      <c r="O496" s="575"/>
      <c r="P496" s="575"/>
      <c r="Q496" s="575"/>
      <c r="R496" s="575"/>
      <c r="S496" s="575"/>
      <c r="T496" s="575"/>
      <c r="U496" s="809"/>
      <c r="V496" s="575"/>
      <c r="W496" s="575"/>
      <c r="X496" s="575"/>
      <c r="Y496" s="575"/>
      <c r="Z496" s="575"/>
      <c r="AA496" s="575"/>
      <c r="AB496" s="809"/>
      <c r="AC496" s="575"/>
      <c r="AD496" s="575"/>
      <c r="AE496" s="575"/>
      <c r="AF496" s="817"/>
      <c r="AG496" s="575"/>
      <c r="AH496" s="575"/>
      <c r="AI496" s="738">
        <f t="shared" si="28"/>
        <v>0</v>
      </c>
      <c r="AJ496" s="582">
        <v>0</v>
      </c>
      <c r="AK496" s="581">
        <f t="shared" si="29"/>
        <v>0</v>
      </c>
      <c r="AL496" s="750" t="s">
        <v>1684</v>
      </c>
      <c r="AM496" s="743">
        <f t="shared" si="30"/>
        <v>2</v>
      </c>
    </row>
    <row r="497" spans="1:39" s="560" customFormat="1" ht="14.4" hidden="1" thickBot="1">
      <c r="A497" s="620" t="s">
        <v>1057</v>
      </c>
      <c r="B497" s="621" t="s">
        <v>1388</v>
      </c>
      <c r="C497" s="628"/>
      <c r="D497" s="580"/>
      <c r="E497" s="581"/>
      <c r="F497" s="581"/>
      <c r="G497" s="778"/>
      <c r="H497" s="581"/>
      <c r="I497" s="582"/>
      <c r="J497" s="582"/>
      <c r="K497" s="582"/>
      <c r="L497" s="575"/>
      <c r="M497" s="575"/>
      <c r="N497" s="809"/>
      <c r="O497" s="575"/>
      <c r="P497" s="575"/>
      <c r="Q497" s="575"/>
      <c r="R497" s="575"/>
      <c r="S497" s="575"/>
      <c r="T497" s="575"/>
      <c r="U497" s="809"/>
      <c r="V497" s="575"/>
      <c r="W497" s="575"/>
      <c r="X497" s="575"/>
      <c r="Y497" s="575"/>
      <c r="Z497" s="575"/>
      <c r="AA497" s="575"/>
      <c r="AB497" s="809"/>
      <c r="AC497" s="575"/>
      <c r="AD497" s="575"/>
      <c r="AE497" s="575"/>
      <c r="AF497" s="817"/>
      <c r="AG497" s="575"/>
      <c r="AH497" s="575"/>
      <c r="AI497" s="738">
        <f t="shared" si="28"/>
        <v>0</v>
      </c>
      <c r="AJ497" s="582">
        <v>0</v>
      </c>
      <c r="AK497" s="581">
        <f t="shared" si="29"/>
        <v>0</v>
      </c>
      <c r="AL497" s="750"/>
      <c r="AM497" s="743">
        <f t="shared" si="30"/>
        <v>0</v>
      </c>
    </row>
    <row r="498" spans="1:39" s="560" customFormat="1" ht="14.4" hidden="1" thickBot="1">
      <c r="A498" s="620" t="s">
        <v>1058</v>
      </c>
      <c r="B498" s="621" t="s">
        <v>1389</v>
      </c>
      <c r="C498" s="628" t="s">
        <v>1438</v>
      </c>
      <c r="D498" s="580"/>
      <c r="E498" s="581"/>
      <c r="F498" s="581"/>
      <c r="G498" s="778"/>
      <c r="H498" s="581"/>
      <c r="I498" s="582"/>
      <c r="J498" s="582"/>
      <c r="K498" s="582"/>
      <c r="L498" s="575"/>
      <c r="M498" s="575"/>
      <c r="N498" s="809"/>
      <c r="O498" s="575"/>
      <c r="P498" s="575"/>
      <c r="Q498" s="575"/>
      <c r="R498" s="575"/>
      <c r="S498" s="575"/>
      <c r="T498" s="575"/>
      <c r="U498" s="809"/>
      <c r="V498" s="575"/>
      <c r="W498" s="575"/>
      <c r="X498" s="575"/>
      <c r="Y498" s="575"/>
      <c r="Z498" s="575"/>
      <c r="AA498" s="575"/>
      <c r="AB498" s="809"/>
      <c r="AC498" s="575"/>
      <c r="AD498" s="575"/>
      <c r="AE498" s="575"/>
      <c r="AF498" s="817"/>
      <c r="AG498" s="575"/>
      <c r="AH498" s="575"/>
      <c r="AI498" s="738">
        <f t="shared" si="28"/>
        <v>0</v>
      </c>
      <c r="AJ498" s="582">
        <v>0</v>
      </c>
      <c r="AK498" s="581">
        <f t="shared" si="29"/>
        <v>0</v>
      </c>
      <c r="AL498" s="750" t="s">
        <v>1753</v>
      </c>
      <c r="AM498" s="743">
        <f t="shared" si="30"/>
        <v>14</v>
      </c>
    </row>
    <row r="499" spans="1:39" s="560" customFormat="1" ht="14.4" hidden="1" thickBot="1">
      <c r="A499" s="620" t="s">
        <v>1059</v>
      </c>
      <c r="B499" s="621" t="s">
        <v>1390</v>
      </c>
      <c r="C499" s="628" t="s">
        <v>1438</v>
      </c>
      <c r="D499" s="580"/>
      <c r="E499" s="581"/>
      <c r="F499" s="581"/>
      <c r="G499" s="778"/>
      <c r="H499" s="581"/>
      <c r="I499" s="582"/>
      <c r="J499" s="582"/>
      <c r="K499" s="582"/>
      <c r="L499" s="575"/>
      <c r="M499" s="575"/>
      <c r="N499" s="809"/>
      <c r="O499" s="575"/>
      <c r="P499" s="575"/>
      <c r="Q499" s="575"/>
      <c r="R499" s="575"/>
      <c r="S499" s="575"/>
      <c r="T499" s="575"/>
      <c r="U499" s="809"/>
      <c r="V499" s="575"/>
      <c r="W499" s="575"/>
      <c r="X499" s="575"/>
      <c r="Y499" s="575"/>
      <c r="Z499" s="575"/>
      <c r="AA499" s="575"/>
      <c r="AB499" s="809"/>
      <c r="AC499" s="575"/>
      <c r="AD499" s="575"/>
      <c r="AE499" s="575"/>
      <c r="AF499" s="817"/>
      <c r="AG499" s="575"/>
      <c r="AH499" s="575"/>
      <c r="AI499" s="738">
        <f t="shared" ref="AI499:AI558" si="31">ROUND((SUM(D499:L499)),2)</f>
        <v>0</v>
      </c>
      <c r="AJ499" s="582">
        <v>0</v>
      </c>
      <c r="AK499" s="581">
        <f t="shared" si="29"/>
        <v>0</v>
      </c>
      <c r="AL499" s="750" t="s">
        <v>1441</v>
      </c>
      <c r="AM499" s="743">
        <f t="shared" si="30"/>
        <v>1</v>
      </c>
    </row>
    <row r="500" spans="1:39" s="560" customFormat="1" ht="14.4" hidden="1" thickBot="1">
      <c r="A500" s="620" t="s">
        <v>1060</v>
      </c>
      <c r="B500" s="621" t="s">
        <v>1391</v>
      </c>
      <c r="C500" s="628" t="s">
        <v>1438</v>
      </c>
      <c r="D500" s="580"/>
      <c r="E500" s="581"/>
      <c r="F500" s="581"/>
      <c r="G500" s="778"/>
      <c r="H500" s="581"/>
      <c r="I500" s="582"/>
      <c r="J500" s="582"/>
      <c r="K500" s="582"/>
      <c r="L500" s="575"/>
      <c r="M500" s="575"/>
      <c r="N500" s="809"/>
      <c r="O500" s="575"/>
      <c r="P500" s="575"/>
      <c r="Q500" s="575"/>
      <c r="R500" s="575"/>
      <c r="S500" s="575"/>
      <c r="T500" s="575"/>
      <c r="U500" s="809"/>
      <c r="V500" s="575"/>
      <c r="W500" s="575"/>
      <c r="X500" s="575"/>
      <c r="Y500" s="575"/>
      <c r="Z500" s="575"/>
      <c r="AA500" s="575"/>
      <c r="AB500" s="809"/>
      <c r="AC500" s="575"/>
      <c r="AD500" s="575"/>
      <c r="AE500" s="575"/>
      <c r="AF500" s="817"/>
      <c r="AG500" s="575"/>
      <c r="AH500" s="575"/>
      <c r="AI500" s="738">
        <f t="shared" si="31"/>
        <v>0</v>
      </c>
      <c r="AJ500" s="582">
        <v>0</v>
      </c>
      <c r="AK500" s="581">
        <f t="shared" si="29"/>
        <v>0</v>
      </c>
      <c r="AL500" s="750" t="s">
        <v>1604</v>
      </c>
      <c r="AM500" s="743">
        <f t="shared" si="30"/>
        <v>3</v>
      </c>
    </row>
    <row r="501" spans="1:39" s="560" customFormat="1" ht="14.4" hidden="1" thickBot="1">
      <c r="A501" s="620" t="s">
        <v>1061</v>
      </c>
      <c r="B501" s="621" t="s">
        <v>1392</v>
      </c>
      <c r="C501" s="628" t="s">
        <v>1438</v>
      </c>
      <c r="D501" s="580"/>
      <c r="E501" s="581"/>
      <c r="F501" s="581"/>
      <c r="G501" s="778"/>
      <c r="H501" s="581"/>
      <c r="I501" s="582"/>
      <c r="J501" s="582"/>
      <c r="K501" s="582"/>
      <c r="L501" s="575"/>
      <c r="M501" s="575"/>
      <c r="N501" s="809"/>
      <c r="O501" s="575"/>
      <c r="P501" s="575"/>
      <c r="Q501" s="575"/>
      <c r="R501" s="575"/>
      <c r="S501" s="575"/>
      <c r="T501" s="575"/>
      <c r="U501" s="809"/>
      <c r="V501" s="575"/>
      <c r="W501" s="575"/>
      <c r="X501" s="575"/>
      <c r="Y501" s="575"/>
      <c r="Z501" s="575"/>
      <c r="AA501" s="575"/>
      <c r="AB501" s="809"/>
      <c r="AC501" s="575"/>
      <c r="AD501" s="575"/>
      <c r="AE501" s="575"/>
      <c r="AF501" s="817"/>
      <c r="AG501" s="575"/>
      <c r="AH501" s="575"/>
      <c r="AI501" s="738">
        <f t="shared" si="31"/>
        <v>0</v>
      </c>
      <c r="AJ501" s="582">
        <v>0</v>
      </c>
      <c r="AK501" s="581">
        <f t="shared" si="29"/>
        <v>0</v>
      </c>
      <c r="AL501" s="750" t="s">
        <v>1627</v>
      </c>
      <c r="AM501" s="743">
        <f t="shared" si="30"/>
        <v>9</v>
      </c>
    </row>
    <row r="502" spans="1:39" s="560" customFormat="1" ht="14.4" hidden="1" thickBot="1">
      <c r="A502" s="620" t="s">
        <v>1062</v>
      </c>
      <c r="B502" s="621" t="s">
        <v>1393</v>
      </c>
      <c r="C502" s="628" t="s">
        <v>1438</v>
      </c>
      <c r="D502" s="580"/>
      <c r="E502" s="581"/>
      <c r="F502" s="581"/>
      <c r="G502" s="778"/>
      <c r="H502" s="581"/>
      <c r="I502" s="582"/>
      <c r="J502" s="582"/>
      <c r="K502" s="582"/>
      <c r="L502" s="575"/>
      <c r="M502" s="575"/>
      <c r="N502" s="809"/>
      <c r="O502" s="575"/>
      <c r="P502" s="575"/>
      <c r="Q502" s="575"/>
      <c r="R502" s="575"/>
      <c r="S502" s="575"/>
      <c r="T502" s="575"/>
      <c r="U502" s="809"/>
      <c r="V502" s="575"/>
      <c r="W502" s="575"/>
      <c r="X502" s="575"/>
      <c r="Y502" s="575"/>
      <c r="Z502" s="575"/>
      <c r="AA502" s="575"/>
      <c r="AB502" s="809"/>
      <c r="AC502" s="575"/>
      <c r="AD502" s="575"/>
      <c r="AE502" s="575"/>
      <c r="AF502" s="817"/>
      <c r="AG502" s="575"/>
      <c r="AH502" s="575"/>
      <c r="AI502" s="738">
        <f t="shared" si="31"/>
        <v>0</v>
      </c>
      <c r="AJ502" s="582">
        <v>0</v>
      </c>
      <c r="AK502" s="581">
        <f t="shared" si="29"/>
        <v>0</v>
      </c>
      <c r="AL502" s="750" t="s">
        <v>1441</v>
      </c>
      <c r="AM502" s="743">
        <f t="shared" si="30"/>
        <v>1</v>
      </c>
    </row>
    <row r="503" spans="1:39" s="560" customFormat="1" ht="14.4" hidden="1" thickBot="1">
      <c r="A503" s="620" t="s">
        <v>1063</v>
      </c>
      <c r="B503" s="621" t="s">
        <v>1394</v>
      </c>
      <c r="C503" s="628"/>
      <c r="D503" s="580"/>
      <c r="E503" s="581"/>
      <c r="F503" s="581"/>
      <c r="G503" s="778"/>
      <c r="H503" s="581"/>
      <c r="I503" s="582"/>
      <c r="J503" s="582"/>
      <c r="K503" s="582"/>
      <c r="L503" s="575"/>
      <c r="M503" s="575"/>
      <c r="N503" s="809"/>
      <c r="O503" s="575"/>
      <c r="P503" s="575"/>
      <c r="Q503" s="575"/>
      <c r="R503" s="575"/>
      <c r="S503" s="575"/>
      <c r="T503" s="575"/>
      <c r="U503" s="809"/>
      <c r="V503" s="575"/>
      <c r="W503" s="575"/>
      <c r="X503" s="575"/>
      <c r="Y503" s="575"/>
      <c r="Z503" s="575"/>
      <c r="AA503" s="575"/>
      <c r="AB503" s="809"/>
      <c r="AC503" s="575"/>
      <c r="AD503" s="575"/>
      <c r="AE503" s="575"/>
      <c r="AF503" s="817"/>
      <c r="AG503" s="575"/>
      <c r="AH503" s="575"/>
      <c r="AI503" s="738">
        <f t="shared" si="31"/>
        <v>0</v>
      </c>
      <c r="AJ503" s="582">
        <v>0</v>
      </c>
      <c r="AK503" s="581">
        <f t="shared" si="29"/>
        <v>0</v>
      </c>
      <c r="AL503" s="750"/>
      <c r="AM503" s="743">
        <f t="shared" si="30"/>
        <v>0</v>
      </c>
    </row>
    <row r="504" spans="1:39" s="560" customFormat="1" ht="14.4" hidden="1" thickBot="1">
      <c r="A504" s="620" t="s">
        <v>1064</v>
      </c>
      <c r="B504" s="621" t="s">
        <v>1395</v>
      </c>
      <c r="C504" s="628" t="s">
        <v>1438</v>
      </c>
      <c r="D504" s="580"/>
      <c r="E504" s="581"/>
      <c r="F504" s="581"/>
      <c r="G504" s="778"/>
      <c r="H504" s="581"/>
      <c r="I504" s="582"/>
      <c r="J504" s="582"/>
      <c r="K504" s="582"/>
      <c r="L504" s="575"/>
      <c r="M504" s="575"/>
      <c r="N504" s="809"/>
      <c r="O504" s="575"/>
      <c r="P504" s="575"/>
      <c r="Q504" s="575"/>
      <c r="R504" s="575"/>
      <c r="S504" s="575"/>
      <c r="T504" s="575"/>
      <c r="U504" s="809"/>
      <c r="V504" s="575"/>
      <c r="W504" s="575"/>
      <c r="X504" s="575"/>
      <c r="Y504" s="575"/>
      <c r="Z504" s="575"/>
      <c r="AA504" s="575"/>
      <c r="AB504" s="809"/>
      <c r="AC504" s="575"/>
      <c r="AD504" s="575"/>
      <c r="AE504" s="575"/>
      <c r="AF504" s="817"/>
      <c r="AG504" s="575"/>
      <c r="AH504" s="575"/>
      <c r="AI504" s="738">
        <f t="shared" si="31"/>
        <v>0</v>
      </c>
      <c r="AJ504" s="582">
        <v>0</v>
      </c>
      <c r="AK504" s="581">
        <f t="shared" si="29"/>
        <v>0</v>
      </c>
      <c r="AL504" s="750" t="s">
        <v>1441</v>
      </c>
      <c r="AM504" s="743">
        <f t="shared" si="30"/>
        <v>1</v>
      </c>
    </row>
    <row r="505" spans="1:39" s="560" customFormat="1" ht="14.4" hidden="1" thickBot="1">
      <c r="A505" s="620" t="s">
        <v>1065</v>
      </c>
      <c r="B505" s="621" t="s">
        <v>1396</v>
      </c>
      <c r="C505" s="628" t="s">
        <v>1438</v>
      </c>
      <c r="D505" s="580"/>
      <c r="E505" s="581"/>
      <c r="F505" s="581"/>
      <c r="G505" s="778"/>
      <c r="H505" s="581"/>
      <c r="I505" s="582"/>
      <c r="J505" s="582"/>
      <c r="K505" s="582"/>
      <c r="L505" s="575"/>
      <c r="M505" s="575"/>
      <c r="N505" s="809"/>
      <c r="O505" s="575"/>
      <c r="P505" s="575"/>
      <c r="Q505" s="575"/>
      <c r="R505" s="575"/>
      <c r="S505" s="575"/>
      <c r="T505" s="575"/>
      <c r="U505" s="809"/>
      <c r="V505" s="575"/>
      <c r="W505" s="575"/>
      <c r="X505" s="575"/>
      <c r="Y505" s="575"/>
      <c r="Z505" s="575"/>
      <c r="AA505" s="575"/>
      <c r="AB505" s="809"/>
      <c r="AC505" s="575"/>
      <c r="AD505" s="575"/>
      <c r="AE505" s="575"/>
      <c r="AF505" s="817"/>
      <c r="AG505" s="575"/>
      <c r="AH505" s="575"/>
      <c r="AI505" s="738">
        <f t="shared" si="31"/>
        <v>0</v>
      </c>
      <c r="AJ505" s="582">
        <v>0</v>
      </c>
      <c r="AK505" s="581">
        <f t="shared" si="29"/>
        <v>0</v>
      </c>
      <c r="AL505" s="750" t="s">
        <v>1441</v>
      </c>
      <c r="AM505" s="743">
        <f t="shared" si="30"/>
        <v>1</v>
      </c>
    </row>
    <row r="506" spans="1:39" s="560" customFormat="1" ht="14.4" hidden="1" thickBot="1">
      <c r="A506" s="620" t="s">
        <v>1066</v>
      </c>
      <c r="B506" s="621" t="s">
        <v>1397</v>
      </c>
      <c r="C506" s="628" t="s">
        <v>1438</v>
      </c>
      <c r="D506" s="580"/>
      <c r="E506" s="581"/>
      <c r="F506" s="581"/>
      <c r="G506" s="778"/>
      <c r="H506" s="581"/>
      <c r="I506" s="582"/>
      <c r="J506" s="582"/>
      <c r="K506" s="582"/>
      <c r="L506" s="575"/>
      <c r="M506" s="575"/>
      <c r="N506" s="809"/>
      <c r="O506" s="575"/>
      <c r="P506" s="575"/>
      <c r="Q506" s="575"/>
      <c r="R506" s="575"/>
      <c r="S506" s="575"/>
      <c r="T506" s="575"/>
      <c r="U506" s="809"/>
      <c r="V506" s="575"/>
      <c r="W506" s="575"/>
      <c r="X506" s="575"/>
      <c r="Y506" s="575"/>
      <c r="Z506" s="575"/>
      <c r="AA506" s="575"/>
      <c r="AB506" s="809"/>
      <c r="AC506" s="575"/>
      <c r="AD506" s="575"/>
      <c r="AE506" s="575"/>
      <c r="AF506" s="817"/>
      <c r="AG506" s="575"/>
      <c r="AH506" s="575"/>
      <c r="AI506" s="738">
        <f t="shared" si="31"/>
        <v>0</v>
      </c>
      <c r="AJ506" s="582">
        <v>0</v>
      </c>
      <c r="AK506" s="581">
        <f t="shared" si="29"/>
        <v>0</v>
      </c>
      <c r="AL506" s="750" t="s">
        <v>1712</v>
      </c>
      <c r="AM506" s="743">
        <f t="shared" si="30"/>
        <v>11</v>
      </c>
    </row>
    <row r="507" spans="1:39" s="560" customFormat="1" ht="14.4" hidden="1" thickBot="1">
      <c r="A507" s="620" t="s">
        <v>1067</v>
      </c>
      <c r="B507" s="621" t="s">
        <v>1398</v>
      </c>
      <c r="C507" s="628" t="s">
        <v>1438</v>
      </c>
      <c r="D507" s="580"/>
      <c r="E507" s="581"/>
      <c r="F507" s="581"/>
      <c r="G507" s="778"/>
      <c r="H507" s="581"/>
      <c r="I507" s="582"/>
      <c r="J507" s="582"/>
      <c r="K507" s="582"/>
      <c r="L507" s="575"/>
      <c r="M507" s="575"/>
      <c r="N507" s="809"/>
      <c r="O507" s="575"/>
      <c r="P507" s="575"/>
      <c r="Q507" s="575"/>
      <c r="R507" s="575"/>
      <c r="S507" s="575"/>
      <c r="T507" s="575"/>
      <c r="U507" s="809"/>
      <c r="V507" s="575"/>
      <c r="W507" s="575"/>
      <c r="X507" s="575"/>
      <c r="Y507" s="575"/>
      <c r="Z507" s="575"/>
      <c r="AA507" s="575"/>
      <c r="AB507" s="809"/>
      <c r="AC507" s="575"/>
      <c r="AD507" s="575"/>
      <c r="AE507" s="575"/>
      <c r="AF507" s="817"/>
      <c r="AG507" s="575"/>
      <c r="AH507" s="575"/>
      <c r="AI507" s="738">
        <f t="shared" si="31"/>
        <v>0</v>
      </c>
      <c r="AJ507" s="582">
        <v>0</v>
      </c>
      <c r="AK507" s="581">
        <f t="shared" si="29"/>
        <v>0</v>
      </c>
      <c r="AL507" s="750" t="s">
        <v>1684</v>
      </c>
      <c r="AM507" s="743">
        <f t="shared" si="30"/>
        <v>2</v>
      </c>
    </row>
    <row r="508" spans="1:39" s="560" customFormat="1" ht="14.4" hidden="1" thickBot="1">
      <c r="A508" s="620" t="s">
        <v>1068</v>
      </c>
      <c r="B508" s="621" t="s">
        <v>1399</v>
      </c>
      <c r="C508" s="628" t="s">
        <v>1438</v>
      </c>
      <c r="D508" s="580"/>
      <c r="E508" s="581"/>
      <c r="F508" s="581"/>
      <c r="G508" s="778"/>
      <c r="H508" s="581"/>
      <c r="I508" s="582"/>
      <c r="J508" s="582"/>
      <c r="K508" s="582"/>
      <c r="L508" s="575"/>
      <c r="M508" s="575"/>
      <c r="N508" s="809"/>
      <c r="O508" s="575"/>
      <c r="P508" s="575"/>
      <c r="Q508" s="575"/>
      <c r="R508" s="575"/>
      <c r="S508" s="575"/>
      <c r="T508" s="575"/>
      <c r="U508" s="809"/>
      <c r="V508" s="575"/>
      <c r="W508" s="575"/>
      <c r="X508" s="575"/>
      <c r="Y508" s="575"/>
      <c r="Z508" s="575"/>
      <c r="AA508" s="575"/>
      <c r="AB508" s="809"/>
      <c r="AC508" s="575"/>
      <c r="AD508" s="575"/>
      <c r="AE508" s="575"/>
      <c r="AF508" s="817"/>
      <c r="AG508" s="575"/>
      <c r="AH508" s="575"/>
      <c r="AI508" s="738">
        <f t="shared" si="31"/>
        <v>0</v>
      </c>
      <c r="AJ508" s="582">
        <v>0</v>
      </c>
      <c r="AK508" s="581">
        <f t="shared" si="29"/>
        <v>0</v>
      </c>
      <c r="AL508" s="750" t="s">
        <v>1684</v>
      </c>
      <c r="AM508" s="743">
        <f t="shared" si="30"/>
        <v>2</v>
      </c>
    </row>
    <row r="509" spans="1:39" s="560" customFormat="1" ht="14.4" hidden="1" thickBot="1">
      <c r="A509" s="620" t="s">
        <v>1069</v>
      </c>
      <c r="B509" s="621" t="s">
        <v>1400</v>
      </c>
      <c r="C509" s="628"/>
      <c r="D509" s="580"/>
      <c r="E509" s="581"/>
      <c r="F509" s="581"/>
      <c r="G509" s="778"/>
      <c r="H509" s="581"/>
      <c r="I509" s="582"/>
      <c r="J509" s="582"/>
      <c r="K509" s="582"/>
      <c r="L509" s="575"/>
      <c r="M509" s="575"/>
      <c r="N509" s="809"/>
      <c r="O509" s="575"/>
      <c r="P509" s="575"/>
      <c r="Q509" s="575"/>
      <c r="R509" s="575"/>
      <c r="S509" s="575"/>
      <c r="T509" s="575"/>
      <c r="U509" s="809"/>
      <c r="V509" s="575"/>
      <c r="W509" s="575"/>
      <c r="X509" s="575"/>
      <c r="Y509" s="575"/>
      <c r="Z509" s="575"/>
      <c r="AA509" s="575"/>
      <c r="AB509" s="809"/>
      <c r="AC509" s="575"/>
      <c r="AD509" s="575"/>
      <c r="AE509" s="575"/>
      <c r="AF509" s="817"/>
      <c r="AG509" s="575"/>
      <c r="AH509" s="575"/>
      <c r="AI509" s="738">
        <f t="shared" si="31"/>
        <v>0</v>
      </c>
      <c r="AJ509" s="582">
        <v>0</v>
      </c>
      <c r="AK509" s="581">
        <f t="shared" si="29"/>
        <v>0</v>
      </c>
      <c r="AL509" s="750"/>
      <c r="AM509" s="743">
        <f t="shared" si="30"/>
        <v>0</v>
      </c>
    </row>
    <row r="510" spans="1:39" s="560" customFormat="1" ht="14.4" hidden="1" thickBot="1">
      <c r="A510" s="620" t="s">
        <v>1070</v>
      </c>
      <c r="B510" s="621" t="s">
        <v>1401</v>
      </c>
      <c r="C510" s="628" t="s">
        <v>35</v>
      </c>
      <c r="D510" s="580"/>
      <c r="E510" s="581"/>
      <c r="F510" s="581"/>
      <c r="G510" s="778"/>
      <c r="H510" s="581"/>
      <c r="I510" s="582"/>
      <c r="J510" s="582"/>
      <c r="K510" s="582"/>
      <c r="L510" s="575"/>
      <c r="M510" s="575"/>
      <c r="N510" s="809"/>
      <c r="O510" s="575"/>
      <c r="P510" s="575"/>
      <c r="Q510" s="575"/>
      <c r="R510" s="575"/>
      <c r="S510" s="575"/>
      <c r="T510" s="575"/>
      <c r="U510" s="809"/>
      <c r="V510" s="575"/>
      <c r="W510" s="575"/>
      <c r="X510" s="575"/>
      <c r="Y510" s="575"/>
      <c r="Z510" s="575"/>
      <c r="AA510" s="575"/>
      <c r="AB510" s="809"/>
      <c r="AC510" s="575"/>
      <c r="AD510" s="575"/>
      <c r="AE510" s="575"/>
      <c r="AF510" s="817"/>
      <c r="AG510" s="575"/>
      <c r="AH510" s="575"/>
      <c r="AI510" s="738">
        <f t="shared" si="31"/>
        <v>0</v>
      </c>
      <c r="AJ510" s="582">
        <v>0</v>
      </c>
      <c r="AK510" s="581">
        <f t="shared" si="29"/>
        <v>0</v>
      </c>
      <c r="AL510" s="750" t="s">
        <v>1441</v>
      </c>
      <c r="AM510" s="743">
        <f t="shared" si="30"/>
        <v>1</v>
      </c>
    </row>
    <row r="511" spans="1:39" s="560" customFormat="1" ht="14.4" hidden="1" thickBot="1">
      <c r="A511" s="620" t="s">
        <v>1071</v>
      </c>
      <c r="B511" s="621" t="s">
        <v>1402</v>
      </c>
      <c r="C511" s="628"/>
      <c r="D511" s="580"/>
      <c r="E511" s="581"/>
      <c r="F511" s="581"/>
      <c r="G511" s="778"/>
      <c r="H511" s="581"/>
      <c r="I511" s="582"/>
      <c r="J511" s="582"/>
      <c r="K511" s="582"/>
      <c r="L511" s="575"/>
      <c r="M511" s="575"/>
      <c r="N511" s="809"/>
      <c r="O511" s="575"/>
      <c r="P511" s="575"/>
      <c r="Q511" s="575"/>
      <c r="R511" s="575"/>
      <c r="S511" s="575"/>
      <c r="T511" s="575"/>
      <c r="U511" s="809"/>
      <c r="V511" s="575"/>
      <c r="W511" s="575"/>
      <c r="X511" s="575"/>
      <c r="Y511" s="575"/>
      <c r="Z511" s="575"/>
      <c r="AA511" s="575"/>
      <c r="AB511" s="809"/>
      <c r="AC511" s="575"/>
      <c r="AD511" s="575"/>
      <c r="AE511" s="575"/>
      <c r="AF511" s="817"/>
      <c r="AG511" s="575"/>
      <c r="AH511" s="575"/>
      <c r="AI511" s="738">
        <f t="shared" si="31"/>
        <v>0</v>
      </c>
      <c r="AJ511" s="582">
        <v>0</v>
      </c>
      <c r="AK511" s="581">
        <f t="shared" si="29"/>
        <v>0</v>
      </c>
      <c r="AL511" s="750"/>
      <c r="AM511" s="743">
        <f t="shared" si="30"/>
        <v>0</v>
      </c>
    </row>
    <row r="512" spans="1:39" s="560" customFormat="1" ht="14.4" hidden="1" thickBot="1">
      <c r="A512" s="620" t="s">
        <v>1072</v>
      </c>
      <c r="B512" s="621" t="s">
        <v>1403</v>
      </c>
      <c r="C512" s="628" t="s">
        <v>35</v>
      </c>
      <c r="D512" s="580"/>
      <c r="E512" s="581"/>
      <c r="F512" s="581"/>
      <c r="G512" s="778"/>
      <c r="H512" s="581"/>
      <c r="I512" s="582"/>
      <c r="J512" s="582"/>
      <c r="K512" s="582"/>
      <c r="L512" s="575"/>
      <c r="M512" s="575"/>
      <c r="N512" s="809"/>
      <c r="O512" s="575"/>
      <c r="P512" s="575"/>
      <c r="Q512" s="575"/>
      <c r="R512" s="575"/>
      <c r="S512" s="575"/>
      <c r="T512" s="575"/>
      <c r="U512" s="809"/>
      <c r="V512" s="575"/>
      <c r="W512" s="575"/>
      <c r="X512" s="575"/>
      <c r="Y512" s="575"/>
      <c r="Z512" s="575"/>
      <c r="AA512" s="575"/>
      <c r="AB512" s="809"/>
      <c r="AC512" s="575"/>
      <c r="AD512" s="575"/>
      <c r="AE512" s="575"/>
      <c r="AF512" s="817"/>
      <c r="AG512" s="575"/>
      <c r="AH512" s="575"/>
      <c r="AI512" s="738">
        <f t="shared" si="31"/>
        <v>0</v>
      </c>
      <c r="AJ512" s="582">
        <v>0</v>
      </c>
      <c r="AK512" s="581">
        <f t="shared" si="29"/>
        <v>0</v>
      </c>
      <c r="AL512" s="750" t="s">
        <v>1441</v>
      </c>
      <c r="AM512" s="743">
        <f t="shared" si="30"/>
        <v>1</v>
      </c>
    </row>
    <row r="513" spans="1:39" s="560" customFormat="1" ht="14.4" hidden="1" thickBot="1">
      <c r="A513" s="620" t="s">
        <v>499</v>
      </c>
      <c r="B513" s="621" t="s">
        <v>1404</v>
      </c>
      <c r="C513" s="628"/>
      <c r="D513" s="580"/>
      <c r="E513" s="581"/>
      <c r="F513" s="581"/>
      <c r="G513" s="778"/>
      <c r="H513" s="581"/>
      <c r="I513" s="582"/>
      <c r="J513" s="582"/>
      <c r="K513" s="582"/>
      <c r="L513" s="575"/>
      <c r="M513" s="575"/>
      <c r="N513" s="809"/>
      <c r="O513" s="575"/>
      <c r="P513" s="575"/>
      <c r="Q513" s="575"/>
      <c r="R513" s="575"/>
      <c r="S513" s="575"/>
      <c r="T513" s="575"/>
      <c r="U513" s="809"/>
      <c r="V513" s="575"/>
      <c r="W513" s="575"/>
      <c r="X513" s="575"/>
      <c r="Y513" s="575"/>
      <c r="Z513" s="575"/>
      <c r="AA513" s="575"/>
      <c r="AB513" s="809"/>
      <c r="AC513" s="575"/>
      <c r="AD513" s="575"/>
      <c r="AE513" s="575"/>
      <c r="AF513" s="817"/>
      <c r="AG513" s="575"/>
      <c r="AH513" s="575"/>
      <c r="AI513" s="738">
        <f t="shared" si="31"/>
        <v>0</v>
      </c>
      <c r="AJ513" s="582">
        <v>0</v>
      </c>
      <c r="AK513" s="581">
        <f t="shared" si="29"/>
        <v>0</v>
      </c>
      <c r="AL513" s="750"/>
      <c r="AM513" s="743">
        <f t="shared" si="30"/>
        <v>0</v>
      </c>
    </row>
    <row r="514" spans="1:39" s="560" customFormat="1" ht="14.4" hidden="1" thickBot="1">
      <c r="A514" s="620" t="s">
        <v>1073</v>
      </c>
      <c r="B514" s="621" t="s">
        <v>1405</v>
      </c>
      <c r="C514" s="628"/>
      <c r="D514" s="580"/>
      <c r="E514" s="581"/>
      <c r="F514" s="581"/>
      <c r="G514" s="778"/>
      <c r="H514" s="581"/>
      <c r="I514" s="582"/>
      <c r="J514" s="582"/>
      <c r="K514" s="582"/>
      <c r="L514" s="575"/>
      <c r="M514" s="575"/>
      <c r="N514" s="809"/>
      <c r="O514" s="575"/>
      <c r="P514" s="575"/>
      <c r="Q514" s="575"/>
      <c r="R514" s="575"/>
      <c r="S514" s="575"/>
      <c r="T514" s="575"/>
      <c r="U514" s="809"/>
      <c r="V514" s="575"/>
      <c r="W514" s="575"/>
      <c r="X514" s="575"/>
      <c r="Y514" s="575"/>
      <c r="Z514" s="575"/>
      <c r="AA514" s="575"/>
      <c r="AB514" s="809"/>
      <c r="AC514" s="575"/>
      <c r="AD514" s="575"/>
      <c r="AE514" s="575"/>
      <c r="AF514" s="817"/>
      <c r="AG514" s="575"/>
      <c r="AH514" s="575"/>
      <c r="AI514" s="738">
        <f t="shared" si="31"/>
        <v>0</v>
      </c>
      <c r="AJ514" s="582">
        <v>0</v>
      </c>
      <c r="AK514" s="581">
        <f t="shared" si="29"/>
        <v>0</v>
      </c>
      <c r="AL514" s="750"/>
      <c r="AM514" s="743">
        <f t="shared" si="30"/>
        <v>0</v>
      </c>
    </row>
    <row r="515" spans="1:39" s="560" customFormat="1" ht="14.4" hidden="1" thickBot="1">
      <c r="A515" s="620" t="s">
        <v>1074</v>
      </c>
      <c r="B515" s="621" t="s">
        <v>1406</v>
      </c>
      <c r="C515" s="628" t="s">
        <v>37</v>
      </c>
      <c r="D515" s="580"/>
      <c r="E515" s="581"/>
      <c r="F515" s="581"/>
      <c r="G515" s="778"/>
      <c r="H515" s="581"/>
      <c r="I515" s="582"/>
      <c r="J515" s="582"/>
      <c r="K515" s="582"/>
      <c r="L515" s="575"/>
      <c r="M515" s="575"/>
      <c r="N515" s="809"/>
      <c r="O515" s="575"/>
      <c r="P515" s="575"/>
      <c r="Q515" s="575"/>
      <c r="R515" s="575"/>
      <c r="S515" s="575"/>
      <c r="T515" s="575"/>
      <c r="U515" s="809"/>
      <c r="V515" s="575"/>
      <c r="W515" s="575"/>
      <c r="X515" s="575"/>
      <c r="Y515" s="575"/>
      <c r="Z515" s="575"/>
      <c r="AA515" s="575"/>
      <c r="AB515" s="809"/>
      <c r="AC515" s="575"/>
      <c r="AD515" s="575"/>
      <c r="AE515" s="575"/>
      <c r="AF515" s="817"/>
      <c r="AG515" s="575"/>
      <c r="AH515" s="575"/>
      <c r="AI515" s="738">
        <f t="shared" si="31"/>
        <v>0</v>
      </c>
      <c r="AJ515" s="582">
        <v>0</v>
      </c>
      <c r="AK515" s="581">
        <f t="shared" si="29"/>
        <v>0</v>
      </c>
      <c r="AL515" s="750" t="s">
        <v>1754</v>
      </c>
      <c r="AM515" s="743">
        <f t="shared" si="30"/>
        <v>29</v>
      </c>
    </row>
    <row r="516" spans="1:39" s="560" customFormat="1" ht="14.4" hidden="1" thickBot="1">
      <c r="A516" s="620" t="s">
        <v>1075</v>
      </c>
      <c r="B516" s="621" t="s">
        <v>1407</v>
      </c>
      <c r="C516" s="628"/>
      <c r="D516" s="580"/>
      <c r="E516" s="581"/>
      <c r="F516" s="581"/>
      <c r="G516" s="778"/>
      <c r="H516" s="581"/>
      <c r="I516" s="582"/>
      <c r="J516" s="582"/>
      <c r="K516" s="582"/>
      <c r="L516" s="575"/>
      <c r="M516" s="575"/>
      <c r="N516" s="809"/>
      <c r="O516" s="575"/>
      <c r="P516" s="575"/>
      <c r="Q516" s="575"/>
      <c r="R516" s="575"/>
      <c r="S516" s="575"/>
      <c r="T516" s="575"/>
      <c r="U516" s="809"/>
      <c r="V516" s="575"/>
      <c r="W516" s="575"/>
      <c r="X516" s="575"/>
      <c r="Y516" s="575"/>
      <c r="Z516" s="575"/>
      <c r="AA516" s="575"/>
      <c r="AB516" s="809"/>
      <c r="AC516" s="575"/>
      <c r="AD516" s="575"/>
      <c r="AE516" s="575"/>
      <c r="AF516" s="817"/>
      <c r="AG516" s="575"/>
      <c r="AH516" s="575"/>
      <c r="AI516" s="738">
        <f t="shared" si="31"/>
        <v>0</v>
      </c>
      <c r="AJ516" s="582">
        <v>0</v>
      </c>
      <c r="AK516" s="581">
        <f t="shared" si="29"/>
        <v>0</v>
      </c>
      <c r="AL516" s="750"/>
      <c r="AM516" s="743">
        <f t="shared" si="30"/>
        <v>0</v>
      </c>
    </row>
    <row r="517" spans="1:39" s="560" customFormat="1" ht="14.4" hidden="1" thickBot="1">
      <c r="A517" s="620" t="s">
        <v>1076</v>
      </c>
      <c r="B517" s="621" t="s">
        <v>1408</v>
      </c>
      <c r="C517" s="628" t="s">
        <v>37</v>
      </c>
      <c r="D517" s="580"/>
      <c r="E517" s="581"/>
      <c r="F517" s="581"/>
      <c r="G517" s="778"/>
      <c r="H517" s="581"/>
      <c r="I517" s="582"/>
      <c r="J517" s="582"/>
      <c r="K517" s="582"/>
      <c r="L517" s="575"/>
      <c r="M517" s="575"/>
      <c r="N517" s="809"/>
      <c r="O517" s="575"/>
      <c r="P517" s="575"/>
      <c r="Q517" s="575"/>
      <c r="R517" s="575"/>
      <c r="S517" s="575"/>
      <c r="T517" s="575"/>
      <c r="U517" s="809"/>
      <c r="V517" s="575"/>
      <c r="W517" s="575"/>
      <c r="X517" s="575"/>
      <c r="Y517" s="575"/>
      <c r="Z517" s="575"/>
      <c r="AA517" s="575"/>
      <c r="AB517" s="809"/>
      <c r="AC517" s="575"/>
      <c r="AD517" s="575"/>
      <c r="AE517" s="575"/>
      <c r="AF517" s="817"/>
      <c r="AG517" s="575"/>
      <c r="AH517" s="575"/>
      <c r="AI517" s="738">
        <f t="shared" si="31"/>
        <v>0</v>
      </c>
      <c r="AJ517" s="582">
        <v>0</v>
      </c>
      <c r="AK517" s="581">
        <f t="shared" si="29"/>
        <v>0</v>
      </c>
      <c r="AL517" s="750" t="s">
        <v>1722</v>
      </c>
      <c r="AM517" s="743">
        <f t="shared" si="30"/>
        <v>64</v>
      </c>
    </row>
    <row r="518" spans="1:39" s="560" customFormat="1" ht="14.4" hidden="1" thickBot="1">
      <c r="A518" s="620" t="s">
        <v>1077</v>
      </c>
      <c r="B518" s="621" t="s">
        <v>1409</v>
      </c>
      <c r="C518" s="628"/>
      <c r="D518" s="580"/>
      <c r="E518" s="581"/>
      <c r="F518" s="581"/>
      <c r="G518" s="778"/>
      <c r="H518" s="581"/>
      <c r="I518" s="582"/>
      <c r="J518" s="582"/>
      <c r="K518" s="582"/>
      <c r="L518" s="575"/>
      <c r="M518" s="575"/>
      <c r="N518" s="809"/>
      <c r="O518" s="575"/>
      <c r="P518" s="575"/>
      <c r="Q518" s="575"/>
      <c r="R518" s="575"/>
      <c r="S518" s="575"/>
      <c r="T518" s="575"/>
      <c r="U518" s="809"/>
      <c r="V518" s="575"/>
      <c r="W518" s="575"/>
      <c r="X518" s="575"/>
      <c r="Y518" s="575"/>
      <c r="Z518" s="575"/>
      <c r="AA518" s="575"/>
      <c r="AB518" s="809"/>
      <c r="AC518" s="575"/>
      <c r="AD518" s="575"/>
      <c r="AE518" s="575"/>
      <c r="AF518" s="817"/>
      <c r="AG518" s="575"/>
      <c r="AH518" s="575"/>
      <c r="AI518" s="738">
        <f t="shared" si="31"/>
        <v>0</v>
      </c>
      <c r="AJ518" s="582">
        <v>0</v>
      </c>
      <c r="AK518" s="581">
        <f t="shared" si="29"/>
        <v>0</v>
      </c>
      <c r="AL518" s="750"/>
      <c r="AM518" s="743">
        <f t="shared" si="30"/>
        <v>0</v>
      </c>
    </row>
    <row r="519" spans="1:39" s="560" customFormat="1" ht="14.4" hidden="1" thickBot="1">
      <c r="A519" s="620" t="s">
        <v>1078</v>
      </c>
      <c r="B519" s="621" t="s">
        <v>1410</v>
      </c>
      <c r="C519" s="628" t="s">
        <v>37</v>
      </c>
      <c r="D519" s="580"/>
      <c r="E519" s="581"/>
      <c r="F519" s="581"/>
      <c r="G519" s="778"/>
      <c r="H519" s="581"/>
      <c r="I519" s="582"/>
      <c r="J519" s="582"/>
      <c r="K519" s="582"/>
      <c r="L519" s="575"/>
      <c r="M519" s="575"/>
      <c r="N519" s="809"/>
      <c r="O519" s="575"/>
      <c r="P519" s="575"/>
      <c r="Q519" s="575"/>
      <c r="R519" s="575"/>
      <c r="S519" s="575"/>
      <c r="T519" s="575"/>
      <c r="U519" s="809"/>
      <c r="V519" s="575"/>
      <c r="W519" s="575"/>
      <c r="X519" s="575"/>
      <c r="Y519" s="575"/>
      <c r="Z519" s="575"/>
      <c r="AA519" s="575"/>
      <c r="AB519" s="809"/>
      <c r="AC519" s="575"/>
      <c r="AD519" s="575"/>
      <c r="AE519" s="575"/>
      <c r="AF519" s="817"/>
      <c r="AG519" s="575"/>
      <c r="AH519" s="575"/>
      <c r="AI519" s="738">
        <f t="shared" si="31"/>
        <v>0</v>
      </c>
      <c r="AJ519" s="582">
        <v>0</v>
      </c>
      <c r="AK519" s="581">
        <f t="shared" si="29"/>
        <v>0</v>
      </c>
      <c r="AL519" s="750" t="s">
        <v>1722</v>
      </c>
      <c r="AM519" s="743">
        <f t="shared" si="30"/>
        <v>64</v>
      </c>
    </row>
    <row r="520" spans="1:39" s="560" customFormat="1" ht="14.4" hidden="1" thickBot="1">
      <c r="A520" s="620" t="s">
        <v>1079</v>
      </c>
      <c r="B520" s="621" t="s">
        <v>1411</v>
      </c>
      <c r="C520" s="628"/>
      <c r="D520" s="580"/>
      <c r="E520" s="581"/>
      <c r="F520" s="581"/>
      <c r="G520" s="778"/>
      <c r="H520" s="581"/>
      <c r="I520" s="582"/>
      <c r="J520" s="582"/>
      <c r="K520" s="582"/>
      <c r="L520" s="575"/>
      <c r="M520" s="575"/>
      <c r="N520" s="809"/>
      <c r="O520" s="575"/>
      <c r="P520" s="575"/>
      <c r="Q520" s="575"/>
      <c r="R520" s="575"/>
      <c r="S520" s="575"/>
      <c r="T520" s="575"/>
      <c r="U520" s="809"/>
      <c r="V520" s="575"/>
      <c r="W520" s="575"/>
      <c r="X520" s="575"/>
      <c r="Y520" s="575"/>
      <c r="Z520" s="575"/>
      <c r="AA520" s="575"/>
      <c r="AB520" s="809"/>
      <c r="AC520" s="575"/>
      <c r="AD520" s="575"/>
      <c r="AE520" s="575"/>
      <c r="AF520" s="817"/>
      <c r="AG520" s="575"/>
      <c r="AH520" s="575"/>
      <c r="AI520" s="738">
        <f t="shared" si="31"/>
        <v>0</v>
      </c>
      <c r="AJ520" s="582">
        <v>0</v>
      </c>
      <c r="AK520" s="581">
        <f t="shared" si="29"/>
        <v>0</v>
      </c>
      <c r="AL520" s="750"/>
      <c r="AM520" s="743">
        <f t="shared" si="30"/>
        <v>0</v>
      </c>
    </row>
    <row r="521" spans="1:39" s="560" customFormat="1" ht="14.4" hidden="1" thickBot="1">
      <c r="A521" s="620" t="s">
        <v>1080</v>
      </c>
      <c r="B521" s="621" t="s">
        <v>1412</v>
      </c>
      <c r="C521" s="628" t="s">
        <v>1438</v>
      </c>
      <c r="D521" s="580"/>
      <c r="E521" s="581"/>
      <c r="F521" s="581"/>
      <c r="G521" s="778"/>
      <c r="H521" s="581"/>
      <c r="I521" s="582"/>
      <c r="J521" s="582"/>
      <c r="K521" s="582"/>
      <c r="L521" s="575"/>
      <c r="M521" s="575"/>
      <c r="N521" s="809"/>
      <c r="O521" s="575"/>
      <c r="P521" s="575"/>
      <c r="Q521" s="575"/>
      <c r="R521" s="575"/>
      <c r="S521" s="575"/>
      <c r="T521" s="575"/>
      <c r="U521" s="809"/>
      <c r="V521" s="575"/>
      <c r="W521" s="575"/>
      <c r="X521" s="575"/>
      <c r="Y521" s="575"/>
      <c r="Z521" s="575"/>
      <c r="AA521" s="575"/>
      <c r="AB521" s="809"/>
      <c r="AC521" s="575"/>
      <c r="AD521" s="575"/>
      <c r="AE521" s="575"/>
      <c r="AF521" s="817"/>
      <c r="AG521" s="575"/>
      <c r="AH521" s="575"/>
      <c r="AI521" s="738">
        <f t="shared" si="31"/>
        <v>0</v>
      </c>
      <c r="AJ521" s="582">
        <v>0</v>
      </c>
      <c r="AK521" s="581">
        <f t="shared" si="29"/>
        <v>0</v>
      </c>
      <c r="AL521" s="750" t="s">
        <v>1603</v>
      </c>
      <c r="AM521" s="743">
        <f t="shared" si="30"/>
        <v>6</v>
      </c>
    </row>
    <row r="522" spans="1:39" s="560" customFormat="1" ht="14.4" hidden="1" thickBot="1">
      <c r="A522" s="620" t="s">
        <v>1081</v>
      </c>
      <c r="B522" s="621" t="s">
        <v>1378</v>
      </c>
      <c r="C522" s="628"/>
      <c r="D522" s="580"/>
      <c r="E522" s="581"/>
      <c r="F522" s="581"/>
      <c r="G522" s="778"/>
      <c r="H522" s="581"/>
      <c r="I522" s="582"/>
      <c r="J522" s="582"/>
      <c r="K522" s="582"/>
      <c r="L522" s="575"/>
      <c r="M522" s="575"/>
      <c r="N522" s="809"/>
      <c r="O522" s="575"/>
      <c r="P522" s="575"/>
      <c r="Q522" s="575"/>
      <c r="R522" s="575"/>
      <c r="S522" s="575"/>
      <c r="T522" s="575"/>
      <c r="U522" s="809"/>
      <c r="V522" s="575"/>
      <c r="W522" s="575"/>
      <c r="X522" s="575"/>
      <c r="Y522" s="575"/>
      <c r="Z522" s="575"/>
      <c r="AA522" s="575"/>
      <c r="AB522" s="809"/>
      <c r="AC522" s="575"/>
      <c r="AD522" s="575"/>
      <c r="AE522" s="575"/>
      <c r="AF522" s="817"/>
      <c r="AG522" s="575"/>
      <c r="AH522" s="575"/>
      <c r="AI522" s="738">
        <f t="shared" si="31"/>
        <v>0</v>
      </c>
      <c r="AJ522" s="582">
        <v>0</v>
      </c>
      <c r="AK522" s="581">
        <f t="shared" si="29"/>
        <v>0</v>
      </c>
      <c r="AL522" s="750"/>
      <c r="AM522" s="743">
        <f t="shared" si="30"/>
        <v>0</v>
      </c>
    </row>
    <row r="523" spans="1:39" s="560" customFormat="1" ht="14.4" hidden="1" thickBot="1">
      <c r="A523" s="620" t="s">
        <v>1082</v>
      </c>
      <c r="B523" s="621" t="s">
        <v>1413</v>
      </c>
      <c r="C523" s="628" t="s">
        <v>35</v>
      </c>
      <c r="D523" s="580"/>
      <c r="E523" s="581"/>
      <c r="F523" s="581"/>
      <c r="G523" s="778"/>
      <c r="H523" s="581"/>
      <c r="I523" s="582"/>
      <c r="J523" s="582"/>
      <c r="K523" s="582"/>
      <c r="L523" s="575"/>
      <c r="M523" s="575"/>
      <c r="N523" s="809"/>
      <c r="O523" s="575"/>
      <c r="P523" s="575"/>
      <c r="Q523" s="575"/>
      <c r="R523" s="575"/>
      <c r="S523" s="575"/>
      <c r="T523" s="575"/>
      <c r="U523" s="809"/>
      <c r="V523" s="575"/>
      <c r="W523" s="575"/>
      <c r="X523" s="575"/>
      <c r="Y523" s="575"/>
      <c r="Z523" s="575"/>
      <c r="AA523" s="575"/>
      <c r="AB523" s="809"/>
      <c r="AC523" s="575"/>
      <c r="AD523" s="575"/>
      <c r="AE523" s="575"/>
      <c r="AF523" s="817"/>
      <c r="AG523" s="575"/>
      <c r="AH523" s="575"/>
      <c r="AI523" s="738">
        <f t="shared" si="31"/>
        <v>0</v>
      </c>
      <c r="AJ523" s="582">
        <v>0</v>
      </c>
      <c r="AK523" s="581">
        <f t="shared" si="29"/>
        <v>0</v>
      </c>
      <c r="AL523" s="750" t="s">
        <v>1603</v>
      </c>
      <c r="AM523" s="743">
        <f t="shared" si="30"/>
        <v>6</v>
      </c>
    </row>
    <row r="524" spans="1:39" s="560" customFormat="1" ht="14.4" hidden="1" thickBot="1">
      <c r="A524" s="620" t="s">
        <v>1083</v>
      </c>
      <c r="B524" s="621" t="s">
        <v>1414</v>
      </c>
      <c r="C524" s="628"/>
      <c r="D524" s="580"/>
      <c r="E524" s="581"/>
      <c r="F524" s="581"/>
      <c r="G524" s="778"/>
      <c r="H524" s="581"/>
      <c r="I524" s="582"/>
      <c r="J524" s="582"/>
      <c r="K524" s="582"/>
      <c r="L524" s="575"/>
      <c r="M524" s="575"/>
      <c r="N524" s="809"/>
      <c r="O524" s="575"/>
      <c r="P524" s="575"/>
      <c r="Q524" s="575"/>
      <c r="R524" s="575"/>
      <c r="S524" s="575"/>
      <c r="T524" s="575"/>
      <c r="U524" s="809"/>
      <c r="V524" s="575"/>
      <c r="W524" s="575"/>
      <c r="X524" s="575"/>
      <c r="Y524" s="575"/>
      <c r="Z524" s="575"/>
      <c r="AA524" s="575"/>
      <c r="AB524" s="809"/>
      <c r="AC524" s="575"/>
      <c r="AD524" s="575"/>
      <c r="AE524" s="575"/>
      <c r="AF524" s="817"/>
      <c r="AG524" s="575"/>
      <c r="AH524" s="575"/>
      <c r="AI524" s="738">
        <f t="shared" si="31"/>
        <v>0</v>
      </c>
      <c r="AJ524" s="582">
        <v>0</v>
      </c>
      <c r="AK524" s="581">
        <f t="shared" si="29"/>
        <v>0</v>
      </c>
      <c r="AL524" s="750"/>
      <c r="AM524" s="743">
        <f t="shared" si="30"/>
        <v>0</v>
      </c>
    </row>
    <row r="525" spans="1:39" s="560" customFormat="1" ht="14.4" hidden="1" thickBot="1">
      <c r="A525" s="620" t="s">
        <v>1084</v>
      </c>
      <c r="B525" s="621" t="s">
        <v>1405</v>
      </c>
      <c r="C525" s="628"/>
      <c r="D525" s="580"/>
      <c r="E525" s="581"/>
      <c r="F525" s="581"/>
      <c r="G525" s="778"/>
      <c r="H525" s="581"/>
      <c r="I525" s="582"/>
      <c r="J525" s="582"/>
      <c r="K525" s="582"/>
      <c r="L525" s="575"/>
      <c r="M525" s="575"/>
      <c r="N525" s="809"/>
      <c r="O525" s="575"/>
      <c r="P525" s="575"/>
      <c r="Q525" s="575"/>
      <c r="R525" s="575"/>
      <c r="S525" s="575"/>
      <c r="T525" s="575"/>
      <c r="U525" s="809"/>
      <c r="V525" s="575"/>
      <c r="W525" s="575"/>
      <c r="X525" s="575"/>
      <c r="Y525" s="575"/>
      <c r="Z525" s="575"/>
      <c r="AA525" s="575"/>
      <c r="AB525" s="809"/>
      <c r="AC525" s="575"/>
      <c r="AD525" s="575"/>
      <c r="AE525" s="575"/>
      <c r="AF525" s="817"/>
      <c r="AG525" s="575"/>
      <c r="AH525" s="575"/>
      <c r="AI525" s="738">
        <f t="shared" si="31"/>
        <v>0</v>
      </c>
      <c r="AJ525" s="582">
        <v>0</v>
      </c>
      <c r="AK525" s="581">
        <f t="shared" si="29"/>
        <v>0</v>
      </c>
      <c r="AL525" s="750"/>
      <c r="AM525" s="743">
        <f t="shared" si="30"/>
        <v>0</v>
      </c>
    </row>
    <row r="526" spans="1:39" s="560" customFormat="1" ht="14.4" hidden="1" thickBot="1">
      <c r="A526" s="620" t="s">
        <v>1085</v>
      </c>
      <c r="B526" s="621" t="s">
        <v>1406</v>
      </c>
      <c r="C526" s="628" t="s">
        <v>37</v>
      </c>
      <c r="D526" s="580"/>
      <c r="E526" s="581"/>
      <c r="F526" s="581"/>
      <c r="G526" s="778"/>
      <c r="H526" s="581"/>
      <c r="I526" s="582"/>
      <c r="J526" s="582"/>
      <c r="K526" s="582"/>
      <c r="L526" s="575"/>
      <c r="M526" s="575"/>
      <c r="N526" s="809"/>
      <c r="O526" s="575"/>
      <c r="P526" s="575"/>
      <c r="Q526" s="575"/>
      <c r="R526" s="575"/>
      <c r="S526" s="575"/>
      <c r="T526" s="575"/>
      <c r="U526" s="809"/>
      <c r="V526" s="575"/>
      <c r="W526" s="575"/>
      <c r="X526" s="575"/>
      <c r="Y526" s="575"/>
      <c r="Z526" s="575"/>
      <c r="AA526" s="575"/>
      <c r="AB526" s="809"/>
      <c r="AC526" s="575"/>
      <c r="AD526" s="575"/>
      <c r="AE526" s="575"/>
      <c r="AF526" s="817"/>
      <c r="AG526" s="575"/>
      <c r="AH526" s="575"/>
      <c r="AI526" s="738">
        <f t="shared" si="31"/>
        <v>0</v>
      </c>
      <c r="AJ526" s="582">
        <v>0</v>
      </c>
      <c r="AK526" s="581">
        <f t="shared" si="29"/>
        <v>0</v>
      </c>
      <c r="AL526" s="750" t="s">
        <v>1755</v>
      </c>
      <c r="AM526" s="743">
        <f t="shared" si="30"/>
        <v>56</v>
      </c>
    </row>
    <row r="527" spans="1:39" s="560" customFormat="1" ht="14.4" hidden="1" thickBot="1">
      <c r="A527" s="620" t="s">
        <v>1086</v>
      </c>
      <c r="B527" s="621" t="s">
        <v>1407</v>
      </c>
      <c r="C527" s="628"/>
      <c r="D527" s="580"/>
      <c r="E527" s="581"/>
      <c r="F527" s="581"/>
      <c r="G527" s="778"/>
      <c r="H527" s="581"/>
      <c r="I527" s="582"/>
      <c r="J527" s="582"/>
      <c r="K527" s="582"/>
      <c r="L527" s="575"/>
      <c r="M527" s="575"/>
      <c r="N527" s="809"/>
      <c r="O527" s="575"/>
      <c r="P527" s="575"/>
      <c r="Q527" s="575"/>
      <c r="R527" s="575"/>
      <c r="S527" s="575"/>
      <c r="T527" s="575"/>
      <c r="U527" s="809"/>
      <c r="V527" s="575"/>
      <c r="W527" s="575"/>
      <c r="X527" s="575"/>
      <c r="Y527" s="575"/>
      <c r="Z527" s="575"/>
      <c r="AA527" s="575"/>
      <c r="AB527" s="809"/>
      <c r="AC527" s="575"/>
      <c r="AD527" s="575"/>
      <c r="AE527" s="575"/>
      <c r="AF527" s="817"/>
      <c r="AG527" s="575"/>
      <c r="AH527" s="575"/>
      <c r="AI527" s="738">
        <f t="shared" si="31"/>
        <v>0</v>
      </c>
      <c r="AJ527" s="582">
        <v>0</v>
      </c>
      <c r="AK527" s="581">
        <f t="shared" si="29"/>
        <v>0</v>
      </c>
      <c r="AL527" s="750"/>
      <c r="AM527" s="743">
        <f t="shared" si="30"/>
        <v>0</v>
      </c>
    </row>
    <row r="528" spans="1:39" s="560" customFormat="1" ht="14.4" hidden="1" thickBot="1">
      <c r="A528" s="620" t="s">
        <v>1087</v>
      </c>
      <c r="B528" s="621" t="s">
        <v>1415</v>
      </c>
      <c r="C528" s="628" t="s">
        <v>37</v>
      </c>
      <c r="D528" s="580"/>
      <c r="E528" s="581"/>
      <c r="F528" s="581"/>
      <c r="G528" s="778"/>
      <c r="H528" s="581"/>
      <c r="I528" s="582"/>
      <c r="J528" s="582"/>
      <c r="K528" s="582"/>
      <c r="L528" s="575"/>
      <c r="M528" s="575"/>
      <c r="N528" s="809"/>
      <c r="O528" s="575"/>
      <c r="P528" s="575"/>
      <c r="Q528" s="575"/>
      <c r="R528" s="575"/>
      <c r="S528" s="575"/>
      <c r="T528" s="575"/>
      <c r="U528" s="809"/>
      <c r="V528" s="575"/>
      <c r="W528" s="575"/>
      <c r="X528" s="575"/>
      <c r="Y528" s="575"/>
      <c r="Z528" s="575"/>
      <c r="AA528" s="575"/>
      <c r="AB528" s="809"/>
      <c r="AC528" s="575"/>
      <c r="AD528" s="575"/>
      <c r="AE528" s="575"/>
      <c r="AF528" s="817"/>
      <c r="AG528" s="575"/>
      <c r="AH528" s="575"/>
      <c r="AI528" s="738">
        <f t="shared" si="31"/>
        <v>0</v>
      </c>
      <c r="AJ528" s="582">
        <v>0</v>
      </c>
      <c r="AK528" s="581">
        <f t="shared" si="29"/>
        <v>0</v>
      </c>
      <c r="AL528" s="750" t="s">
        <v>1756</v>
      </c>
      <c r="AM528" s="743">
        <f t="shared" si="30"/>
        <v>80</v>
      </c>
    </row>
    <row r="529" spans="1:39" s="560" customFormat="1" ht="14.4" hidden="1" thickBot="1">
      <c r="A529" s="620" t="s">
        <v>1088</v>
      </c>
      <c r="B529" s="621" t="s">
        <v>1409</v>
      </c>
      <c r="C529" s="628"/>
      <c r="D529" s="580"/>
      <c r="E529" s="581"/>
      <c r="F529" s="581"/>
      <c r="G529" s="778"/>
      <c r="H529" s="581"/>
      <c r="I529" s="582"/>
      <c r="J529" s="582"/>
      <c r="K529" s="582"/>
      <c r="L529" s="575"/>
      <c r="M529" s="575"/>
      <c r="N529" s="809"/>
      <c r="O529" s="575"/>
      <c r="P529" s="575"/>
      <c r="Q529" s="575"/>
      <c r="R529" s="575"/>
      <c r="S529" s="575"/>
      <c r="T529" s="575"/>
      <c r="U529" s="809"/>
      <c r="V529" s="575"/>
      <c r="W529" s="575"/>
      <c r="X529" s="575"/>
      <c r="Y529" s="575"/>
      <c r="Z529" s="575"/>
      <c r="AA529" s="575"/>
      <c r="AB529" s="809"/>
      <c r="AC529" s="575"/>
      <c r="AD529" s="575"/>
      <c r="AE529" s="575"/>
      <c r="AF529" s="817"/>
      <c r="AG529" s="575"/>
      <c r="AH529" s="575"/>
      <c r="AI529" s="738">
        <f t="shared" si="31"/>
        <v>0</v>
      </c>
      <c r="AJ529" s="582">
        <v>0</v>
      </c>
      <c r="AK529" s="581">
        <f t="shared" si="29"/>
        <v>0</v>
      </c>
      <c r="AL529" s="750"/>
      <c r="AM529" s="743">
        <f t="shared" si="30"/>
        <v>0</v>
      </c>
    </row>
    <row r="530" spans="1:39" s="560" customFormat="1" ht="14.4" hidden="1" thickBot="1">
      <c r="A530" s="620" t="s">
        <v>1089</v>
      </c>
      <c r="B530" s="621" t="s">
        <v>1416</v>
      </c>
      <c r="C530" s="628" t="s">
        <v>37</v>
      </c>
      <c r="D530" s="580"/>
      <c r="E530" s="581"/>
      <c r="F530" s="581"/>
      <c r="G530" s="778"/>
      <c r="H530" s="581"/>
      <c r="I530" s="582"/>
      <c r="J530" s="582"/>
      <c r="K530" s="582"/>
      <c r="L530" s="575"/>
      <c r="M530" s="575"/>
      <c r="N530" s="809"/>
      <c r="O530" s="575"/>
      <c r="P530" s="575"/>
      <c r="Q530" s="575"/>
      <c r="R530" s="575"/>
      <c r="S530" s="575"/>
      <c r="T530" s="575"/>
      <c r="U530" s="809"/>
      <c r="V530" s="575"/>
      <c r="W530" s="575"/>
      <c r="X530" s="575"/>
      <c r="Y530" s="575"/>
      <c r="Z530" s="575"/>
      <c r="AA530" s="575"/>
      <c r="AB530" s="809"/>
      <c r="AC530" s="575"/>
      <c r="AD530" s="575"/>
      <c r="AE530" s="575"/>
      <c r="AF530" s="817"/>
      <c r="AG530" s="575"/>
      <c r="AH530" s="575"/>
      <c r="AI530" s="738">
        <f t="shared" si="31"/>
        <v>0</v>
      </c>
      <c r="AJ530" s="582">
        <v>0</v>
      </c>
      <c r="AK530" s="581">
        <f t="shared" si="29"/>
        <v>0</v>
      </c>
      <c r="AL530" s="750" t="s">
        <v>1755</v>
      </c>
      <c r="AM530" s="743">
        <f t="shared" si="30"/>
        <v>56</v>
      </c>
    </row>
    <row r="531" spans="1:39" s="560" customFormat="1" ht="14.4" hidden="1" thickBot="1">
      <c r="A531" s="620" t="s">
        <v>1090</v>
      </c>
      <c r="B531" s="621" t="s">
        <v>1417</v>
      </c>
      <c r="C531" s="628"/>
      <c r="D531" s="580"/>
      <c r="E531" s="581"/>
      <c r="F531" s="581"/>
      <c r="G531" s="778"/>
      <c r="H531" s="581"/>
      <c r="I531" s="582"/>
      <c r="J531" s="582"/>
      <c r="K531" s="582"/>
      <c r="L531" s="575"/>
      <c r="M531" s="575"/>
      <c r="N531" s="809"/>
      <c r="O531" s="575"/>
      <c r="P531" s="575"/>
      <c r="Q531" s="575"/>
      <c r="R531" s="575"/>
      <c r="S531" s="575"/>
      <c r="T531" s="575"/>
      <c r="U531" s="809"/>
      <c r="V531" s="575"/>
      <c r="W531" s="575"/>
      <c r="X531" s="575"/>
      <c r="Y531" s="575"/>
      <c r="Z531" s="575"/>
      <c r="AA531" s="575"/>
      <c r="AB531" s="809"/>
      <c r="AC531" s="575"/>
      <c r="AD531" s="575"/>
      <c r="AE531" s="575"/>
      <c r="AF531" s="817"/>
      <c r="AG531" s="575"/>
      <c r="AH531" s="575"/>
      <c r="AI531" s="738">
        <f t="shared" si="31"/>
        <v>0</v>
      </c>
      <c r="AJ531" s="582">
        <v>0</v>
      </c>
      <c r="AK531" s="581">
        <f t="shared" si="29"/>
        <v>0</v>
      </c>
      <c r="AL531" s="750"/>
      <c r="AM531" s="743">
        <f t="shared" si="30"/>
        <v>0</v>
      </c>
    </row>
    <row r="532" spans="1:39" s="560" customFormat="1" ht="14.4" hidden="1" thickBot="1">
      <c r="A532" s="620" t="s">
        <v>1091</v>
      </c>
      <c r="B532" s="621" t="s">
        <v>1418</v>
      </c>
      <c r="C532" s="628" t="s">
        <v>35</v>
      </c>
      <c r="D532" s="580"/>
      <c r="E532" s="581"/>
      <c r="F532" s="581"/>
      <c r="G532" s="778"/>
      <c r="H532" s="581"/>
      <c r="I532" s="582"/>
      <c r="J532" s="582"/>
      <c r="K532" s="582"/>
      <c r="L532" s="575"/>
      <c r="M532" s="575"/>
      <c r="N532" s="809"/>
      <c r="O532" s="575"/>
      <c r="P532" s="575"/>
      <c r="Q532" s="575"/>
      <c r="R532" s="575"/>
      <c r="S532" s="575"/>
      <c r="T532" s="575"/>
      <c r="U532" s="809"/>
      <c r="V532" s="575"/>
      <c r="W532" s="575"/>
      <c r="X532" s="575"/>
      <c r="Y532" s="575"/>
      <c r="Z532" s="575"/>
      <c r="AA532" s="575"/>
      <c r="AB532" s="809"/>
      <c r="AC532" s="575"/>
      <c r="AD532" s="575"/>
      <c r="AE532" s="575"/>
      <c r="AF532" s="817"/>
      <c r="AG532" s="575"/>
      <c r="AH532" s="575"/>
      <c r="AI532" s="738">
        <f t="shared" si="31"/>
        <v>0</v>
      </c>
      <c r="AJ532" s="582">
        <v>0</v>
      </c>
      <c r="AK532" s="581">
        <f t="shared" si="29"/>
        <v>0</v>
      </c>
      <c r="AL532" s="750" t="s">
        <v>1603</v>
      </c>
      <c r="AM532" s="743">
        <f t="shared" si="30"/>
        <v>6</v>
      </c>
    </row>
    <row r="533" spans="1:39" s="560" customFormat="1" ht="14.4" hidden="1" thickBot="1">
      <c r="A533" s="620" t="s">
        <v>1092</v>
      </c>
      <c r="B533" s="621" t="s">
        <v>1419</v>
      </c>
      <c r="C533" s="628"/>
      <c r="D533" s="580"/>
      <c r="E533" s="581"/>
      <c r="F533" s="581"/>
      <c r="G533" s="778"/>
      <c r="H533" s="581"/>
      <c r="I533" s="582"/>
      <c r="J533" s="582"/>
      <c r="K533" s="582"/>
      <c r="L533" s="575"/>
      <c r="M533" s="575"/>
      <c r="N533" s="809"/>
      <c r="O533" s="575"/>
      <c r="P533" s="575"/>
      <c r="Q533" s="575"/>
      <c r="R533" s="575"/>
      <c r="S533" s="575"/>
      <c r="T533" s="575"/>
      <c r="U533" s="809"/>
      <c r="V533" s="575"/>
      <c r="W533" s="575"/>
      <c r="X533" s="575"/>
      <c r="Y533" s="575"/>
      <c r="Z533" s="575"/>
      <c r="AA533" s="575"/>
      <c r="AB533" s="809"/>
      <c r="AC533" s="575"/>
      <c r="AD533" s="575"/>
      <c r="AE533" s="575"/>
      <c r="AF533" s="817"/>
      <c r="AG533" s="575"/>
      <c r="AH533" s="575"/>
      <c r="AI533" s="738">
        <f t="shared" si="31"/>
        <v>0</v>
      </c>
      <c r="AJ533" s="582">
        <v>0</v>
      </c>
      <c r="AK533" s="581">
        <f t="shared" si="29"/>
        <v>0</v>
      </c>
      <c r="AL533" s="750"/>
      <c r="AM533" s="743">
        <f t="shared" si="30"/>
        <v>0</v>
      </c>
    </row>
    <row r="534" spans="1:39" s="560" customFormat="1" ht="14.4" hidden="1" thickBot="1">
      <c r="A534" s="620" t="s">
        <v>1093</v>
      </c>
      <c r="B534" s="621" t="s">
        <v>1420</v>
      </c>
      <c r="C534" s="628" t="s">
        <v>1438</v>
      </c>
      <c r="D534" s="580"/>
      <c r="E534" s="581"/>
      <c r="F534" s="581"/>
      <c r="G534" s="778"/>
      <c r="H534" s="581"/>
      <c r="I534" s="582"/>
      <c r="J534" s="582"/>
      <c r="K534" s="582"/>
      <c r="L534" s="575"/>
      <c r="M534" s="575"/>
      <c r="N534" s="809"/>
      <c r="O534" s="575"/>
      <c r="P534" s="575"/>
      <c r="Q534" s="575"/>
      <c r="R534" s="575"/>
      <c r="S534" s="575"/>
      <c r="T534" s="575"/>
      <c r="U534" s="809"/>
      <c r="V534" s="575"/>
      <c r="W534" s="575"/>
      <c r="X534" s="575"/>
      <c r="Y534" s="575"/>
      <c r="Z534" s="575"/>
      <c r="AA534" s="575"/>
      <c r="AB534" s="809"/>
      <c r="AC534" s="575"/>
      <c r="AD534" s="575"/>
      <c r="AE534" s="575"/>
      <c r="AF534" s="817"/>
      <c r="AG534" s="575"/>
      <c r="AH534" s="575"/>
      <c r="AI534" s="738">
        <f t="shared" si="31"/>
        <v>0</v>
      </c>
      <c r="AJ534" s="582">
        <v>0</v>
      </c>
      <c r="AK534" s="581">
        <f t="shared" ref="AK534:AK558" si="32">AI534+AJ534</f>
        <v>0</v>
      </c>
      <c r="AL534" s="750" t="s">
        <v>1603</v>
      </c>
      <c r="AM534" s="743">
        <f t="shared" ref="AM534:AM558" si="33">AL534-AK534</f>
        <v>6</v>
      </c>
    </row>
    <row r="535" spans="1:39" s="560" customFormat="1" ht="14.4" hidden="1" thickBot="1">
      <c r="A535" s="620" t="s">
        <v>1094</v>
      </c>
      <c r="B535" s="621" t="s">
        <v>1402</v>
      </c>
      <c r="C535" s="628"/>
      <c r="D535" s="580"/>
      <c r="E535" s="581"/>
      <c r="F535" s="581"/>
      <c r="G535" s="778"/>
      <c r="H535" s="581"/>
      <c r="I535" s="582"/>
      <c r="J535" s="582"/>
      <c r="K535" s="582"/>
      <c r="L535" s="575"/>
      <c r="M535" s="575"/>
      <c r="N535" s="809"/>
      <c r="O535" s="575"/>
      <c r="P535" s="575"/>
      <c r="Q535" s="575"/>
      <c r="R535" s="575"/>
      <c r="S535" s="575"/>
      <c r="T535" s="575"/>
      <c r="U535" s="809"/>
      <c r="V535" s="575"/>
      <c r="W535" s="575"/>
      <c r="X535" s="575"/>
      <c r="Y535" s="575"/>
      <c r="Z535" s="575"/>
      <c r="AA535" s="575"/>
      <c r="AB535" s="809"/>
      <c r="AC535" s="575"/>
      <c r="AD535" s="575"/>
      <c r="AE535" s="575"/>
      <c r="AF535" s="817"/>
      <c r="AG535" s="575"/>
      <c r="AH535" s="575"/>
      <c r="AI535" s="738">
        <f t="shared" si="31"/>
        <v>0</v>
      </c>
      <c r="AJ535" s="582">
        <v>0</v>
      </c>
      <c r="AK535" s="581">
        <f t="shared" si="32"/>
        <v>0</v>
      </c>
      <c r="AL535" s="750"/>
      <c r="AM535" s="743">
        <f t="shared" si="33"/>
        <v>0</v>
      </c>
    </row>
    <row r="536" spans="1:39" s="560" customFormat="1" ht="14.4" hidden="1" thickBot="1">
      <c r="A536" s="620" t="s">
        <v>1095</v>
      </c>
      <c r="B536" s="621" t="s">
        <v>1421</v>
      </c>
      <c r="C536" s="628" t="s">
        <v>35</v>
      </c>
      <c r="D536" s="580"/>
      <c r="E536" s="581"/>
      <c r="F536" s="581"/>
      <c r="G536" s="778"/>
      <c r="H536" s="581"/>
      <c r="I536" s="582"/>
      <c r="J536" s="582"/>
      <c r="K536" s="582"/>
      <c r="L536" s="575"/>
      <c r="M536" s="575"/>
      <c r="N536" s="809"/>
      <c r="O536" s="575"/>
      <c r="P536" s="575"/>
      <c r="Q536" s="575"/>
      <c r="R536" s="575"/>
      <c r="S536" s="575"/>
      <c r="T536" s="575"/>
      <c r="U536" s="809"/>
      <c r="V536" s="575"/>
      <c r="W536" s="575"/>
      <c r="X536" s="575"/>
      <c r="Y536" s="575"/>
      <c r="Z536" s="575"/>
      <c r="AA536" s="575"/>
      <c r="AB536" s="809"/>
      <c r="AC536" s="575"/>
      <c r="AD536" s="575"/>
      <c r="AE536" s="575"/>
      <c r="AF536" s="817"/>
      <c r="AG536" s="575"/>
      <c r="AH536" s="575"/>
      <c r="AI536" s="738">
        <f t="shared" si="31"/>
        <v>0</v>
      </c>
      <c r="AJ536" s="582">
        <v>0</v>
      </c>
      <c r="AK536" s="581">
        <f t="shared" si="32"/>
        <v>0</v>
      </c>
      <c r="AL536" s="750" t="s">
        <v>1603</v>
      </c>
      <c r="AM536" s="743">
        <f t="shared" si="33"/>
        <v>6</v>
      </c>
    </row>
    <row r="537" spans="1:39" s="560" customFormat="1" ht="14.4" hidden="1" thickBot="1">
      <c r="A537" s="620" t="s">
        <v>1096</v>
      </c>
      <c r="B537" s="621" t="s">
        <v>1411</v>
      </c>
      <c r="C537" s="628"/>
      <c r="D537" s="580"/>
      <c r="E537" s="581"/>
      <c r="F537" s="581"/>
      <c r="G537" s="778"/>
      <c r="H537" s="581"/>
      <c r="I537" s="582"/>
      <c r="J537" s="582"/>
      <c r="K537" s="582"/>
      <c r="L537" s="575"/>
      <c r="M537" s="575"/>
      <c r="N537" s="809"/>
      <c r="O537" s="575"/>
      <c r="P537" s="575"/>
      <c r="Q537" s="575"/>
      <c r="R537" s="575"/>
      <c r="S537" s="575"/>
      <c r="T537" s="575"/>
      <c r="U537" s="809"/>
      <c r="V537" s="575"/>
      <c r="W537" s="575"/>
      <c r="X537" s="575"/>
      <c r="Y537" s="575"/>
      <c r="Z537" s="575"/>
      <c r="AA537" s="575"/>
      <c r="AB537" s="809"/>
      <c r="AC537" s="575"/>
      <c r="AD537" s="575"/>
      <c r="AE537" s="575"/>
      <c r="AF537" s="817"/>
      <c r="AG537" s="575"/>
      <c r="AH537" s="575"/>
      <c r="AI537" s="738">
        <f t="shared" si="31"/>
        <v>0</v>
      </c>
      <c r="AJ537" s="582">
        <v>0</v>
      </c>
      <c r="AK537" s="581">
        <f t="shared" si="32"/>
        <v>0</v>
      </c>
      <c r="AL537" s="750"/>
      <c r="AM537" s="743">
        <f t="shared" si="33"/>
        <v>0</v>
      </c>
    </row>
    <row r="538" spans="1:39" s="560" customFormat="1" ht="14.4" hidden="1" thickBot="1">
      <c r="A538" s="620" t="s">
        <v>1097</v>
      </c>
      <c r="B538" s="621" t="s">
        <v>1422</v>
      </c>
      <c r="C538" s="628" t="s">
        <v>1438</v>
      </c>
      <c r="D538" s="580"/>
      <c r="E538" s="581"/>
      <c r="F538" s="581"/>
      <c r="G538" s="778"/>
      <c r="H538" s="581"/>
      <c r="I538" s="582"/>
      <c r="J538" s="582"/>
      <c r="K538" s="582"/>
      <c r="L538" s="575"/>
      <c r="M538" s="575"/>
      <c r="N538" s="809"/>
      <c r="O538" s="575"/>
      <c r="P538" s="575"/>
      <c r="Q538" s="575"/>
      <c r="R538" s="575"/>
      <c r="S538" s="575"/>
      <c r="T538" s="575"/>
      <c r="U538" s="809"/>
      <c r="V538" s="575"/>
      <c r="W538" s="575"/>
      <c r="X538" s="575"/>
      <c r="Y538" s="575"/>
      <c r="Z538" s="575"/>
      <c r="AA538" s="575"/>
      <c r="AB538" s="809"/>
      <c r="AC538" s="575"/>
      <c r="AD538" s="575"/>
      <c r="AE538" s="575"/>
      <c r="AF538" s="817"/>
      <c r="AG538" s="575"/>
      <c r="AH538" s="575"/>
      <c r="AI538" s="738">
        <f t="shared" si="31"/>
        <v>0</v>
      </c>
      <c r="AJ538" s="582">
        <v>0</v>
      </c>
      <c r="AK538" s="581">
        <f t="shared" si="32"/>
        <v>0</v>
      </c>
      <c r="AL538" s="750" t="s">
        <v>1603</v>
      </c>
      <c r="AM538" s="743">
        <f t="shared" si="33"/>
        <v>6</v>
      </c>
    </row>
    <row r="539" spans="1:39" s="560" customFormat="1" ht="14.4" hidden="1" thickBot="1">
      <c r="A539" s="620" t="s">
        <v>1098</v>
      </c>
      <c r="B539" s="621" t="s">
        <v>1378</v>
      </c>
      <c r="C539" s="628"/>
      <c r="D539" s="580"/>
      <c r="E539" s="581"/>
      <c r="F539" s="581"/>
      <c r="G539" s="778"/>
      <c r="H539" s="581"/>
      <c r="I539" s="582"/>
      <c r="J539" s="582"/>
      <c r="K539" s="582"/>
      <c r="L539" s="575"/>
      <c r="M539" s="575"/>
      <c r="N539" s="809"/>
      <c r="O539" s="575"/>
      <c r="P539" s="575"/>
      <c r="Q539" s="575"/>
      <c r="R539" s="575"/>
      <c r="S539" s="575"/>
      <c r="T539" s="575"/>
      <c r="U539" s="809"/>
      <c r="V539" s="575"/>
      <c r="W539" s="575"/>
      <c r="X539" s="575"/>
      <c r="Y539" s="575"/>
      <c r="Z539" s="575"/>
      <c r="AA539" s="575"/>
      <c r="AB539" s="809"/>
      <c r="AC539" s="575"/>
      <c r="AD539" s="575"/>
      <c r="AE539" s="575"/>
      <c r="AF539" s="817"/>
      <c r="AG539" s="575"/>
      <c r="AH539" s="575"/>
      <c r="AI539" s="738">
        <f t="shared" si="31"/>
        <v>0</v>
      </c>
      <c r="AJ539" s="582">
        <v>0</v>
      </c>
      <c r="AK539" s="581">
        <f t="shared" si="32"/>
        <v>0</v>
      </c>
      <c r="AL539" s="750"/>
      <c r="AM539" s="743">
        <f t="shared" si="33"/>
        <v>0</v>
      </c>
    </row>
    <row r="540" spans="1:39" s="560" customFormat="1" ht="14.4" hidden="1" thickBot="1">
      <c r="A540" s="620" t="s">
        <v>1099</v>
      </c>
      <c r="B540" s="621" t="s">
        <v>1423</v>
      </c>
      <c r="C540" s="628" t="s">
        <v>35</v>
      </c>
      <c r="D540" s="580"/>
      <c r="E540" s="581"/>
      <c r="F540" s="581"/>
      <c r="G540" s="778"/>
      <c r="H540" s="581"/>
      <c r="I540" s="582"/>
      <c r="J540" s="582"/>
      <c r="K540" s="582"/>
      <c r="L540" s="575"/>
      <c r="M540" s="575"/>
      <c r="N540" s="809"/>
      <c r="O540" s="575"/>
      <c r="P540" s="575"/>
      <c r="Q540" s="575"/>
      <c r="R540" s="575"/>
      <c r="S540" s="575"/>
      <c r="T540" s="575"/>
      <c r="U540" s="809"/>
      <c r="V540" s="575"/>
      <c r="W540" s="575"/>
      <c r="X540" s="575"/>
      <c r="Y540" s="575"/>
      <c r="Z540" s="575"/>
      <c r="AA540" s="575"/>
      <c r="AB540" s="809"/>
      <c r="AC540" s="575"/>
      <c r="AD540" s="575"/>
      <c r="AE540" s="575"/>
      <c r="AF540" s="817"/>
      <c r="AG540" s="575"/>
      <c r="AH540" s="575"/>
      <c r="AI540" s="738">
        <f t="shared" si="31"/>
        <v>0</v>
      </c>
      <c r="AJ540" s="582">
        <v>0</v>
      </c>
      <c r="AK540" s="581">
        <f t="shared" si="32"/>
        <v>0</v>
      </c>
      <c r="AL540" s="750" t="s">
        <v>1603</v>
      </c>
      <c r="AM540" s="743">
        <f t="shared" si="33"/>
        <v>6</v>
      </c>
    </row>
    <row r="541" spans="1:39" s="560" customFormat="1" ht="14.4" hidden="1" thickBot="1">
      <c r="A541" s="620" t="s">
        <v>1100</v>
      </c>
      <c r="B541" s="621" t="s">
        <v>1424</v>
      </c>
      <c r="C541" s="628"/>
      <c r="D541" s="580"/>
      <c r="E541" s="581"/>
      <c r="F541" s="581"/>
      <c r="G541" s="778"/>
      <c r="H541" s="581"/>
      <c r="I541" s="582"/>
      <c r="J541" s="582"/>
      <c r="K541" s="582"/>
      <c r="L541" s="575"/>
      <c r="M541" s="575"/>
      <c r="N541" s="809"/>
      <c r="O541" s="575"/>
      <c r="P541" s="575"/>
      <c r="Q541" s="575"/>
      <c r="R541" s="575"/>
      <c r="S541" s="575"/>
      <c r="T541" s="575"/>
      <c r="U541" s="809"/>
      <c r="V541" s="575"/>
      <c r="W541" s="575"/>
      <c r="X541" s="575"/>
      <c r="Y541" s="575"/>
      <c r="Z541" s="575"/>
      <c r="AA541" s="575"/>
      <c r="AB541" s="809"/>
      <c r="AC541" s="575"/>
      <c r="AD541" s="575"/>
      <c r="AE541" s="575"/>
      <c r="AF541" s="817"/>
      <c r="AG541" s="575"/>
      <c r="AH541" s="575"/>
      <c r="AI541" s="738">
        <f t="shared" si="31"/>
        <v>0</v>
      </c>
      <c r="AJ541" s="582">
        <v>0</v>
      </c>
      <c r="AK541" s="581">
        <f t="shared" si="32"/>
        <v>0</v>
      </c>
      <c r="AL541" s="750"/>
      <c r="AM541" s="743">
        <f t="shared" si="33"/>
        <v>0</v>
      </c>
    </row>
    <row r="542" spans="1:39" s="560" customFormat="1" ht="14.4" hidden="1" thickBot="1">
      <c r="A542" s="620" t="s">
        <v>1101</v>
      </c>
      <c r="B542" s="621" t="s">
        <v>1425</v>
      </c>
      <c r="C542" s="628"/>
      <c r="D542" s="580"/>
      <c r="E542" s="581"/>
      <c r="F542" s="581"/>
      <c r="G542" s="778"/>
      <c r="H542" s="581"/>
      <c r="I542" s="582"/>
      <c r="J542" s="582"/>
      <c r="K542" s="582"/>
      <c r="L542" s="575"/>
      <c r="M542" s="575"/>
      <c r="N542" s="809"/>
      <c r="O542" s="575"/>
      <c r="P542" s="575"/>
      <c r="Q542" s="575"/>
      <c r="R542" s="575"/>
      <c r="S542" s="575"/>
      <c r="T542" s="575"/>
      <c r="U542" s="809"/>
      <c r="V542" s="575"/>
      <c r="W542" s="575"/>
      <c r="X542" s="575"/>
      <c r="Y542" s="575"/>
      <c r="Z542" s="575"/>
      <c r="AA542" s="575"/>
      <c r="AB542" s="809"/>
      <c r="AC542" s="575"/>
      <c r="AD542" s="575"/>
      <c r="AE542" s="575"/>
      <c r="AF542" s="817"/>
      <c r="AG542" s="575"/>
      <c r="AH542" s="575"/>
      <c r="AI542" s="738">
        <f t="shared" si="31"/>
        <v>0</v>
      </c>
      <c r="AJ542" s="582">
        <v>0</v>
      </c>
      <c r="AK542" s="581">
        <f t="shared" si="32"/>
        <v>0</v>
      </c>
      <c r="AL542" s="750"/>
      <c r="AM542" s="743">
        <f t="shared" si="33"/>
        <v>0</v>
      </c>
    </row>
    <row r="543" spans="1:39" s="560" customFormat="1" ht="14.4" hidden="1" thickBot="1">
      <c r="A543" s="620" t="s">
        <v>1102</v>
      </c>
      <c r="B543" s="621" t="s">
        <v>1426</v>
      </c>
      <c r="C543" s="628" t="s">
        <v>1439</v>
      </c>
      <c r="D543" s="580"/>
      <c r="E543" s="581"/>
      <c r="F543" s="581"/>
      <c r="G543" s="778"/>
      <c r="H543" s="581"/>
      <c r="I543" s="582"/>
      <c r="J543" s="582"/>
      <c r="K543" s="582"/>
      <c r="L543" s="575"/>
      <c r="M543" s="575"/>
      <c r="N543" s="809"/>
      <c r="O543" s="575"/>
      <c r="P543" s="575"/>
      <c r="Q543" s="575"/>
      <c r="R543" s="575"/>
      <c r="S543" s="575"/>
      <c r="T543" s="575"/>
      <c r="U543" s="809"/>
      <c r="V543" s="575"/>
      <c r="W543" s="575"/>
      <c r="X543" s="575"/>
      <c r="Y543" s="575"/>
      <c r="Z543" s="575"/>
      <c r="AA543" s="575"/>
      <c r="AB543" s="809"/>
      <c r="AC543" s="575"/>
      <c r="AD543" s="575"/>
      <c r="AE543" s="575"/>
      <c r="AF543" s="817"/>
      <c r="AG543" s="575"/>
      <c r="AH543" s="575"/>
      <c r="AI543" s="738">
        <f t="shared" si="31"/>
        <v>0</v>
      </c>
      <c r="AJ543" s="582">
        <v>0</v>
      </c>
      <c r="AK543" s="581">
        <f t="shared" si="32"/>
        <v>0</v>
      </c>
      <c r="AL543" s="750" t="s">
        <v>1441</v>
      </c>
      <c r="AM543" s="743">
        <f t="shared" si="33"/>
        <v>1</v>
      </c>
    </row>
    <row r="544" spans="1:39" s="560" customFormat="1" ht="14.4" hidden="1" thickBot="1">
      <c r="A544" s="620" t="s">
        <v>1103</v>
      </c>
      <c r="B544" s="621" t="s">
        <v>1427</v>
      </c>
      <c r="C544" s="628"/>
      <c r="D544" s="580"/>
      <c r="E544" s="581"/>
      <c r="F544" s="581"/>
      <c r="G544" s="778"/>
      <c r="H544" s="581"/>
      <c r="I544" s="582"/>
      <c r="J544" s="582"/>
      <c r="K544" s="582"/>
      <c r="L544" s="575"/>
      <c r="M544" s="575"/>
      <c r="N544" s="809"/>
      <c r="O544" s="575"/>
      <c r="P544" s="575"/>
      <c r="Q544" s="575"/>
      <c r="R544" s="575"/>
      <c r="S544" s="575"/>
      <c r="T544" s="575"/>
      <c r="U544" s="809"/>
      <c r="V544" s="575"/>
      <c r="W544" s="575"/>
      <c r="X544" s="575"/>
      <c r="Y544" s="575"/>
      <c r="Z544" s="575"/>
      <c r="AA544" s="575"/>
      <c r="AB544" s="809"/>
      <c r="AC544" s="575"/>
      <c r="AD544" s="575"/>
      <c r="AE544" s="575"/>
      <c r="AF544" s="817"/>
      <c r="AG544" s="575"/>
      <c r="AH544" s="575"/>
      <c r="AI544" s="738">
        <f t="shared" si="31"/>
        <v>0</v>
      </c>
      <c r="AJ544" s="582">
        <v>0</v>
      </c>
      <c r="AK544" s="581">
        <f t="shared" si="32"/>
        <v>0</v>
      </c>
      <c r="AL544" s="750"/>
      <c r="AM544" s="743">
        <f t="shared" si="33"/>
        <v>0</v>
      </c>
    </row>
    <row r="545" spans="1:39" s="560" customFormat="1" ht="14.4" hidden="1" thickBot="1">
      <c r="A545" s="620" t="s">
        <v>1104</v>
      </c>
      <c r="B545" s="621" t="s">
        <v>1428</v>
      </c>
      <c r="C545" s="628" t="s">
        <v>1440</v>
      </c>
      <c r="D545" s="580"/>
      <c r="E545" s="581"/>
      <c r="F545" s="581"/>
      <c r="G545" s="778"/>
      <c r="H545" s="581"/>
      <c r="I545" s="582"/>
      <c r="J545" s="582"/>
      <c r="K545" s="582"/>
      <c r="L545" s="575"/>
      <c r="M545" s="575"/>
      <c r="N545" s="809"/>
      <c r="O545" s="575"/>
      <c r="P545" s="575"/>
      <c r="Q545" s="575"/>
      <c r="R545" s="575"/>
      <c r="S545" s="575"/>
      <c r="T545" s="575"/>
      <c r="U545" s="809"/>
      <c r="V545" s="575"/>
      <c r="W545" s="575"/>
      <c r="X545" s="575"/>
      <c r="Y545" s="575"/>
      <c r="Z545" s="575"/>
      <c r="AA545" s="575"/>
      <c r="AB545" s="809"/>
      <c r="AC545" s="575"/>
      <c r="AD545" s="575"/>
      <c r="AE545" s="575"/>
      <c r="AF545" s="817"/>
      <c r="AG545" s="575"/>
      <c r="AH545" s="575"/>
      <c r="AI545" s="738">
        <f t="shared" si="31"/>
        <v>0</v>
      </c>
      <c r="AJ545" s="582">
        <v>0</v>
      </c>
      <c r="AK545" s="581">
        <f t="shared" si="32"/>
        <v>0</v>
      </c>
      <c r="AL545" s="750" t="s">
        <v>1684</v>
      </c>
      <c r="AM545" s="743">
        <f t="shared" si="33"/>
        <v>2</v>
      </c>
    </row>
    <row r="546" spans="1:39" s="560" customFormat="1" ht="14.4" hidden="1" thickBot="1">
      <c r="A546" s="620" t="s">
        <v>1105</v>
      </c>
      <c r="B546" s="621" t="s">
        <v>1405</v>
      </c>
      <c r="C546" s="628"/>
      <c r="D546" s="580"/>
      <c r="E546" s="581"/>
      <c r="F546" s="581"/>
      <c r="G546" s="778"/>
      <c r="H546" s="581"/>
      <c r="I546" s="582"/>
      <c r="J546" s="582"/>
      <c r="K546" s="582"/>
      <c r="L546" s="575"/>
      <c r="M546" s="575"/>
      <c r="N546" s="809"/>
      <c r="O546" s="575"/>
      <c r="P546" s="575"/>
      <c r="Q546" s="575"/>
      <c r="R546" s="575"/>
      <c r="S546" s="575"/>
      <c r="T546" s="575"/>
      <c r="U546" s="809"/>
      <c r="V546" s="575"/>
      <c r="W546" s="575"/>
      <c r="X546" s="575"/>
      <c r="Y546" s="575"/>
      <c r="Z546" s="575"/>
      <c r="AA546" s="575"/>
      <c r="AB546" s="809"/>
      <c r="AC546" s="575"/>
      <c r="AD546" s="575"/>
      <c r="AE546" s="575"/>
      <c r="AF546" s="817"/>
      <c r="AG546" s="575"/>
      <c r="AH546" s="575"/>
      <c r="AI546" s="738">
        <f t="shared" si="31"/>
        <v>0</v>
      </c>
      <c r="AJ546" s="582">
        <v>0</v>
      </c>
      <c r="AK546" s="581">
        <f t="shared" si="32"/>
        <v>0</v>
      </c>
      <c r="AL546" s="750"/>
      <c r="AM546" s="743">
        <f t="shared" si="33"/>
        <v>0</v>
      </c>
    </row>
    <row r="547" spans="1:39" s="560" customFormat="1" ht="14.4" hidden="1" thickBot="1">
      <c r="A547" s="620" t="s">
        <v>1106</v>
      </c>
      <c r="B547" s="621" t="s">
        <v>1406</v>
      </c>
      <c r="C547" s="628" t="s">
        <v>37</v>
      </c>
      <c r="D547" s="580"/>
      <c r="E547" s="581"/>
      <c r="F547" s="581"/>
      <c r="G547" s="778"/>
      <c r="H547" s="581"/>
      <c r="I547" s="582"/>
      <c r="J547" s="582"/>
      <c r="K547" s="582"/>
      <c r="L547" s="575"/>
      <c r="M547" s="575"/>
      <c r="N547" s="809"/>
      <c r="O547" s="575"/>
      <c r="P547" s="575"/>
      <c r="Q547" s="575"/>
      <c r="R547" s="575"/>
      <c r="S547" s="575"/>
      <c r="T547" s="575"/>
      <c r="U547" s="809"/>
      <c r="V547" s="575"/>
      <c r="W547" s="575"/>
      <c r="X547" s="575"/>
      <c r="Y547" s="575"/>
      <c r="Z547" s="575"/>
      <c r="AA547" s="575"/>
      <c r="AB547" s="809"/>
      <c r="AC547" s="575"/>
      <c r="AD547" s="575"/>
      <c r="AE547" s="575"/>
      <c r="AF547" s="817"/>
      <c r="AG547" s="575"/>
      <c r="AH547" s="575"/>
      <c r="AI547" s="738">
        <f t="shared" si="31"/>
        <v>0</v>
      </c>
      <c r="AJ547" s="582">
        <v>0</v>
      </c>
      <c r="AK547" s="581">
        <f t="shared" si="32"/>
        <v>0</v>
      </c>
      <c r="AL547" s="750" t="s">
        <v>1757</v>
      </c>
      <c r="AM547" s="743">
        <f t="shared" si="33"/>
        <v>90</v>
      </c>
    </row>
    <row r="548" spans="1:39" s="560" customFormat="1" ht="14.4" hidden="1" thickBot="1">
      <c r="A548" s="620" t="s">
        <v>1107</v>
      </c>
      <c r="B548" s="621" t="s">
        <v>1407</v>
      </c>
      <c r="C548" s="628"/>
      <c r="D548" s="580"/>
      <c r="E548" s="581"/>
      <c r="F548" s="581"/>
      <c r="G548" s="778"/>
      <c r="H548" s="581"/>
      <c r="I548" s="582"/>
      <c r="J548" s="582"/>
      <c r="K548" s="582"/>
      <c r="L548" s="575"/>
      <c r="M548" s="575"/>
      <c r="N548" s="809"/>
      <c r="O548" s="575"/>
      <c r="P548" s="575"/>
      <c r="Q548" s="575"/>
      <c r="R548" s="575"/>
      <c r="S548" s="575"/>
      <c r="T548" s="575"/>
      <c r="U548" s="809"/>
      <c r="V548" s="575"/>
      <c r="W548" s="575"/>
      <c r="X548" s="575"/>
      <c r="Y548" s="575"/>
      <c r="Z548" s="575"/>
      <c r="AA548" s="575"/>
      <c r="AB548" s="809"/>
      <c r="AC548" s="575"/>
      <c r="AD548" s="575"/>
      <c r="AE548" s="575"/>
      <c r="AF548" s="817"/>
      <c r="AG548" s="575"/>
      <c r="AH548" s="575"/>
      <c r="AI548" s="738">
        <f t="shared" si="31"/>
        <v>0</v>
      </c>
      <c r="AJ548" s="582">
        <v>0</v>
      </c>
      <c r="AK548" s="581">
        <f t="shared" si="32"/>
        <v>0</v>
      </c>
      <c r="AL548" s="750"/>
      <c r="AM548" s="743">
        <f t="shared" si="33"/>
        <v>0</v>
      </c>
    </row>
    <row r="549" spans="1:39" s="560" customFormat="1" ht="14.4" hidden="1" thickBot="1">
      <c r="A549" s="620" t="s">
        <v>1108</v>
      </c>
      <c r="B549" s="621" t="s">
        <v>1429</v>
      </c>
      <c r="C549" s="628" t="s">
        <v>37</v>
      </c>
      <c r="D549" s="580"/>
      <c r="E549" s="581"/>
      <c r="F549" s="581"/>
      <c r="G549" s="778"/>
      <c r="H549" s="581"/>
      <c r="I549" s="582"/>
      <c r="J549" s="582"/>
      <c r="K549" s="582"/>
      <c r="L549" s="575"/>
      <c r="M549" s="575"/>
      <c r="N549" s="809"/>
      <c r="O549" s="575"/>
      <c r="P549" s="575"/>
      <c r="Q549" s="575"/>
      <c r="R549" s="575"/>
      <c r="S549" s="575"/>
      <c r="T549" s="575"/>
      <c r="U549" s="809"/>
      <c r="V549" s="575"/>
      <c r="W549" s="575"/>
      <c r="X549" s="575"/>
      <c r="Y549" s="575"/>
      <c r="Z549" s="575"/>
      <c r="AA549" s="575"/>
      <c r="AB549" s="809"/>
      <c r="AC549" s="575"/>
      <c r="AD549" s="575"/>
      <c r="AE549" s="575"/>
      <c r="AF549" s="817"/>
      <c r="AG549" s="575"/>
      <c r="AH549" s="575"/>
      <c r="AI549" s="738">
        <f t="shared" si="31"/>
        <v>0</v>
      </c>
      <c r="AJ549" s="582">
        <v>0</v>
      </c>
      <c r="AK549" s="581">
        <f t="shared" si="32"/>
        <v>0</v>
      </c>
      <c r="AL549" s="750">
        <v>12</v>
      </c>
      <c r="AM549" s="743">
        <f t="shared" si="33"/>
        <v>12</v>
      </c>
    </row>
    <row r="550" spans="1:39" s="560" customFormat="1" ht="14.4" hidden="1" thickBot="1">
      <c r="A550" s="620" t="s">
        <v>1109</v>
      </c>
      <c r="B550" s="621" t="s">
        <v>1430</v>
      </c>
      <c r="C550" s="628" t="s">
        <v>37</v>
      </c>
      <c r="D550" s="580"/>
      <c r="E550" s="581"/>
      <c r="F550" s="581"/>
      <c r="G550" s="778"/>
      <c r="H550" s="581"/>
      <c r="I550" s="582"/>
      <c r="J550" s="582"/>
      <c r="K550" s="582"/>
      <c r="L550" s="575"/>
      <c r="M550" s="575"/>
      <c r="N550" s="809"/>
      <c r="O550" s="575"/>
      <c r="P550" s="575"/>
      <c r="Q550" s="575"/>
      <c r="R550" s="575"/>
      <c r="S550" s="575"/>
      <c r="T550" s="575"/>
      <c r="U550" s="809"/>
      <c r="V550" s="575"/>
      <c r="W550" s="575"/>
      <c r="X550" s="575"/>
      <c r="Y550" s="575"/>
      <c r="Z550" s="575"/>
      <c r="AA550" s="575"/>
      <c r="AB550" s="809"/>
      <c r="AC550" s="575"/>
      <c r="AD550" s="575"/>
      <c r="AE550" s="575"/>
      <c r="AF550" s="817"/>
      <c r="AG550" s="575"/>
      <c r="AH550" s="575"/>
      <c r="AI550" s="738">
        <f t="shared" si="31"/>
        <v>0</v>
      </c>
      <c r="AJ550" s="582">
        <v>0</v>
      </c>
      <c r="AK550" s="581">
        <f t="shared" si="32"/>
        <v>0</v>
      </c>
      <c r="AL550" s="750">
        <v>106</v>
      </c>
      <c r="AM550" s="743">
        <f t="shared" si="33"/>
        <v>106</v>
      </c>
    </row>
    <row r="551" spans="1:39" s="560" customFormat="1" ht="14.4" hidden="1" thickBot="1">
      <c r="A551" s="620" t="s">
        <v>1110</v>
      </c>
      <c r="B551" s="621" t="s">
        <v>1409</v>
      </c>
      <c r="C551" s="628"/>
      <c r="D551" s="580"/>
      <c r="E551" s="581"/>
      <c r="F551" s="581"/>
      <c r="G551" s="778"/>
      <c r="H551" s="581"/>
      <c r="I551" s="582"/>
      <c r="J551" s="582"/>
      <c r="K551" s="582"/>
      <c r="L551" s="575"/>
      <c r="M551" s="575"/>
      <c r="N551" s="809"/>
      <c r="O551" s="575"/>
      <c r="P551" s="575"/>
      <c r="Q551" s="575"/>
      <c r="R551" s="575"/>
      <c r="S551" s="575"/>
      <c r="T551" s="575"/>
      <c r="U551" s="809"/>
      <c r="V551" s="575"/>
      <c r="W551" s="575"/>
      <c r="X551" s="575"/>
      <c r="Y551" s="575"/>
      <c r="Z551" s="575"/>
      <c r="AA551" s="575"/>
      <c r="AB551" s="809"/>
      <c r="AC551" s="575"/>
      <c r="AD551" s="575"/>
      <c r="AE551" s="575"/>
      <c r="AF551" s="817"/>
      <c r="AG551" s="575"/>
      <c r="AH551" s="575"/>
      <c r="AI551" s="738">
        <f t="shared" si="31"/>
        <v>0</v>
      </c>
      <c r="AJ551" s="582">
        <v>0</v>
      </c>
      <c r="AK551" s="581">
        <f t="shared" si="32"/>
        <v>0</v>
      </c>
      <c r="AL551" s="750"/>
      <c r="AM551" s="743">
        <f t="shared" si="33"/>
        <v>0</v>
      </c>
    </row>
    <row r="552" spans="1:39" s="560" customFormat="1" ht="14.4" hidden="1" thickBot="1">
      <c r="A552" s="620" t="s">
        <v>1111</v>
      </c>
      <c r="B552" s="621" t="s">
        <v>1431</v>
      </c>
      <c r="C552" s="628" t="s">
        <v>37</v>
      </c>
      <c r="D552" s="580"/>
      <c r="E552" s="581"/>
      <c r="F552" s="581"/>
      <c r="G552" s="778"/>
      <c r="H552" s="581"/>
      <c r="I552" s="582"/>
      <c r="J552" s="582"/>
      <c r="K552" s="582"/>
      <c r="L552" s="575"/>
      <c r="M552" s="575"/>
      <c r="N552" s="809"/>
      <c r="O552" s="575"/>
      <c r="P552" s="575"/>
      <c r="Q552" s="575"/>
      <c r="R552" s="575"/>
      <c r="S552" s="575"/>
      <c r="T552" s="575"/>
      <c r="U552" s="809"/>
      <c r="V552" s="575"/>
      <c r="W552" s="575"/>
      <c r="X552" s="575"/>
      <c r="Y552" s="575"/>
      <c r="Z552" s="575"/>
      <c r="AA552" s="575"/>
      <c r="AB552" s="809"/>
      <c r="AC552" s="575"/>
      <c r="AD552" s="575"/>
      <c r="AE552" s="575"/>
      <c r="AF552" s="817"/>
      <c r="AG552" s="575"/>
      <c r="AH552" s="575"/>
      <c r="AI552" s="738">
        <f t="shared" si="31"/>
        <v>0</v>
      </c>
      <c r="AJ552" s="582">
        <v>0</v>
      </c>
      <c r="AK552" s="581">
        <f t="shared" si="32"/>
        <v>0</v>
      </c>
      <c r="AL552" s="750">
        <v>106</v>
      </c>
      <c r="AM552" s="743">
        <f t="shared" si="33"/>
        <v>106</v>
      </c>
    </row>
    <row r="553" spans="1:39" s="560" customFormat="1" ht="14.4" hidden="1" thickBot="1">
      <c r="A553" s="620" t="s">
        <v>1112</v>
      </c>
      <c r="B553" s="621" t="s">
        <v>1402</v>
      </c>
      <c r="C553" s="628"/>
      <c r="D553" s="580"/>
      <c r="E553" s="581"/>
      <c r="F553" s="581"/>
      <c r="G553" s="778"/>
      <c r="H553" s="581"/>
      <c r="I553" s="582"/>
      <c r="J553" s="582"/>
      <c r="K553" s="582"/>
      <c r="L553" s="575"/>
      <c r="M553" s="575"/>
      <c r="N553" s="809"/>
      <c r="O553" s="575"/>
      <c r="P553" s="575"/>
      <c r="Q553" s="575"/>
      <c r="R553" s="575"/>
      <c r="S553" s="575"/>
      <c r="T553" s="575"/>
      <c r="U553" s="809"/>
      <c r="V553" s="575"/>
      <c r="W553" s="575"/>
      <c r="X553" s="575"/>
      <c r="Y553" s="575"/>
      <c r="Z553" s="575"/>
      <c r="AA553" s="575"/>
      <c r="AB553" s="809"/>
      <c r="AC553" s="575"/>
      <c r="AD553" s="575"/>
      <c r="AE553" s="575"/>
      <c r="AF553" s="817"/>
      <c r="AG553" s="575"/>
      <c r="AH553" s="575"/>
      <c r="AI553" s="738">
        <f t="shared" si="31"/>
        <v>0</v>
      </c>
      <c r="AJ553" s="582">
        <v>0</v>
      </c>
      <c r="AK553" s="581">
        <f t="shared" si="32"/>
        <v>0</v>
      </c>
      <c r="AL553" s="750"/>
      <c r="AM553" s="743">
        <f t="shared" si="33"/>
        <v>0</v>
      </c>
    </row>
    <row r="554" spans="1:39" s="560" customFormat="1" ht="14.4" hidden="1" thickBot="1">
      <c r="A554" s="620" t="s">
        <v>1113</v>
      </c>
      <c r="B554" s="621" t="s">
        <v>1403</v>
      </c>
      <c r="C554" s="628" t="s">
        <v>35</v>
      </c>
      <c r="D554" s="580"/>
      <c r="E554" s="581"/>
      <c r="F554" s="581"/>
      <c r="G554" s="778"/>
      <c r="H554" s="581"/>
      <c r="I554" s="582"/>
      <c r="J554" s="582"/>
      <c r="K554" s="582"/>
      <c r="L554" s="575"/>
      <c r="M554" s="575"/>
      <c r="N554" s="809"/>
      <c r="O554" s="575"/>
      <c r="P554" s="575"/>
      <c r="Q554" s="575"/>
      <c r="R554" s="575"/>
      <c r="S554" s="575"/>
      <c r="T554" s="575"/>
      <c r="U554" s="809"/>
      <c r="V554" s="575"/>
      <c r="W554" s="575"/>
      <c r="X554" s="575"/>
      <c r="Y554" s="575"/>
      <c r="Z554" s="575"/>
      <c r="AA554" s="575"/>
      <c r="AB554" s="809"/>
      <c r="AC554" s="575"/>
      <c r="AD554" s="575"/>
      <c r="AE554" s="575"/>
      <c r="AF554" s="817"/>
      <c r="AG554" s="575"/>
      <c r="AH554" s="575"/>
      <c r="AI554" s="738">
        <f t="shared" si="31"/>
        <v>0</v>
      </c>
      <c r="AJ554" s="582">
        <v>0</v>
      </c>
      <c r="AK554" s="581">
        <f t="shared" si="32"/>
        <v>0</v>
      </c>
      <c r="AL554" s="750">
        <v>5</v>
      </c>
      <c r="AM554" s="743">
        <f t="shared" si="33"/>
        <v>5</v>
      </c>
    </row>
    <row r="555" spans="1:39" s="560" customFormat="1" ht="14.4" hidden="1" thickBot="1">
      <c r="A555" s="620" t="s">
        <v>1114</v>
      </c>
      <c r="B555" s="621" t="s">
        <v>1432</v>
      </c>
      <c r="C555" s="628"/>
      <c r="D555" s="580"/>
      <c r="E555" s="581"/>
      <c r="F555" s="581"/>
      <c r="G555" s="778"/>
      <c r="H555" s="581"/>
      <c r="I555" s="582"/>
      <c r="J555" s="582"/>
      <c r="K555" s="582"/>
      <c r="L555" s="575"/>
      <c r="M555" s="575"/>
      <c r="N555" s="809"/>
      <c r="O555" s="575"/>
      <c r="P555" s="575"/>
      <c r="Q555" s="575"/>
      <c r="R555" s="575"/>
      <c r="S555" s="575"/>
      <c r="T555" s="575"/>
      <c r="U555" s="809"/>
      <c r="V555" s="575"/>
      <c r="W555" s="575"/>
      <c r="X555" s="575"/>
      <c r="Y555" s="575"/>
      <c r="Z555" s="575"/>
      <c r="AA555" s="575"/>
      <c r="AB555" s="809"/>
      <c r="AC555" s="575"/>
      <c r="AD555" s="575"/>
      <c r="AE555" s="575"/>
      <c r="AF555" s="817"/>
      <c r="AG555" s="575"/>
      <c r="AH555" s="575"/>
      <c r="AI555" s="738">
        <f t="shared" si="31"/>
        <v>0</v>
      </c>
      <c r="AJ555" s="582">
        <v>0</v>
      </c>
      <c r="AK555" s="581">
        <f t="shared" si="32"/>
        <v>0</v>
      </c>
      <c r="AL555" s="750"/>
      <c r="AM555" s="743">
        <f t="shared" si="33"/>
        <v>0</v>
      </c>
    </row>
    <row r="556" spans="1:39" s="560" customFormat="1" ht="14.4" hidden="1" thickBot="1">
      <c r="A556" s="620" t="s">
        <v>1115</v>
      </c>
      <c r="B556" s="621" t="s">
        <v>1433</v>
      </c>
      <c r="C556" s="628" t="s">
        <v>63</v>
      </c>
      <c r="D556" s="580"/>
      <c r="E556" s="581"/>
      <c r="F556" s="581"/>
      <c r="G556" s="778"/>
      <c r="H556" s="581"/>
      <c r="I556" s="582"/>
      <c r="J556" s="582"/>
      <c r="K556" s="582"/>
      <c r="L556" s="575"/>
      <c r="M556" s="575"/>
      <c r="N556" s="809"/>
      <c r="O556" s="575"/>
      <c r="P556" s="575"/>
      <c r="Q556" s="575"/>
      <c r="R556" s="575"/>
      <c r="S556" s="575"/>
      <c r="T556" s="575"/>
      <c r="U556" s="809"/>
      <c r="V556" s="575"/>
      <c r="W556" s="575"/>
      <c r="X556" s="575"/>
      <c r="Y556" s="575"/>
      <c r="Z556" s="575"/>
      <c r="AA556" s="575"/>
      <c r="AB556" s="809"/>
      <c r="AC556" s="575"/>
      <c r="AD556" s="575"/>
      <c r="AE556" s="575"/>
      <c r="AF556" s="817"/>
      <c r="AG556" s="575"/>
      <c r="AH556" s="575"/>
      <c r="AI556" s="738">
        <f t="shared" si="31"/>
        <v>0</v>
      </c>
      <c r="AJ556" s="582">
        <v>0</v>
      </c>
      <c r="AK556" s="581">
        <f t="shared" si="32"/>
        <v>0</v>
      </c>
      <c r="AL556" s="750">
        <v>1</v>
      </c>
      <c r="AM556" s="743">
        <f t="shared" si="33"/>
        <v>1</v>
      </c>
    </row>
    <row r="557" spans="1:39" s="560" customFormat="1" ht="14.4" hidden="1" thickBot="1">
      <c r="A557" s="620" t="s">
        <v>1116</v>
      </c>
      <c r="B557" s="621" t="s">
        <v>1434</v>
      </c>
      <c r="C557" s="628"/>
      <c r="D557" s="580"/>
      <c r="E557" s="581"/>
      <c r="F557" s="581"/>
      <c r="G557" s="778"/>
      <c r="H557" s="581"/>
      <c r="I557" s="582"/>
      <c r="J557" s="582"/>
      <c r="K557" s="582"/>
      <c r="L557" s="575"/>
      <c r="M557" s="575"/>
      <c r="N557" s="809"/>
      <c r="O557" s="575"/>
      <c r="P557" s="575"/>
      <c r="Q557" s="575"/>
      <c r="R557" s="575"/>
      <c r="S557" s="575"/>
      <c r="T557" s="575"/>
      <c r="U557" s="809"/>
      <c r="V557" s="575"/>
      <c r="W557" s="575"/>
      <c r="X557" s="575"/>
      <c r="Y557" s="575"/>
      <c r="Z557" s="575"/>
      <c r="AA557" s="575"/>
      <c r="AB557" s="809"/>
      <c r="AC557" s="575"/>
      <c r="AD557" s="575"/>
      <c r="AE557" s="575"/>
      <c r="AF557" s="817"/>
      <c r="AG557" s="575"/>
      <c r="AH557" s="575"/>
      <c r="AI557" s="738">
        <f t="shared" si="31"/>
        <v>0</v>
      </c>
      <c r="AJ557" s="582">
        <v>0</v>
      </c>
      <c r="AK557" s="581">
        <f t="shared" si="32"/>
        <v>0</v>
      </c>
      <c r="AL557" s="750"/>
      <c r="AM557" s="743">
        <f t="shared" si="33"/>
        <v>0</v>
      </c>
    </row>
    <row r="558" spans="1:39" s="560" customFormat="1" ht="14.4" hidden="1" thickBot="1">
      <c r="A558" s="620" t="s">
        <v>1117</v>
      </c>
      <c r="B558" s="621" t="s">
        <v>1435</v>
      </c>
      <c r="C558" s="628" t="s">
        <v>63</v>
      </c>
      <c r="D558" s="580"/>
      <c r="E558" s="581"/>
      <c r="F558" s="581"/>
      <c r="G558" s="778"/>
      <c r="H558" s="581"/>
      <c r="I558" s="582"/>
      <c r="J558" s="582"/>
      <c r="K558" s="582"/>
      <c r="L558" s="575"/>
      <c r="M558" s="575"/>
      <c r="N558" s="809"/>
      <c r="O558" s="575"/>
      <c r="P558" s="575"/>
      <c r="Q558" s="575"/>
      <c r="R558" s="575"/>
      <c r="S558" s="575"/>
      <c r="T558" s="575"/>
      <c r="U558" s="809"/>
      <c r="V558" s="575"/>
      <c r="W558" s="575"/>
      <c r="X558" s="575"/>
      <c r="Y558" s="575"/>
      <c r="Z558" s="575"/>
      <c r="AA558" s="575"/>
      <c r="AB558" s="809"/>
      <c r="AC558" s="575"/>
      <c r="AD558" s="575"/>
      <c r="AE558" s="575"/>
      <c r="AF558" s="817"/>
      <c r="AG558" s="575"/>
      <c r="AH558" s="575"/>
      <c r="AI558" s="738">
        <f t="shared" si="31"/>
        <v>0</v>
      </c>
      <c r="AJ558" s="582">
        <v>0</v>
      </c>
      <c r="AK558" s="581">
        <f t="shared" si="32"/>
        <v>0</v>
      </c>
      <c r="AL558" s="750">
        <v>1</v>
      </c>
      <c r="AM558" s="743">
        <f t="shared" si="33"/>
        <v>1</v>
      </c>
    </row>
    <row r="559" spans="1:39" ht="13.8" thickBot="1">
      <c r="B559" s="829" t="s">
        <v>256</v>
      </c>
    </row>
    <row r="560" spans="1:39">
      <c r="A560" s="767" t="s">
        <v>32</v>
      </c>
      <c r="B560" s="768" t="s">
        <v>1118</v>
      </c>
      <c r="C560" s="625"/>
      <c r="D560" s="571"/>
      <c r="E560" s="572"/>
      <c r="F560" s="572"/>
      <c r="G560" s="790"/>
      <c r="H560" s="572"/>
      <c r="I560" s="573"/>
      <c r="J560" s="573"/>
      <c r="K560" s="573"/>
      <c r="L560" s="573"/>
      <c r="M560" s="573"/>
      <c r="N560" s="792"/>
      <c r="O560" s="573"/>
      <c r="P560" s="573"/>
      <c r="Q560" s="573"/>
      <c r="R560" s="573"/>
      <c r="S560" s="573"/>
      <c r="T560" s="573"/>
      <c r="U560" s="792"/>
      <c r="V560" s="573"/>
      <c r="W560" s="573"/>
      <c r="X560" s="573"/>
      <c r="Y560" s="573"/>
      <c r="Z560" s="573"/>
      <c r="AA560" s="573"/>
      <c r="AB560" s="796"/>
      <c r="AC560" s="574"/>
      <c r="AD560" s="574"/>
      <c r="AE560" s="574"/>
      <c r="AF560" s="817"/>
      <c r="AG560" s="575"/>
      <c r="AH560" s="575"/>
      <c r="AI560" s="738">
        <f>ROUND((SUM(D560:AH560)),2)</f>
        <v>0</v>
      </c>
    </row>
    <row r="561" spans="1:35" ht="13.8">
      <c r="A561" s="604" t="s">
        <v>38</v>
      </c>
      <c r="B561" s="752" t="s">
        <v>33</v>
      </c>
      <c r="C561" s="585"/>
      <c r="D561" s="580"/>
      <c r="E561" s="581"/>
      <c r="F561" s="581"/>
      <c r="G561" s="778"/>
      <c r="H561" s="581"/>
      <c r="I561" s="581"/>
      <c r="J561" s="581"/>
      <c r="K561" s="581"/>
      <c r="L561" s="582"/>
      <c r="M561" s="582"/>
      <c r="N561" s="777"/>
      <c r="O561" s="582"/>
      <c r="P561" s="582"/>
      <c r="Q561" s="582"/>
      <c r="R561" s="582"/>
      <c r="S561" s="582"/>
      <c r="T561" s="737"/>
      <c r="U561" s="793"/>
      <c r="V561" s="737"/>
      <c r="W561" s="737"/>
      <c r="X561" s="737"/>
      <c r="Y561" s="737"/>
      <c r="Z561" s="737"/>
      <c r="AA561" s="737"/>
      <c r="AB561" s="793"/>
      <c r="AC561" s="737"/>
      <c r="AD561" s="737"/>
      <c r="AE561" s="737"/>
      <c r="AF561" s="818"/>
      <c r="AG561" s="737"/>
      <c r="AH561" s="737"/>
      <c r="AI561" s="738"/>
    </row>
    <row r="562" spans="1:35" ht="13.8">
      <c r="A562" s="772" t="s">
        <v>529</v>
      </c>
      <c r="B562" s="733" t="s">
        <v>1126</v>
      </c>
      <c r="C562" s="734" t="s">
        <v>39</v>
      </c>
      <c r="D562" s="794">
        <v>22</v>
      </c>
      <c r="E562" s="735">
        <v>22</v>
      </c>
      <c r="F562" s="735">
        <v>22</v>
      </c>
      <c r="G562" s="791"/>
      <c r="H562" s="735">
        <v>22</v>
      </c>
      <c r="I562" s="736">
        <v>22</v>
      </c>
      <c r="J562" s="735">
        <v>22</v>
      </c>
      <c r="K562" s="735">
        <v>16</v>
      </c>
      <c r="L562" s="737">
        <v>16</v>
      </c>
      <c r="M562" s="737">
        <v>16</v>
      </c>
      <c r="N562" s="793"/>
      <c r="O562" s="737">
        <v>16</v>
      </c>
      <c r="P562" s="737">
        <v>16</v>
      </c>
      <c r="Q562" s="737">
        <v>16</v>
      </c>
      <c r="R562" s="737">
        <v>16</v>
      </c>
      <c r="S562" s="737">
        <v>16</v>
      </c>
      <c r="T562" s="737">
        <v>16</v>
      </c>
      <c r="U562" s="793"/>
      <c r="V562" s="737">
        <v>16</v>
      </c>
      <c r="W562" s="737">
        <v>16</v>
      </c>
      <c r="X562" s="737">
        <v>16</v>
      </c>
      <c r="Y562" s="737">
        <v>16</v>
      </c>
      <c r="Z562" s="737">
        <v>16</v>
      </c>
      <c r="AA562" s="737"/>
      <c r="AB562" s="793"/>
      <c r="AC562" s="737"/>
      <c r="AD562" s="737"/>
      <c r="AE562" s="737"/>
      <c r="AF562" s="818"/>
      <c r="AG562" s="737"/>
      <c r="AH562" s="737"/>
      <c r="AI562" s="839">
        <f>ROUND((SUM(D562:AH562)),2)</f>
        <v>356</v>
      </c>
    </row>
    <row r="563" spans="1:35" ht="13.8" thickBot="1"/>
    <row r="564" spans="1:35">
      <c r="A564" s="830" t="s">
        <v>500</v>
      </c>
      <c r="B564" s="831" t="s">
        <v>1790</v>
      </c>
      <c r="C564" s="832"/>
      <c r="D564" s="833"/>
      <c r="E564" s="834"/>
      <c r="F564" s="834"/>
      <c r="G564" s="834"/>
      <c r="H564" s="834"/>
      <c r="I564" s="835"/>
      <c r="J564" s="835"/>
      <c r="K564" s="835"/>
      <c r="L564" s="835"/>
      <c r="M564" s="835"/>
      <c r="N564" s="835"/>
      <c r="O564" s="835"/>
      <c r="P564" s="835"/>
      <c r="Q564" s="835"/>
      <c r="R564" s="835"/>
      <c r="S564" s="835"/>
      <c r="T564" s="835"/>
      <c r="U564" s="835"/>
      <c r="V564" s="835"/>
      <c r="W564" s="835"/>
      <c r="X564" s="835"/>
      <c r="Y564" s="835"/>
      <c r="Z564" s="835"/>
      <c r="AA564" s="835"/>
      <c r="AB564" s="836"/>
      <c r="AC564" s="836"/>
      <c r="AD564" s="836"/>
      <c r="AE564" s="836"/>
      <c r="AF564" s="837"/>
      <c r="AG564" s="837"/>
      <c r="AH564" s="837"/>
      <c r="AI564" s="838">
        <f>SUM(D564:AH564)</f>
        <v>0</v>
      </c>
    </row>
    <row r="565" spans="1:35">
      <c r="A565" s="604" t="s">
        <v>501</v>
      </c>
      <c r="B565" s="314" t="s">
        <v>33</v>
      </c>
      <c r="C565" s="590"/>
      <c r="D565" s="580"/>
      <c r="E565" s="581"/>
      <c r="F565" s="581"/>
      <c r="G565" s="778"/>
      <c r="H565" s="581"/>
      <c r="I565" s="582"/>
      <c r="J565" s="582"/>
      <c r="K565" s="582"/>
      <c r="L565" s="582"/>
      <c r="M565" s="582"/>
      <c r="N565" s="777"/>
      <c r="O565" s="582"/>
      <c r="P565" s="582"/>
      <c r="Q565" s="582"/>
      <c r="R565" s="582"/>
      <c r="S565" s="582"/>
      <c r="T565" s="582"/>
      <c r="U565" s="777"/>
      <c r="V565" s="582"/>
      <c r="W565" s="582"/>
      <c r="X565" s="582"/>
      <c r="Y565" s="582"/>
      <c r="Z565" s="582"/>
      <c r="AA565" s="582"/>
      <c r="AB565" s="797"/>
      <c r="AC565" s="583"/>
      <c r="AD565" s="575"/>
      <c r="AE565" s="575"/>
      <c r="AF565" s="817"/>
      <c r="AG565" s="575"/>
      <c r="AH565" s="575"/>
      <c r="AI565" s="576">
        <f>SUM(D565:AH565)</f>
        <v>0</v>
      </c>
    </row>
    <row r="566" spans="1:35" ht="13.8">
      <c r="A566" s="604" t="s">
        <v>1791</v>
      </c>
      <c r="B566" s="320" t="s">
        <v>1806</v>
      </c>
      <c r="C566" s="585" t="s">
        <v>39</v>
      </c>
      <c r="D566" s="580">
        <v>30</v>
      </c>
      <c r="E566" s="580">
        <v>30</v>
      </c>
      <c r="F566" s="580">
        <v>30</v>
      </c>
      <c r="G566" s="795"/>
      <c r="H566" s="580">
        <v>30</v>
      </c>
      <c r="I566" s="580">
        <v>30</v>
      </c>
      <c r="J566" s="580">
        <v>30</v>
      </c>
      <c r="K566" s="580">
        <v>30</v>
      </c>
      <c r="L566" s="580">
        <v>30</v>
      </c>
      <c r="M566" s="580">
        <v>30</v>
      </c>
      <c r="N566" s="795"/>
      <c r="O566" s="580">
        <v>30</v>
      </c>
      <c r="P566" s="580">
        <v>30</v>
      </c>
      <c r="Q566" s="580">
        <v>30</v>
      </c>
      <c r="R566" s="580">
        <v>30</v>
      </c>
      <c r="S566" s="580">
        <v>30</v>
      </c>
      <c r="T566" s="580">
        <v>30</v>
      </c>
      <c r="U566" s="795"/>
      <c r="V566" s="580">
        <v>30</v>
      </c>
      <c r="W566" s="580">
        <v>30</v>
      </c>
      <c r="X566" s="580">
        <v>30</v>
      </c>
      <c r="Y566" s="580">
        <v>30</v>
      </c>
      <c r="Z566" s="580">
        <v>30</v>
      </c>
      <c r="AA566" s="580">
        <v>30</v>
      </c>
      <c r="AB566" s="795"/>
      <c r="AC566" s="580">
        <v>30</v>
      </c>
      <c r="AD566" s="580">
        <v>30</v>
      </c>
      <c r="AE566" s="580">
        <v>30</v>
      </c>
      <c r="AF566" s="824"/>
      <c r="AG566" s="580">
        <v>30</v>
      </c>
      <c r="AH566" s="583"/>
      <c r="AI566" s="840">
        <f>SUM(D566:AH566)</f>
        <v>750</v>
      </c>
    </row>
    <row r="567" spans="1:35" ht="13.8">
      <c r="A567" s="604" t="s">
        <v>1814</v>
      </c>
      <c r="B567" s="804" t="s">
        <v>1820</v>
      </c>
      <c r="C567" s="798" t="s">
        <v>39</v>
      </c>
      <c r="D567" s="581">
        <v>7</v>
      </c>
      <c r="E567" s="581">
        <v>7</v>
      </c>
      <c r="F567" s="581">
        <v>7</v>
      </c>
      <c r="G567" s="778"/>
      <c r="H567" s="581">
        <v>7</v>
      </c>
      <c r="I567" s="582">
        <v>7</v>
      </c>
      <c r="J567" s="582">
        <v>7</v>
      </c>
      <c r="K567" s="582"/>
      <c r="L567" s="582"/>
      <c r="M567" s="582"/>
      <c r="N567" s="777"/>
      <c r="O567" s="582"/>
      <c r="P567" s="582"/>
      <c r="Q567" s="582"/>
      <c r="R567" s="582"/>
      <c r="S567" s="582"/>
      <c r="T567" s="582"/>
      <c r="U567" s="777"/>
      <c r="V567" s="582"/>
      <c r="W567" s="582"/>
      <c r="X567" s="582"/>
      <c r="Y567" s="582"/>
      <c r="Z567" s="582"/>
      <c r="AA567" s="582"/>
      <c r="AB567" s="777"/>
      <c r="AC567" s="582"/>
      <c r="AD567" s="582"/>
      <c r="AE567" s="582"/>
      <c r="AF567" s="825"/>
      <c r="AG567" s="582"/>
      <c r="AH567" s="786"/>
      <c r="AI567" s="840">
        <v>84</v>
      </c>
    </row>
    <row r="568" spans="1:35" ht="13.8">
      <c r="A568" s="604" t="s">
        <v>1817</v>
      </c>
      <c r="B568" s="804" t="s">
        <v>1822</v>
      </c>
      <c r="C568" s="798" t="s">
        <v>39</v>
      </c>
      <c r="D568" s="585"/>
      <c r="E568" s="581"/>
      <c r="F568" s="581"/>
      <c r="G568" s="778"/>
      <c r="H568" s="581"/>
      <c r="I568" s="582"/>
      <c r="J568" s="582"/>
      <c r="K568" s="582">
        <v>36</v>
      </c>
      <c r="L568" s="582"/>
      <c r="M568" s="582"/>
      <c r="N568" s="777"/>
      <c r="O568" s="582"/>
      <c r="P568" s="582"/>
      <c r="Q568" s="582"/>
      <c r="R568" s="582"/>
      <c r="S568" s="582"/>
      <c r="T568" s="582"/>
      <c r="U568" s="777"/>
      <c r="V568" s="582"/>
      <c r="W568" s="582"/>
      <c r="X568" s="582"/>
      <c r="Y568" s="582">
        <v>32</v>
      </c>
      <c r="Z568" s="582">
        <v>4</v>
      </c>
      <c r="AA568" s="582"/>
      <c r="AB568" s="777"/>
      <c r="AC568" s="582"/>
      <c r="AD568" s="582"/>
      <c r="AE568" s="582"/>
      <c r="AF568" s="825"/>
      <c r="AG568" s="582"/>
      <c r="AH568" s="786"/>
      <c r="AI568" s="840">
        <f t="shared" ref="AI568" si="34">SUM(D568:AH568)</f>
        <v>72</v>
      </c>
    </row>
    <row r="569" spans="1:35" ht="13.8">
      <c r="A569" s="604" t="s">
        <v>1818</v>
      </c>
      <c r="B569" s="804" t="s">
        <v>1824</v>
      </c>
      <c r="C569" s="798" t="s">
        <v>1823</v>
      </c>
      <c r="D569" s="560"/>
      <c r="E569" s="581">
        <f>1023*0.99*9.05</f>
        <v>9165.5685000000012</v>
      </c>
      <c r="F569" s="581"/>
      <c r="G569" s="778"/>
      <c r="H569" s="581"/>
      <c r="I569" s="582">
        <v>781.2</v>
      </c>
      <c r="J569" s="582"/>
      <c r="K569" s="582"/>
      <c r="L569" s="582">
        <v>539.1</v>
      </c>
      <c r="M569" s="582"/>
      <c r="N569" s="777"/>
      <c r="O569" s="582">
        <v>3414.84</v>
      </c>
      <c r="P569" s="582">
        <v>4190.3999999999996</v>
      </c>
      <c r="Q569" s="582"/>
      <c r="R569" s="582"/>
      <c r="S569" s="582"/>
      <c r="T569" s="582"/>
      <c r="U569" s="777"/>
      <c r="V569" s="582"/>
      <c r="W569" s="582"/>
      <c r="X569" s="582"/>
      <c r="Y569" s="582"/>
      <c r="Z569" s="582"/>
      <c r="AA569" s="582"/>
      <c r="AB569" s="777"/>
      <c r="AC569" s="582"/>
      <c r="AD569" s="582"/>
      <c r="AE569" s="560"/>
      <c r="AF569" s="825"/>
      <c r="AG569" s="582">
        <f>812*9*0.25+1067*9*0.599</f>
        <v>7579.1970000000001</v>
      </c>
      <c r="AH569" s="786"/>
      <c r="AI569" s="840">
        <f>SUM(E569:AH569)</f>
        <v>25670.305500000002</v>
      </c>
    </row>
    <row r="570" spans="1:35" ht="13.8">
      <c r="A570" s="604" t="s">
        <v>1819</v>
      </c>
      <c r="B570" s="804" t="s">
        <v>1815</v>
      </c>
      <c r="C570" s="799" t="s">
        <v>39</v>
      </c>
      <c r="D570" s="800"/>
      <c r="E570" s="800"/>
      <c r="F570" s="800"/>
      <c r="G570" s="801"/>
      <c r="H570" s="800">
        <v>14</v>
      </c>
      <c r="I570" s="802">
        <v>14</v>
      </c>
      <c r="J570" s="802">
        <v>14</v>
      </c>
      <c r="K570" s="802"/>
      <c r="L570" s="802"/>
      <c r="M570" s="802"/>
      <c r="N570" s="803"/>
      <c r="O570" s="802"/>
      <c r="P570" s="802"/>
      <c r="Q570" s="802"/>
      <c r="R570" s="802"/>
      <c r="S570" s="802"/>
      <c r="T570" s="802"/>
      <c r="U570" s="803"/>
      <c r="V570" s="802"/>
      <c r="W570" s="802"/>
      <c r="X570" s="802"/>
      <c r="Y570" s="802"/>
      <c r="Z570" s="802"/>
      <c r="AA570" s="802"/>
      <c r="AB570" s="803"/>
      <c r="AC570" s="802"/>
      <c r="AD570" s="802"/>
      <c r="AE570" s="802"/>
      <c r="AF570" s="826"/>
      <c r="AG570" s="802"/>
      <c r="AH570" s="786"/>
      <c r="AI570" s="840">
        <f t="shared" ref="AI570:AI582" si="35">SUM(D570:AH570)</f>
        <v>42</v>
      </c>
    </row>
    <row r="571" spans="1:35" ht="13.8">
      <c r="A571" s="604" t="s">
        <v>1825</v>
      </c>
      <c r="B571" s="804" t="s">
        <v>1829</v>
      </c>
      <c r="C571" s="799" t="s">
        <v>1828</v>
      </c>
      <c r="D571" s="800"/>
      <c r="E571" s="800"/>
      <c r="F571" s="800"/>
      <c r="G571" s="801"/>
      <c r="H571" s="800"/>
      <c r="I571" s="802"/>
      <c r="J571" s="802"/>
      <c r="K571" s="802"/>
      <c r="L571" s="802">
        <v>3525</v>
      </c>
      <c r="M571" s="802">
        <v>3867</v>
      </c>
      <c r="N571" s="803"/>
      <c r="O571" s="802"/>
      <c r="P571" s="802"/>
      <c r="Q571" s="582"/>
      <c r="R571" s="582"/>
      <c r="S571" s="802"/>
      <c r="T571" s="802"/>
      <c r="U571" s="803"/>
      <c r="V571" s="802"/>
      <c r="W571" s="802"/>
      <c r="X571" s="802"/>
      <c r="Y571" s="802"/>
      <c r="Z571" s="802"/>
      <c r="AA571" s="802"/>
      <c r="AB571" s="803"/>
      <c r="AC571" s="802"/>
      <c r="AD571" s="802"/>
      <c r="AE571" s="802"/>
      <c r="AF571" s="826"/>
      <c r="AG571" s="802"/>
      <c r="AH571" s="786"/>
      <c r="AI571" s="840">
        <f t="shared" si="35"/>
        <v>7392</v>
      </c>
    </row>
    <row r="572" spans="1:35" ht="13.8">
      <c r="A572" s="604" t="s">
        <v>1826</v>
      </c>
      <c r="B572" s="804" t="s">
        <v>1830</v>
      </c>
      <c r="C572" s="799" t="s">
        <v>1828</v>
      </c>
      <c r="D572" s="800"/>
      <c r="E572" s="800"/>
      <c r="F572" s="800"/>
      <c r="G572" s="801"/>
      <c r="H572" s="800"/>
      <c r="I572" s="802"/>
      <c r="J572" s="802"/>
      <c r="K572" s="802"/>
      <c r="L572" s="802"/>
      <c r="M572" s="802"/>
      <c r="N572" s="803"/>
      <c r="O572" s="802"/>
      <c r="P572" s="802"/>
      <c r="Q572" s="741"/>
      <c r="R572" s="582"/>
      <c r="S572" s="802"/>
      <c r="T572" s="802"/>
      <c r="U572" s="803"/>
      <c r="V572" s="802"/>
      <c r="W572" s="802"/>
      <c r="X572" s="802">
        <f>450*18.04</f>
        <v>8118</v>
      </c>
      <c r="Y572" s="802"/>
      <c r="Z572" s="802"/>
      <c r="AA572" s="802"/>
      <c r="AB572" s="803"/>
      <c r="AC572" s="802"/>
      <c r="AD572" s="802"/>
      <c r="AE572" s="802"/>
      <c r="AF572" s="826"/>
      <c r="AG572" s="802"/>
      <c r="AH572" s="786"/>
      <c r="AI572" s="840">
        <f t="shared" si="35"/>
        <v>8118</v>
      </c>
    </row>
    <row r="573" spans="1:35" ht="13.8">
      <c r="A573" s="604" t="s">
        <v>1827</v>
      </c>
      <c r="B573" s="804" t="s">
        <v>1831</v>
      </c>
      <c r="C573" s="799" t="s">
        <v>36</v>
      </c>
      <c r="D573" s="800"/>
      <c r="E573" s="800"/>
      <c r="F573" s="800"/>
      <c r="G573" s="801"/>
      <c r="H573" s="800"/>
      <c r="I573" s="802"/>
      <c r="J573" s="802"/>
      <c r="K573" s="802"/>
      <c r="L573" s="802"/>
      <c r="M573" s="802"/>
      <c r="N573" s="803"/>
      <c r="O573" s="802"/>
      <c r="P573" s="802"/>
      <c r="Q573" s="741"/>
      <c r="R573" s="582"/>
      <c r="S573" s="802">
        <f>100*1.22*2.44</f>
        <v>297.68</v>
      </c>
      <c r="T573" s="802"/>
      <c r="U573" s="803"/>
      <c r="V573" s="802"/>
      <c r="W573" s="802"/>
      <c r="X573" s="802"/>
      <c r="Y573" s="802"/>
      <c r="Z573" s="802"/>
      <c r="AA573" s="802"/>
      <c r="AB573" s="803"/>
      <c r="AC573" s="802"/>
      <c r="AD573" s="802"/>
      <c r="AE573" s="802"/>
      <c r="AF573" s="826"/>
      <c r="AG573" s="802"/>
      <c r="AH573" s="786"/>
      <c r="AI573" s="840">
        <f t="shared" si="35"/>
        <v>297.68</v>
      </c>
    </row>
    <row r="574" spans="1:35" ht="13.8">
      <c r="A574" s="820"/>
      <c r="B574" s="804" t="s">
        <v>1188</v>
      </c>
      <c r="C574" s="799"/>
      <c r="D574" s="800"/>
      <c r="E574" s="800"/>
      <c r="F574" s="800"/>
      <c r="G574" s="801"/>
      <c r="H574" s="800"/>
      <c r="I574" s="802"/>
      <c r="J574" s="802"/>
      <c r="K574" s="802"/>
      <c r="L574" s="802"/>
      <c r="M574" s="802"/>
      <c r="N574" s="803"/>
      <c r="O574" s="802"/>
      <c r="P574" s="802"/>
      <c r="Q574" s="741"/>
      <c r="R574" s="582"/>
      <c r="S574" s="802"/>
      <c r="T574" s="802"/>
      <c r="U574" s="803"/>
      <c r="V574" s="802"/>
      <c r="W574" s="802"/>
      <c r="X574" s="802"/>
      <c r="Y574" s="802"/>
      <c r="Z574" s="802"/>
      <c r="AA574" s="802"/>
      <c r="AB574" s="803"/>
      <c r="AC574" s="802"/>
      <c r="AD574" s="802"/>
      <c r="AE574" s="802"/>
      <c r="AF574" s="826"/>
      <c r="AG574" s="802"/>
      <c r="AH574" s="786"/>
      <c r="AI574" s="840">
        <f t="shared" si="35"/>
        <v>0</v>
      </c>
    </row>
    <row r="575" spans="1:35" ht="13.8">
      <c r="A575" s="812"/>
      <c r="B575" s="804" t="s">
        <v>1834</v>
      </c>
      <c r="C575" s="799"/>
      <c r="D575" s="800"/>
      <c r="E575" s="800"/>
      <c r="F575" s="800"/>
      <c r="G575" s="801"/>
      <c r="H575" s="800"/>
      <c r="I575" s="802"/>
      <c r="J575" s="802"/>
      <c r="K575" s="802"/>
      <c r="L575" s="802"/>
      <c r="M575" s="802"/>
      <c r="N575" s="803"/>
      <c r="O575" s="802"/>
      <c r="P575" s="802"/>
      <c r="Q575" s="741"/>
      <c r="R575" s="582"/>
      <c r="S575" s="802"/>
      <c r="T575" s="802"/>
      <c r="U575" s="803"/>
      <c r="V575" s="802"/>
      <c r="W575" s="802"/>
      <c r="X575" s="802"/>
      <c r="Y575" s="802"/>
      <c r="Z575" s="802"/>
      <c r="AA575" s="802"/>
      <c r="AB575" s="803"/>
      <c r="AC575" s="802"/>
      <c r="AD575" s="802"/>
      <c r="AE575" s="802"/>
      <c r="AF575" s="826"/>
      <c r="AG575" s="802"/>
      <c r="AH575" s="786"/>
      <c r="AI575" s="840">
        <f t="shared" si="35"/>
        <v>0</v>
      </c>
    </row>
    <row r="576" spans="1:35" ht="13.8">
      <c r="A576" s="812"/>
      <c r="B576" s="804" t="s">
        <v>1835</v>
      </c>
      <c r="C576" s="799"/>
      <c r="D576" s="800"/>
      <c r="E576" s="800"/>
      <c r="F576" s="800"/>
      <c r="G576" s="801"/>
      <c r="H576" s="800"/>
      <c r="I576" s="802"/>
      <c r="J576" s="802"/>
      <c r="K576" s="802"/>
      <c r="L576" s="802"/>
      <c r="M576" s="802"/>
      <c r="N576" s="803"/>
      <c r="O576" s="802"/>
      <c r="P576" s="560"/>
      <c r="Q576" s="821">
        <f>4*1.2*1.2*0.55</f>
        <v>3.1680000000000001</v>
      </c>
      <c r="R576" s="582"/>
      <c r="S576" s="802"/>
      <c r="T576" s="802"/>
      <c r="U576" s="803"/>
      <c r="V576" s="802"/>
      <c r="W576" s="802"/>
      <c r="X576" s="802"/>
      <c r="Y576" s="802"/>
      <c r="Z576" s="802"/>
      <c r="AA576" s="802"/>
      <c r="AB576" s="803"/>
      <c r="AC576" s="802"/>
      <c r="AD576" s="802"/>
      <c r="AE576" s="802"/>
      <c r="AF576" s="826"/>
      <c r="AG576" s="802"/>
      <c r="AH576" s="786"/>
      <c r="AI576" s="840">
        <f t="shared" si="35"/>
        <v>3.1680000000000001</v>
      </c>
    </row>
    <row r="577" spans="1:35" ht="13.8">
      <c r="A577" s="812"/>
      <c r="B577" s="804" t="s">
        <v>1195</v>
      </c>
      <c r="C577" s="799"/>
      <c r="D577" s="800"/>
      <c r="E577" s="800"/>
      <c r="F577" s="800"/>
      <c r="G577" s="801"/>
      <c r="H577" s="800"/>
      <c r="I577" s="802"/>
      <c r="J577" s="802"/>
      <c r="K577" s="802"/>
      <c r="L577" s="802"/>
      <c r="M577" s="802"/>
      <c r="N577" s="803"/>
      <c r="O577" s="802"/>
      <c r="P577" s="802"/>
      <c r="Q577" s="741"/>
      <c r="R577" s="582"/>
      <c r="S577" s="802"/>
      <c r="T577" s="802"/>
      <c r="U577" s="803"/>
      <c r="V577" s="802"/>
      <c r="W577" s="802"/>
      <c r="X577" s="802"/>
      <c r="Y577" s="802"/>
      <c r="Z577" s="802"/>
      <c r="AA577" s="802"/>
      <c r="AB577" s="803"/>
      <c r="AC577" s="802"/>
      <c r="AD577" s="802"/>
      <c r="AE577" s="802"/>
      <c r="AF577" s="826"/>
      <c r="AG577" s="802"/>
      <c r="AH577" s="786"/>
      <c r="AI577" s="840">
        <f t="shared" si="35"/>
        <v>0</v>
      </c>
    </row>
    <row r="578" spans="1:35" ht="13.8">
      <c r="A578" s="812"/>
      <c r="B578" s="804" t="s">
        <v>1834</v>
      </c>
      <c r="C578" s="799"/>
      <c r="D578" s="800"/>
      <c r="E578" s="800"/>
      <c r="F578" s="800"/>
      <c r="G578" s="801"/>
      <c r="H578" s="800"/>
      <c r="I578" s="802"/>
      <c r="J578" s="802"/>
      <c r="K578" s="802"/>
      <c r="L578" s="802"/>
      <c r="M578" s="802"/>
      <c r="N578" s="803"/>
      <c r="O578" s="802"/>
      <c r="P578" s="802"/>
      <c r="Q578" s="741"/>
      <c r="R578" s="582"/>
      <c r="S578" s="802"/>
      <c r="T578" s="802"/>
      <c r="U578" s="803"/>
      <c r="V578" s="802"/>
      <c r="W578" s="802"/>
      <c r="X578" s="802"/>
      <c r="Y578" s="802"/>
      <c r="Z578" s="802"/>
      <c r="AA578" s="802"/>
      <c r="AB578" s="803"/>
      <c r="AC578" s="802"/>
      <c r="AD578" s="802"/>
      <c r="AE578" s="802"/>
      <c r="AF578" s="826"/>
      <c r="AG578" s="802"/>
      <c r="AH578" s="786"/>
      <c r="AI578" s="840">
        <f t="shared" si="35"/>
        <v>0</v>
      </c>
    </row>
    <row r="579" spans="1:35" ht="13.8">
      <c r="A579" s="812"/>
      <c r="B579" s="804" t="s">
        <v>1835</v>
      </c>
      <c r="C579" s="799"/>
      <c r="D579" s="800"/>
      <c r="E579" s="800"/>
      <c r="F579" s="800"/>
      <c r="G579" s="801"/>
      <c r="H579" s="800"/>
      <c r="I579" s="802"/>
      <c r="J579" s="802"/>
      <c r="K579" s="802"/>
      <c r="L579" s="802"/>
      <c r="M579" s="802"/>
      <c r="N579" s="803"/>
      <c r="O579" s="802"/>
      <c r="P579" s="802"/>
      <c r="Q579" s="741"/>
      <c r="R579" s="582">
        <f>11*1.2*1.2*1.5</f>
        <v>23.759999999999998</v>
      </c>
      <c r="S579" s="802"/>
      <c r="T579" s="802"/>
      <c r="U579" s="803"/>
      <c r="V579" s="802"/>
      <c r="W579" s="802"/>
      <c r="X579" s="802"/>
      <c r="Y579" s="802"/>
      <c r="Z579" s="802"/>
      <c r="AA579" s="802"/>
      <c r="AB579" s="803"/>
      <c r="AC579" s="802"/>
      <c r="AD579" s="802"/>
      <c r="AE579" s="802"/>
      <c r="AF579" s="826"/>
      <c r="AG579" s="802"/>
      <c r="AH579" s="786"/>
      <c r="AI579" s="840">
        <f t="shared" si="35"/>
        <v>23.759999999999998</v>
      </c>
    </row>
    <row r="580" spans="1:35" ht="13.8">
      <c r="A580" s="812"/>
      <c r="B580" s="610" t="s">
        <v>1197</v>
      </c>
      <c r="C580" s="799"/>
      <c r="D580" s="800"/>
      <c r="E580" s="800"/>
      <c r="F580" s="800"/>
      <c r="G580" s="801"/>
      <c r="H580" s="800"/>
      <c r="I580" s="802"/>
      <c r="J580" s="802"/>
      <c r="K580" s="802"/>
      <c r="L580" s="802"/>
      <c r="M580" s="802"/>
      <c r="N580" s="803"/>
      <c r="O580" s="802"/>
      <c r="P580" s="802"/>
      <c r="Q580" s="741"/>
      <c r="R580" s="560"/>
      <c r="S580" s="802"/>
      <c r="T580" s="802"/>
      <c r="U580" s="803"/>
      <c r="V580" s="802"/>
      <c r="W580" s="802"/>
      <c r="X580" s="802"/>
      <c r="Y580" s="802"/>
      <c r="Z580" s="802"/>
      <c r="AA580" s="802"/>
      <c r="AB580" s="803"/>
      <c r="AC580" s="802"/>
      <c r="AD580" s="802"/>
      <c r="AE580" s="802"/>
      <c r="AF580" s="826"/>
      <c r="AG580" s="802"/>
      <c r="AH580" s="786"/>
      <c r="AI580" s="840">
        <f t="shared" si="35"/>
        <v>0</v>
      </c>
    </row>
    <row r="581" spans="1:35" ht="13.8">
      <c r="A581" s="812"/>
      <c r="B581" s="804" t="s">
        <v>1834</v>
      </c>
      <c r="C581" s="799"/>
      <c r="D581" s="800"/>
      <c r="E581" s="800"/>
      <c r="F581" s="800"/>
      <c r="G581" s="801"/>
      <c r="H581" s="800"/>
      <c r="I581" s="802"/>
      <c r="J581" s="802"/>
      <c r="K581" s="802"/>
      <c r="L581" s="802"/>
      <c r="M581" s="802"/>
      <c r="N581" s="803"/>
      <c r="O581" s="802"/>
      <c r="P581" s="802"/>
      <c r="Q581" s="741"/>
      <c r="R581" s="582"/>
      <c r="S581" s="802"/>
      <c r="T581" s="802"/>
      <c r="U581" s="803"/>
      <c r="V581" s="802"/>
      <c r="W581" s="802"/>
      <c r="X581" s="802"/>
      <c r="Y581" s="802"/>
      <c r="Z581" s="802"/>
      <c r="AA581" s="802"/>
      <c r="AB581" s="803"/>
      <c r="AC581" s="802"/>
      <c r="AD581" s="802"/>
      <c r="AE581" s="802"/>
      <c r="AF581" s="826"/>
      <c r="AG581" s="802"/>
      <c r="AH581" s="786"/>
      <c r="AI581" s="840">
        <f t="shared" si="35"/>
        <v>0</v>
      </c>
    </row>
    <row r="582" spans="1:35" ht="13.8">
      <c r="A582" s="812"/>
      <c r="B582" s="804" t="s">
        <v>1835</v>
      </c>
      <c r="C582" s="799"/>
      <c r="D582" s="800"/>
      <c r="E582" s="800"/>
      <c r="F582" s="800"/>
      <c r="G582" s="801"/>
      <c r="H582" s="800"/>
      <c r="I582" s="802"/>
      <c r="J582" s="802"/>
      <c r="K582" s="802"/>
      <c r="L582" s="802"/>
      <c r="M582" s="802"/>
      <c r="N582" s="803"/>
      <c r="O582" s="802"/>
      <c r="P582" s="802"/>
      <c r="Q582" s="741"/>
      <c r="R582" s="582"/>
      <c r="S582" s="802"/>
      <c r="T582" s="802"/>
      <c r="U582" s="803"/>
      <c r="V582" s="803">
        <f>9.2*1.4*0.8</f>
        <v>10.304</v>
      </c>
      <c r="W582" s="802"/>
      <c r="X582" s="803">
        <f>15.57*1.4*0.9</f>
        <v>19.618199999999998</v>
      </c>
      <c r="Y582" s="802"/>
      <c r="Z582" s="803">
        <f>7.51*1.4*0.5</f>
        <v>5.2569999999999997</v>
      </c>
      <c r="AA582" s="803">
        <f>9.2*1.4*0.7</f>
        <v>9.0159999999999982</v>
      </c>
      <c r="AB582" s="803"/>
      <c r="AC582" s="802"/>
      <c r="AD582" s="802"/>
      <c r="AE582" s="802"/>
      <c r="AF582" s="826"/>
      <c r="AG582" s="802"/>
      <c r="AH582" s="786"/>
      <c r="AI582" s="840">
        <f t="shared" si="35"/>
        <v>44.195199999999993</v>
      </c>
    </row>
  </sheetData>
  <mergeCells count="7">
    <mergeCell ref="B5:K5"/>
    <mergeCell ref="D8:AI8"/>
    <mergeCell ref="A9:A10"/>
    <mergeCell ref="B9:B10"/>
    <mergeCell ref="A1:K1"/>
    <mergeCell ref="A2:K2"/>
    <mergeCell ref="B4:K4"/>
  </mergeCells>
  <pageMargins left="0.7" right="0.7" top="0.75" bottom="0.75" header="0.3" footer="0.3"/>
  <pageSetup paperSize="9" scale="25" orientation="portrait" r:id="rId1"/>
  <colBreaks count="2" manualBreakCount="2">
    <brk id="35" max="1048575" man="1"/>
    <brk id="98" max="1048575" man="1"/>
  </col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Q87"/>
  <sheetViews>
    <sheetView workbookViewId="0">
      <selection sqref="A1:X1"/>
    </sheetView>
  </sheetViews>
  <sheetFormatPr baseColWidth="10" defaultColWidth="11.44140625" defaultRowHeight="13.2"/>
  <cols>
    <col min="1" max="1" width="10.44140625" style="618" customWidth="1"/>
    <col min="2" max="2" width="99.33203125" style="616" customWidth="1"/>
    <col min="3" max="3" width="5" style="559" customWidth="1"/>
    <col min="4" max="4" width="7" style="557" customWidth="1"/>
    <col min="5" max="5" width="7" style="787" customWidth="1"/>
    <col min="6" max="11" width="7" style="557" customWidth="1"/>
    <col min="12" max="12" width="7" style="787" customWidth="1"/>
    <col min="13" max="18" width="7" style="557" customWidth="1"/>
    <col min="19" max="19" width="7" style="787" customWidth="1"/>
    <col min="20" max="25" width="7" style="557" customWidth="1"/>
    <col min="26" max="26" width="7" style="787" customWidth="1"/>
    <col min="27" max="29" width="7" style="557" customWidth="1"/>
    <col min="30" max="30" width="7" style="558" customWidth="1"/>
    <col min="31" max="31" width="10.109375" style="814" customWidth="1"/>
    <col min="32" max="32" width="7" style="558" customWidth="1"/>
    <col min="33" max="33" width="7" style="808" customWidth="1"/>
    <col min="34" max="34" width="7" style="558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  <c r="L1" s="1538"/>
      <c r="M1" s="1538"/>
      <c r="N1" s="1538"/>
      <c r="O1" s="1538"/>
      <c r="P1" s="1538"/>
      <c r="Q1" s="1538"/>
      <c r="R1" s="1538"/>
      <c r="S1" s="1538"/>
      <c r="T1" s="1538"/>
      <c r="U1" s="1538"/>
      <c r="V1" s="1538"/>
      <c r="W1" s="1538"/>
      <c r="X1" s="1538"/>
    </row>
    <row r="2" spans="1:43">
      <c r="A2" s="1539" t="s">
        <v>1789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  <c r="L2" s="1539"/>
      <c r="M2" s="1539"/>
      <c r="N2" s="1539"/>
      <c r="O2" s="1539"/>
      <c r="P2" s="1539"/>
      <c r="Q2" s="1539"/>
      <c r="R2" s="1539"/>
      <c r="S2" s="1539"/>
      <c r="T2" s="1539"/>
      <c r="U2" s="1539"/>
      <c r="V2" s="1539"/>
      <c r="W2" s="1539"/>
      <c r="X2" s="1539"/>
    </row>
    <row r="3" spans="1:43">
      <c r="A3" s="615"/>
    </row>
    <row r="4" spans="1:43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  <c r="L4" s="1540"/>
    </row>
    <row r="5" spans="1:43" ht="12.75" customHeight="1">
      <c r="A5" s="617"/>
      <c r="B5" s="1541" t="e">
        <f>#REF!</f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  <c r="L5" s="1542"/>
      <c r="M5" s="1542"/>
      <c r="N5" s="1542"/>
      <c r="O5" s="1542"/>
      <c r="P5" s="1542"/>
      <c r="Q5" s="1542"/>
      <c r="R5" s="1542"/>
      <c r="S5" s="1542"/>
      <c r="T5" s="1542"/>
      <c r="U5" s="1542"/>
      <c r="V5" s="1542"/>
      <c r="W5" s="1542"/>
      <c r="X5" s="1542"/>
      <c r="Y5" s="1542"/>
      <c r="Z5" s="1542"/>
      <c r="AA5" s="1542"/>
    </row>
    <row r="6" spans="1:43" ht="13.5" customHeight="1">
      <c r="B6" s="619"/>
      <c r="C6" s="561"/>
    </row>
    <row r="7" spans="1:43" ht="13.5" customHeight="1" thickBot="1">
      <c r="B7" s="619"/>
      <c r="C7" s="561"/>
      <c r="Q7" s="1545" t="s">
        <v>283</v>
      </c>
      <c r="R7" s="1545"/>
      <c r="S7" s="1545"/>
      <c r="T7" s="1545"/>
      <c r="U7" s="1545"/>
      <c r="V7" s="1545"/>
      <c r="W7" s="1546">
        <v>42857</v>
      </c>
      <c r="X7" s="1546"/>
      <c r="Y7" s="1546"/>
      <c r="Z7" s="1546"/>
    </row>
    <row r="8" spans="1:43" ht="13.5" customHeight="1" thickBot="1">
      <c r="B8" s="619"/>
      <c r="C8" s="561"/>
      <c r="D8" s="929" t="s">
        <v>1873</v>
      </c>
      <c r="E8" s="929" t="s">
        <v>1874</v>
      </c>
      <c r="F8" s="929" t="s">
        <v>1866</v>
      </c>
      <c r="G8" s="929" t="s">
        <v>1867</v>
      </c>
      <c r="H8" s="929" t="s">
        <v>1868</v>
      </c>
      <c r="I8" s="929" t="s">
        <v>1869</v>
      </c>
      <c r="J8" s="929" t="s">
        <v>1870</v>
      </c>
      <c r="K8" s="929" t="s">
        <v>1871</v>
      </c>
      <c r="L8" s="929" t="s">
        <v>1872</v>
      </c>
      <c r="M8" s="929" t="s">
        <v>1866</v>
      </c>
      <c r="N8" s="929" t="s">
        <v>1867</v>
      </c>
      <c r="O8" s="929" t="s">
        <v>1868</v>
      </c>
      <c r="P8" s="929" t="s">
        <v>1869</v>
      </c>
      <c r="Q8" s="929" t="s">
        <v>1870</v>
      </c>
      <c r="R8" s="929" t="s">
        <v>1871</v>
      </c>
      <c r="S8" s="929" t="s">
        <v>1872</v>
      </c>
      <c r="T8" s="929" t="s">
        <v>1866</v>
      </c>
      <c r="U8" s="929" t="s">
        <v>1867</v>
      </c>
      <c r="V8" s="929" t="s">
        <v>1868</v>
      </c>
      <c r="W8" s="929" t="s">
        <v>1869</v>
      </c>
      <c r="X8" s="929" t="s">
        <v>1870</v>
      </c>
      <c r="Y8" s="929" t="s">
        <v>1871</v>
      </c>
      <c r="Z8" s="929" t="s">
        <v>1872</v>
      </c>
      <c r="AA8" s="929" t="s">
        <v>1866</v>
      </c>
      <c r="AB8" s="929" t="s">
        <v>1867</v>
      </c>
      <c r="AC8" s="929" t="s">
        <v>1868</v>
      </c>
      <c r="AD8" s="929" t="s">
        <v>1869</v>
      </c>
      <c r="AE8" s="929" t="s">
        <v>1870</v>
      </c>
      <c r="AF8" s="929" t="s">
        <v>1871</v>
      </c>
      <c r="AG8" s="929" t="s">
        <v>1872</v>
      </c>
      <c r="AH8" s="929" t="s">
        <v>1866</v>
      </c>
      <c r="AI8" s="929"/>
      <c r="AJ8" s="1547" t="s">
        <v>1864</v>
      </c>
      <c r="AK8" s="1548"/>
      <c r="AL8" s="1548"/>
      <c r="AM8" s="1549"/>
      <c r="AN8" s="1547" t="s">
        <v>1865</v>
      </c>
      <c r="AO8" s="1548"/>
      <c r="AP8" s="1548"/>
      <c r="AQ8" s="1549"/>
    </row>
    <row r="9" spans="1:43" ht="13.8" thickBot="1">
      <c r="A9" s="1543" t="s">
        <v>284</v>
      </c>
      <c r="B9" s="1543" t="s">
        <v>19</v>
      </c>
      <c r="C9" s="562"/>
      <c r="D9" s="938">
        <v>1</v>
      </c>
      <c r="E9" s="788">
        <f t="shared" ref="E9:AH9" si="0">+D9+1</f>
        <v>2</v>
      </c>
      <c r="F9" s="938">
        <f t="shared" si="0"/>
        <v>3</v>
      </c>
      <c r="G9" s="938">
        <f t="shared" si="0"/>
        <v>4</v>
      </c>
      <c r="H9" s="938">
        <f t="shared" si="0"/>
        <v>5</v>
      </c>
      <c r="I9" s="938">
        <f t="shared" si="0"/>
        <v>6</v>
      </c>
      <c r="J9" s="938">
        <f t="shared" si="0"/>
        <v>7</v>
      </c>
      <c r="K9" s="938">
        <f t="shared" si="0"/>
        <v>8</v>
      </c>
      <c r="L9" s="788">
        <f t="shared" si="0"/>
        <v>9</v>
      </c>
      <c r="M9" s="938">
        <f t="shared" si="0"/>
        <v>10</v>
      </c>
      <c r="N9" s="938">
        <f t="shared" si="0"/>
        <v>11</v>
      </c>
      <c r="O9" s="938">
        <f t="shared" si="0"/>
        <v>12</v>
      </c>
      <c r="P9" s="938">
        <f t="shared" si="0"/>
        <v>13</v>
      </c>
      <c r="Q9" s="938">
        <f t="shared" si="0"/>
        <v>14</v>
      </c>
      <c r="R9" s="938">
        <f t="shared" si="0"/>
        <v>15</v>
      </c>
      <c r="S9" s="788">
        <f t="shared" si="0"/>
        <v>16</v>
      </c>
      <c r="T9" s="938">
        <f t="shared" si="0"/>
        <v>17</v>
      </c>
      <c r="U9" s="938">
        <f t="shared" si="0"/>
        <v>18</v>
      </c>
      <c r="V9" s="938">
        <f t="shared" si="0"/>
        <v>19</v>
      </c>
      <c r="W9" s="938">
        <f t="shared" si="0"/>
        <v>20</v>
      </c>
      <c r="X9" s="938">
        <f t="shared" si="0"/>
        <v>21</v>
      </c>
      <c r="Y9" s="938">
        <f t="shared" si="0"/>
        <v>22</v>
      </c>
      <c r="Z9" s="788">
        <f t="shared" si="0"/>
        <v>23</v>
      </c>
      <c r="AA9" s="938">
        <f t="shared" si="0"/>
        <v>24</v>
      </c>
      <c r="AB9" s="938">
        <f t="shared" si="0"/>
        <v>25</v>
      </c>
      <c r="AC9" s="938">
        <f t="shared" si="0"/>
        <v>26</v>
      </c>
      <c r="AD9" s="564">
        <f t="shared" si="0"/>
        <v>27</v>
      </c>
      <c r="AE9" s="815">
        <f t="shared" si="0"/>
        <v>28</v>
      </c>
      <c r="AF9" s="564">
        <f t="shared" si="0"/>
        <v>29</v>
      </c>
      <c r="AG9" s="788">
        <f t="shared" si="0"/>
        <v>30</v>
      </c>
      <c r="AH9" s="564">
        <f t="shared" si="0"/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44"/>
      <c r="B10" s="1544"/>
      <c r="C10" s="567" t="s">
        <v>285</v>
      </c>
      <c r="D10" s="568" t="s">
        <v>291</v>
      </c>
      <c r="E10" s="789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789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789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789" t="s">
        <v>291</v>
      </c>
      <c r="AA10" s="568" t="s">
        <v>291</v>
      </c>
      <c r="AB10" s="568" t="s">
        <v>291</v>
      </c>
      <c r="AC10" s="568" t="s">
        <v>291</v>
      </c>
      <c r="AD10" s="569" t="s">
        <v>291</v>
      </c>
      <c r="AE10" s="816" t="s">
        <v>291</v>
      </c>
      <c r="AF10" s="569" t="s">
        <v>291</v>
      </c>
      <c r="AG10" s="789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571"/>
      <c r="E11" s="790"/>
      <c r="F11" s="572"/>
      <c r="G11" s="572"/>
      <c r="H11" s="572"/>
      <c r="I11" s="573"/>
      <c r="J11" s="573"/>
      <c r="K11" s="573"/>
      <c r="L11" s="792"/>
      <c r="M11" s="573"/>
      <c r="N11" s="573"/>
      <c r="O11" s="573"/>
      <c r="P11" s="573"/>
      <c r="Q11" s="573"/>
      <c r="R11" s="573"/>
      <c r="S11" s="792"/>
      <c r="T11" s="573"/>
      <c r="U11" s="573"/>
      <c r="V11" s="573"/>
      <c r="W11" s="573"/>
      <c r="X11" s="573"/>
      <c r="Y11" s="573"/>
      <c r="Z11" s="792"/>
      <c r="AA11" s="573"/>
      <c r="AB11" s="574"/>
      <c r="AC11" s="574"/>
      <c r="AD11" s="574"/>
      <c r="AE11" s="862"/>
      <c r="AF11" s="575"/>
      <c r="AG11" s="809"/>
      <c r="AH11" s="575"/>
      <c r="AI11" s="576">
        <f>SUM(D11:AH11)</f>
        <v>0</v>
      </c>
      <c r="AJ11" s="577">
        <v>0</v>
      </c>
      <c r="AK11" s="578">
        <f>AI11-AJ11</f>
        <v>0</v>
      </c>
      <c r="AN11" s="577">
        <v>0</v>
      </c>
      <c r="AO11" s="578">
        <f>AM11-AN11</f>
        <v>0</v>
      </c>
    </row>
    <row r="12" spans="1:43" s="560" customFormat="1">
      <c r="A12" s="604" t="s">
        <v>501</v>
      </c>
      <c r="B12" s="314" t="s">
        <v>33</v>
      </c>
      <c r="C12" s="590"/>
      <c r="D12" s="580"/>
      <c r="E12" s="778"/>
      <c r="F12" s="581"/>
      <c r="G12" s="581"/>
      <c r="H12" s="581"/>
      <c r="I12" s="935"/>
      <c r="J12" s="935"/>
      <c r="K12" s="935"/>
      <c r="L12" s="777"/>
      <c r="M12" s="935"/>
      <c r="N12" s="935"/>
      <c r="O12" s="935"/>
      <c r="P12" s="935"/>
      <c r="Q12" s="935"/>
      <c r="R12" s="935"/>
      <c r="S12" s="777"/>
      <c r="T12" s="935"/>
      <c r="U12" s="935"/>
      <c r="V12" s="935"/>
      <c r="W12" s="935"/>
      <c r="X12" s="935"/>
      <c r="Y12" s="935"/>
      <c r="Z12" s="777"/>
      <c r="AA12" s="935"/>
      <c r="AB12" s="583"/>
      <c r="AC12" s="583"/>
      <c r="AD12" s="575"/>
      <c r="AE12" s="817"/>
      <c r="AF12" s="575"/>
      <c r="AG12" s="809"/>
      <c r="AH12" s="575"/>
      <c r="AI12" s="576">
        <f>SUM(D12:AH12)</f>
        <v>0</v>
      </c>
      <c r="AJ12" s="584">
        <v>0</v>
      </c>
      <c r="AK12" s="578">
        <f>AI12-AJ12</f>
        <v>0</v>
      </c>
      <c r="AN12" s="584">
        <v>0</v>
      </c>
      <c r="AO12" s="578">
        <f>AM12-AN12</f>
        <v>0</v>
      </c>
    </row>
    <row r="13" spans="1:43" s="560" customFormat="1" ht="13.8">
      <c r="A13" s="604" t="s">
        <v>1791</v>
      </c>
      <c r="B13" s="320" t="s">
        <v>1806</v>
      </c>
      <c r="C13" s="585" t="s">
        <v>39</v>
      </c>
      <c r="D13" s="580">
        <v>15</v>
      </c>
      <c r="E13" s="795"/>
      <c r="F13" s="580">
        <v>20</v>
      </c>
      <c r="G13" s="580">
        <v>20</v>
      </c>
      <c r="H13" s="580">
        <v>20</v>
      </c>
      <c r="I13" s="580">
        <v>20</v>
      </c>
      <c r="J13" s="580">
        <v>20</v>
      </c>
      <c r="K13" s="580">
        <v>15</v>
      </c>
      <c r="L13" s="795"/>
      <c r="M13" s="580">
        <v>20</v>
      </c>
      <c r="N13" s="580">
        <v>20</v>
      </c>
      <c r="O13" s="580">
        <v>20</v>
      </c>
      <c r="P13" s="580">
        <v>20</v>
      </c>
      <c r="Q13" s="580">
        <v>20</v>
      </c>
      <c r="R13" s="580">
        <v>15</v>
      </c>
      <c r="S13" s="795"/>
      <c r="T13" s="580">
        <v>20</v>
      </c>
      <c r="U13" s="580">
        <v>20</v>
      </c>
      <c r="V13" s="580">
        <v>20</v>
      </c>
      <c r="W13" s="580">
        <v>20</v>
      </c>
      <c r="X13" s="580">
        <v>20</v>
      </c>
      <c r="Y13" s="580">
        <v>15</v>
      </c>
      <c r="Z13" s="795"/>
      <c r="AA13" s="580">
        <v>20</v>
      </c>
      <c r="AB13" s="580">
        <v>20</v>
      </c>
      <c r="AC13" s="580">
        <v>20</v>
      </c>
      <c r="AD13" s="580">
        <v>20</v>
      </c>
      <c r="AE13" s="824"/>
      <c r="AF13" s="580">
        <v>15</v>
      </c>
      <c r="AG13" s="795"/>
      <c r="AH13" s="583">
        <v>21.93</v>
      </c>
      <c r="AI13" s="576">
        <f>SUM(D13:AH13)</f>
        <v>476.93</v>
      </c>
      <c r="AJ13" s="584">
        <v>1088.27</v>
      </c>
      <c r="AK13" s="578">
        <f>AI13+AJ13</f>
        <v>1565.2</v>
      </c>
      <c r="AL13" s="560">
        <f>1.3*1204</f>
        <v>1565.2</v>
      </c>
      <c r="AM13" s="578">
        <f>AL13-AK13</f>
        <v>0</v>
      </c>
      <c r="AN13" s="584">
        <v>1088.27</v>
      </c>
      <c r="AO13" s="578">
        <f>AM13+AN13</f>
        <v>1088.27</v>
      </c>
      <c r="AP13" s="560">
        <f>1.3*1204</f>
        <v>1565.2</v>
      </c>
      <c r="AQ13" s="578">
        <f>AP13-AO13</f>
        <v>476.93000000000006</v>
      </c>
    </row>
    <row r="14" spans="1:43" s="560" customFormat="1" ht="13.8">
      <c r="A14" s="604" t="s">
        <v>1814</v>
      </c>
      <c r="B14" s="804" t="s">
        <v>1820</v>
      </c>
      <c r="C14" s="798" t="s">
        <v>39</v>
      </c>
      <c r="D14" s="581"/>
      <c r="E14" s="778"/>
      <c r="F14" s="922">
        <v>14</v>
      </c>
      <c r="G14" s="922">
        <v>14</v>
      </c>
      <c r="H14" s="581"/>
      <c r="I14" s="935">
        <v>14</v>
      </c>
      <c r="J14" s="865"/>
      <c r="K14" s="935"/>
      <c r="L14" s="777"/>
      <c r="M14" s="890"/>
      <c r="N14" s="588"/>
      <c r="O14" s="825"/>
      <c r="P14" s="825">
        <v>21</v>
      </c>
      <c r="Q14" s="825"/>
      <c r="R14" s="935"/>
      <c r="S14" s="777"/>
      <c r="T14" s="935"/>
      <c r="U14" s="935"/>
      <c r="V14" s="935"/>
      <c r="W14" s="935"/>
      <c r="X14" s="935"/>
      <c r="Y14" s="935"/>
      <c r="Z14" s="777"/>
      <c r="AA14" s="935"/>
      <c r="AB14" s="935"/>
      <c r="AC14" s="935"/>
      <c r="AD14" s="935"/>
      <c r="AE14" s="825"/>
      <c r="AF14" s="935"/>
      <c r="AG14" s="777"/>
      <c r="AH14" s="786"/>
      <c r="AI14" s="576">
        <f>SUM(D14:AH14)</f>
        <v>63</v>
      </c>
      <c r="AJ14" s="584">
        <v>339.27</v>
      </c>
      <c r="AK14" s="578">
        <f>AI14+AJ14</f>
        <v>402.27</v>
      </c>
      <c r="AL14" s="560">
        <v>1204.5</v>
      </c>
      <c r="AM14" s="578">
        <f t="shared" ref="AM14:AM17" si="1">AL14-AK14</f>
        <v>802.23</v>
      </c>
      <c r="AN14" s="584">
        <v>339.27</v>
      </c>
      <c r="AO14" s="578">
        <f>AM14+AN14</f>
        <v>1141.5</v>
      </c>
      <c r="AP14" s="560">
        <v>1204.5</v>
      </c>
      <c r="AQ14" s="578">
        <f t="shared" ref="AQ14:AQ17" si="2">AP14-AO14</f>
        <v>63</v>
      </c>
    </row>
    <row r="15" spans="1:43" ht="13.8">
      <c r="A15" s="604" t="s">
        <v>1816</v>
      </c>
      <c r="B15" s="804" t="s">
        <v>1821</v>
      </c>
      <c r="C15" s="798" t="s">
        <v>39</v>
      </c>
      <c r="D15" s="581"/>
      <c r="E15" s="778"/>
      <c r="F15" s="581"/>
      <c r="G15" s="581"/>
      <c r="H15" s="581"/>
      <c r="I15" s="935"/>
      <c r="J15" s="935"/>
      <c r="K15" s="935"/>
      <c r="L15" s="777"/>
      <c r="M15" s="935"/>
      <c r="N15" s="825">
        <v>29</v>
      </c>
      <c r="O15" s="935"/>
      <c r="P15" s="935"/>
      <c r="Q15" s="935"/>
      <c r="R15" s="935"/>
      <c r="S15" s="777"/>
      <c r="T15" s="935"/>
      <c r="U15" s="935"/>
      <c r="V15" s="935"/>
      <c r="W15" s="935"/>
      <c r="X15" s="935"/>
      <c r="Y15" s="566"/>
      <c r="Z15" s="860"/>
      <c r="AA15" s="935"/>
      <c r="AB15" s="935"/>
      <c r="AC15" s="935"/>
      <c r="AD15" s="935"/>
      <c r="AE15" s="825"/>
      <c r="AF15" s="935"/>
      <c r="AG15" s="777"/>
      <c r="AH15" s="786"/>
      <c r="AI15" s="576">
        <f t="shared" ref="AI15:AI16" si="3">SUM(D15:AH15)</f>
        <v>29</v>
      </c>
      <c r="AJ15" s="584">
        <v>340.27</v>
      </c>
      <c r="AK15" s="578">
        <f t="shared" ref="AK15:AK18" si="4">AI15+AJ15</f>
        <v>369.27</v>
      </c>
      <c r="AL15" s="560">
        <v>1205.5</v>
      </c>
      <c r="AM15" s="578">
        <f t="shared" si="1"/>
        <v>836.23</v>
      </c>
      <c r="AN15" s="584">
        <v>340.27</v>
      </c>
      <c r="AO15" s="578">
        <f t="shared" ref="AO15:AO18" si="5">AM15+AN15</f>
        <v>1176.5</v>
      </c>
      <c r="AP15" s="560">
        <v>1205.5</v>
      </c>
      <c r="AQ15" s="578">
        <f t="shared" si="2"/>
        <v>29</v>
      </c>
    </row>
    <row r="16" spans="1:43" s="560" customFormat="1" ht="13.8">
      <c r="A16" s="604" t="s">
        <v>1817</v>
      </c>
      <c r="B16" s="804" t="s">
        <v>1822</v>
      </c>
      <c r="C16" s="798" t="s">
        <v>39</v>
      </c>
      <c r="D16" s="585"/>
      <c r="E16" s="778"/>
      <c r="F16" s="581"/>
      <c r="G16" s="581"/>
      <c r="H16" s="581"/>
      <c r="I16" s="935"/>
      <c r="J16" s="935"/>
      <c r="K16" s="935"/>
      <c r="L16" s="777"/>
      <c r="M16" s="935"/>
      <c r="N16" s="825">
        <v>8</v>
      </c>
      <c r="O16" s="935"/>
      <c r="P16" s="935"/>
      <c r="Q16" s="935"/>
      <c r="R16" s="935"/>
      <c r="S16" s="777"/>
      <c r="T16" s="935"/>
      <c r="U16" s="935"/>
      <c r="V16" s="935"/>
      <c r="W16" s="935"/>
      <c r="X16" s="935"/>
      <c r="Y16" s="935"/>
      <c r="Z16" s="777"/>
      <c r="AA16" s="935"/>
      <c r="AB16" s="935"/>
      <c r="AC16" s="935"/>
      <c r="AD16" s="935"/>
      <c r="AE16" s="825"/>
      <c r="AF16" s="935"/>
      <c r="AG16" s="777"/>
      <c r="AH16" s="786"/>
      <c r="AI16" s="576">
        <f t="shared" si="3"/>
        <v>8</v>
      </c>
      <c r="AJ16" s="584">
        <v>341.27</v>
      </c>
      <c r="AK16" s="578">
        <f t="shared" si="4"/>
        <v>349.27</v>
      </c>
      <c r="AL16" s="560">
        <v>1206.5</v>
      </c>
      <c r="AM16" s="578">
        <f t="shared" si="1"/>
        <v>857.23</v>
      </c>
      <c r="AN16" s="584">
        <v>341.27</v>
      </c>
      <c r="AO16" s="578">
        <f t="shared" si="5"/>
        <v>1198.5</v>
      </c>
      <c r="AP16" s="560">
        <v>1206.5</v>
      </c>
      <c r="AQ16" s="578">
        <f t="shared" si="2"/>
        <v>8</v>
      </c>
    </row>
    <row r="17" spans="1:43" s="560" customFormat="1" ht="13.8">
      <c r="A17" s="604" t="s">
        <v>1818</v>
      </c>
      <c r="B17" s="804" t="s">
        <v>1824</v>
      </c>
      <c r="C17" s="798" t="s">
        <v>1823</v>
      </c>
      <c r="E17" s="778"/>
      <c r="F17" s="581"/>
      <c r="G17" s="581"/>
      <c r="H17" s="581"/>
      <c r="I17" s="935"/>
      <c r="J17" s="935"/>
      <c r="K17" s="935"/>
      <c r="L17" s="777"/>
      <c r="M17" s="935"/>
      <c r="N17" s="935"/>
      <c r="O17" s="935"/>
      <c r="P17" s="935"/>
      <c r="Q17" s="935"/>
      <c r="R17" s="935"/>
      <c r="S17" s="777"/>
      <c r="T17" s="935"/>
      <c r="U17" s="935"/>
      <c r="V17" s="935"/>
      <c r="W17" s="935"/>
      <c r="X17" s="935"/>
      <c r="Y17" s="935"/>
      <c r="Z17" s="777"/>
      <c r="AA17" s="935"/>
      <c r="AB17" s="935"/>
      <c r="AC17" s="935"/>
      <c r="AD17" s="935"/>
      <c r="AE17" s="863"/>
      <c r="AF17" s="935"/>
      <c r="AG17" s="777"/>
      <c r="AH17" s="786"/>
      <c r="AI17" s="576">
        <f>SUM(E17:AH17)</f>
        <v>0</v>
      </c>
      <c r="AJ17" s="584">
        <v>342.27</v>
      </c>
      <c r="AK17" s="578">
        <f t="shared" si="4"/>
        <v>342.27</v>
      </c>
      <c r="AL17" s="560">
        <v>1207.5</v>
      </c>
      <c r="AM17" s="578">
        <f t="shared" si="1"/>
        <v>865.23</v>
      </c>
      <c r="AN17" s="584">
        <v>342.27</v>
      </c>
      <c r="AO17" s="578">
        <f t="shared" si="5"/>
        <v>1207.5</v>
      </c>
      <c r="AP17" s="560">
        <v>1207.5</v>
      </c>
      <c r="AQ17" s="578">
        <f t="shared" si="2"/>
        <v>0</v>
      </c>
    </row>
    <row r="18" spans="1:43" s="560" customFormat="1" ht="13.8">
      <c r="A18" s="604" t="s">
        <v>1819</v>
      </c>
      <c r="B18" s="804" t="s">
        <v>1815</v>
      </c>
      <c r="C18" s="799" t="s">
        <v>39</v>
      </c>
      <c r="D18" s="800"/>
      <c r="E18" s="801"/>
      <c r="F18" s="800"/>
      <c r="G18" s="800"/>
      <c r="H18" s="800"/>
      <c r="I18" s="802"/>
      <c r="J18" s="802"/>
      <c r="K18" s="802"/>
      <c r="L18" s="803"/>
      <c r="M18" s="802"/>
      <c r="N18" s="802"/>
      <c r="O18" s="802"/>
      <c r="P18" s="802"/>
      <c r="Q18" s="802"/>
      <c r="R18" s="802"/>
      <c r="S18" s="803"/>
      <c r="T18" s="802"/>
      <c r="U18" s="802"/>
      <c r="V18" s="802"/>
      <c r="W18" s="802"/>
      <c r="X18" s="802"/>
      <c r="Y18" s="802"/>
      <c r="Z18" s="803"/>
      <c r="AA18" s="802"/>
      <c r="AB18" s="802"/>
      <c r="AC18" s="802"/>
      <c r="AD18" s="802"/>
      <c r="AE18" s="826"/>
      <c r="AF18" s="802"/>
      <c r="AG18" s="803"/>
      <c r="AH18" s="786"/>
      <c r="AI18" s="576">
        <f t="shared" ref="AI18:AI64" si="6">SUM(D18:AH18)</f>
        <v>0</v>
      </c>
      <c r="AJ18" s="584">
        <v>340.27</v>
      </c>
      <c r="AK18" s="578">
        <f t="shared" si="4"/>
        <v>340.27</v>
      </c>
      <c r="AL18" s="560">
        <v>1204.5</v>
      </c>
      <c r="AM18" s="578">
        <f>AL18-AK18</f>
        <v>864.23</v>
      </c>
      <c r="AN18" s="584">
        <v>340.27</v>
      </c>
      <c r="AO18" s="578">
        <f t="shared" si="5"/>
        <v>1204.5</v>
      </c>
      <c r="AP18" s="560">
        <v>1204.5</v>
      </c>
      <c r="AQ18" s="578">
        <f>AP18-AO18</f>
        <v>0</v>
      </c>
    </row>
    <row r="19" spans="1:43" s="560" customFormat="1" ht="13.8">
      <c r="A19" s="604" t="s">
        <v>1825</v>
      </c>
      <c r="B19" s="804" t="s">
        <v>1829</v>
      </c>
      <c r="C19" s="799" t="s">
        <v>1828</v>
      </c>
      <c r="D19" s="800"/>
      <c r="E19" s="801"/>
      <c r="F19" s="800"/>
      <c r="G19" s="800"/>
      <c r="H19" s="800"/>
      <c r="I19" s="802"/>
      <c r="J19" s="802"/>
      <c r="K19" s="802"/>
      <c r="L19" s="803"/>
      <c r="M19" s="802"/>
      <c r="N19" s="802"/>
      <c r="O19" s="802"/>
      <c r="P19" s="802"/>
      <c r="Q19" s="935"/>
      <c r="R19" s="935"/>
      <c r="S19" s="803"/>
      <c r="T19" s="802"/>
      <c r="U19" s="802"/>
      <c r="V19" s="802"/>
      <c r="W19" s="802"/>
      <c r="X19" s="802"/>
      <c r="Y19" s="802"/>
      <c r="Z19" s="803"/>
      <c r="AA19" s="802"/>
      <c r="AB19" s="802"/>
      <c r="AC19" s="802"/>
      <c r="AD19" s="802"/>
      <c r="AE19" s="826"/>
      <c r="AF19" s="802"/>
      <c r="AG19" s="803"/>
      <c r="AH19" s="786"/>
      <c r="AI19" s="576">
        <f t="shared" si="6"/>
        <v>0</v>
      </c>
      <c r="AJ19" s="811"/>
      <c r="AK19" s="578"/>
      <c r="AM19" s="578"/>
    </row>
    <row r="20" spans="1:43" s="560" customFormat="1" ht="13.8">
      <c r="A20" s="604" t="s">
        <v>1826</v>
      </c>
      <c r="B20" s="804" t="s">
        <v>1830</v>
      </c>
      <c r="C20" s="799" t="s">
        <v>1828</v>
      </c>
      <c r="D20" s="800"/>
      <c r="E20" s="801"/>
      <c r="F20" s="800"/>
      <c r="G20" s="800"/>
      <c r="H20" s="800"/>
      <c r="I20" s="802"/>
      <c r="J20" s="802"/>
      <c r="K20" s="802"/>
      <c r="L20" s="803"/>
      <c r="M20" s="802"/>
      <c r="N20" s="802"/>
      <c r="O20" s="802"/>
      <c r="P20" s="802"/>
      <c r="Q20" s="741"/>
      <c r="R20" s="935"/>
      <c r="S20" s="803"/>
      <c r="T20" s="802"/>
      <c r="U20" s="802"/>
      <c r="V20" s="802"/>
      <c r="W20" s="802"/>
      <c r="X20" s="802"/>
      <c r="Y20" s="802"/>
      <c r="Z20" s="803"/>
      <c r="AA20" s="802"/>
      <c r="AB20" s="802"/>
      <c r="AC20" s="802"/>
      <c r="AD20" s="802"/>
      <c r="AE20" s="826"/>
      <c r="AF20" s="802"/>
      <c r="AG20" s="803"/>
      <c r="AH20" s="786"/>
      <c r="AI20" s="576">
        <f t="shared" si="6"/>
        <v>0</v>
      </c>
      <c r="AJ20" s="811"/>
      <c r="AK20" s="578"/>
      <c r="AM20" s="578"/>
    </row>
    <row r="21" spans="1:43" s="560" customFormat="1" ht="13.8">
      <c r="A21" s="604" t="s">
        <v>1827</v>
      </c>
      <c r="B21" s="804" t="s">
        <v>1831</v>
      </c>
      <c r="C21" s="799" t="s">
        <v>36</v>
      </c>
      <c r="D21" s="800"/>
      <c r="E21" s="801"/>
      <c r="F21" s="800"/>
      <c r="G21" s="800"/>
      <c r="H21" s="800"/>
      <c r="I21" s="802"/>
      <c r="J21" s="802"/>
      <c r="K21" s="802"/>
      <c r="L21" s="803"/>
      <c r="M21" s="802"/>
      <c r="N21" s="802"/>
      <c r="O21" s="802"/>
      <c r="P21" s="802"/>
      <c r="Q21" s="741"/>
      <c r="R21" s="935"/>
      <c r="S21" s="803"/>
      <c r="T21" s="802"/>
      <c r="U21" s="802"/>
      <c r="V21" s="802"/>
      <c r="W21" s="802"/>
      <c r="X21" s="802"/>
      <c r="Y21" s="802"/>
      <c r="Z21" s="803"/>
      <c r="AA21" s="802"/>
      <c r="AB21" s="802"/>
      <c r="AC21" s="802"/>
      <c r="AD21" s="802"/>
      <c r="AE21" s="826"/>
      <c r="AF21" s="802"/>
      <c r="AG21" s="803"/>
      <c r="AH21" s="786"/>
      <c r="AI21" s="576">
        <f>SUM(D21:AH21)</f>
        <v>0</v>
      </c>
      <c r="AJ21" s="811"/>
      <c r="AK21" s="578"/>
      <c r="AM21" s="578"/>
    </row>
    <row r="22" spans="1:43" s="560" customFormat="1" ht="13.8">
      <c r="A22" s="604" t="s">
        <v>1875</v>
      </c>
      <c r="B22" s="804" t="s">
        <v>1888</v>
      </c>
      <c r="C22" s="799" t="s">
        <v>72</v>
      </c>
      <c r="D22" s="800"/>
      <c r="E22" s="801"/>
      <c r="F22" s="800"/>
      <c r="G22" s="800"/>
      <c r="H22" s="800"/>
      <c r="I22" s="802"/>
      <c r="J22" s="826"/>
      <c r="K22" s="826"/>
      <c r="L22" s="803"/>
      <c r="M22" s="802"/>
      <c r="N22" s="802"/>
      <c r="O22" s="802"/>
      <c r="P22" s="802"/>
      <c r="Q22" s="744"/>
      <c r="R22" s="588"/>
      <c r="S22" s="803"/>
      <c r="T22" s="802"/>
      <c r="U22" s="802"/>
      <c r="V22" s="802"/>
      <c r="W22" s="802"/>
      <c r="X22" s="802"/>
      <c r="Y22" s="802"/>
      <c r="Z22" s="803"/>
      <c r="AA22" s="802"/>
      <c r="AB22" s="802"/>
      <c r="AC22" s="802"/>
      <c r="AD22" s="802"/>
      <c r="AE22" s="826"/>
      <c r="AF22" s="802"/>
      <c r="AG22" s="803"/>
      <c r="AH22" s="786"/>
      <c r="AI22" s="576">
        <f>SUM(D22:AH22)</f>
        <v>0</v>
      </c>
      <c r="AJ22" s="811"/>
      <c r="AK22" s="578"/>
      <c r="AM22" s="578"/>
    </row>
    <row r="23" spans="1:43" s="560" customFormat="1" ht="13.8">
      <c r="A23" s="604" t="s">
        <v>1886</v>
      </c>
      <c r="B23" s="804" t="s">
        <v>1887</v>
      </c>
      <c r="C23" s="799" t="s">
        <v>72</v>
      </c>
      <c r="D23" s="800"/>
      <c r="E23" s="801"/>
      <c r="F23" s="800"/>
      <c r="G23" s="800"/>
      <c r="H23" s="800"/>
      <c r="I23" s="802"/>
      <c r="J23" s="826"/>
      <c r="K23" s="826"/>
      <c r="L23" s="803"/>
      <c r="M23" s="802"/>
      <c r="N23" s="802"/>
      <c r="O23" s="802"/>
      <c r="P23" s="802"/>
      <c r="Q23" s="744"/>
      <c r="R23" s="588"/>
      <c r="S23" s="803"/>
      <c r="T23" s="802"/>
      <c r="U23" s="802"/>
      <c r="V23" s="802"/>
      <c r="W23" s="802"/>
      <c r="X23" s="802"/>
      <c r="Y23" s="802"/>
      <c r="Z23" s="803"/>
      <c r="AA23" s="802"/>
      <c r="AB23" s="802"/>
      <c r="AC23" s="802"/>
      <c r="AD23" s="802"/>
      <c r="AE23" s="826"/>
      <c r="AF23" s="802"/>
      <c r="AG23" s="803"/>
      <c r="AH23" s="786"/>
      <c r="AI23" s="576">
        <f>SUM(D23:AH23)</f>
        <v>0</v>
      </c>
      <c r="AJ23" s="811"/>
      <c r="AK23" s="578"/>
      <c r="AM23" s="578"/>
    </row>
    <row r="24" spans="1:43" s="560" customFormat="1" ht="13.8">
      <c r="A24" s="604" t="s">
        <v>1890</v>
      </c>
      <c r="B24" s="804" t="s">
        <v>1891</v>
      </c>
      <c r="C24" s="799" t="s">
        <v>72</v>
      </c>
      <c r="D24" s="800"/>
      <c r="E24" s="801"/>
      <c r="F24" s="800"/>
      <c r="G24" s="800"/>
      <c r="H24" s="800"/>
      <c r="I24" s="802"/>
      <c r="J24" s="802"/>
      <c r="K24" s="802"/>
      <c r="L24" s="803"/>
      <c r="M24" s="802"/>
      <c r="N24" s="802"/>
      <c r="O24" s="802"/>
      <c r="P24" s="802"/>
      <c r="Q24" s="744"/>
      <c r="R24" s="588"/>
      <c r="S24" s="803"/>
      <c r="T24" s="802"/>
      <c r="U24" s="802"/>
      <c r="V24" s="802"/>
      <c r="W24" s="802"/>
      <c r="X24" s="802"/>
      <c r="Y24" s="802"/>
      <c r="Z24" s="803"/>
      <c r="AA24" s="802"/>
      <c r="AB24" s="802"/>
      <c r="AC24" s="802"/>
      <c r="AD24" s="802"/>
      <c r="AE24" s="826"/>
      <c r="AF24" s="802"/>
      <c r="AG24" s="803"/>
      <c r="AH24" s="786"/>
      <c r="AI24" s="576"/>
      <c r="AJ24" s="811"/>
      <c r="AK24" s="578"/>
      <c r="AM24" s="578"/>
    </row>
    <row r="25" spans="1:43" s="560" customFormat="1" ht="13.8">
      <c r="A25" s="604" t="s">
        <v>1892</v>
      </c>
      <c r="B25" s="804" t="s">
        <v>1893</v>
      </c>
      <c r="C25" s="799" t="s">
        <v>72</v>
      </c>
      <c r="D25" s="800"/>
      <c r="E25" s="801"/>
      <c r="F25" s="800"/>
      <c r="G25" s="800"/>
      <c r="H25" s="800"/>
      <c r="I25" s="802"/>
      <c r="J25" s="802"/>
      <c r="K25" s="802"/>
      <c r="L25" s="803"/>
      <c r="M25" s="802"/>
      <c r="N25" s="802"/>
      <c r="O25" s="802"/>
      <c r="P25" s="802"/>
      <c r="Q25" s="744"/>
      <c r="R25" s="588"/>
      <c r="S25" s="803"/>
      <c r="T25" s="802"/>
      <c r="U25" s="802"/>
      <c r="V25" s="802"/>
      <c r="W25" s="802"/>
      <c r="X25" s="802"/>
      <c r="Y25" s="802"/>
      <c r="Z25" s="803"/>
      <c r="AA25" s="802"/>
      <c r="AB25" s="802"/>
      <c r="AC25" s="802"/>
      <c r="AD25" s="802"/>
      <c r="AE25" s="826"/>
      <c r="AF25" s="802"/>
      <c r="AG25" s="803"/>
      <c r="AH25" s="786"/>
      <c r="AI25" s="576"/>
      <c r="AJ25" s="811"/>
      <c r="AK25" s="578"/>
      <c r="AM25" s="578"/>
    </row>
    <row r="26" spans="1:43" s="560" customFormat="1" ht="13.8">
      <c r="A26" s="604" t="s">
        <v>1894</v>
      </c>
      <c r="B26" s="804" t="s">
        <v>1899</v>
      </c>
      <c r="C26" s="799" t="s">
        <v>72</v>
      </c>
      <c r="D26" s="800"/>
      <c r="E26" s="801"/>
      <c r="F26" s="800"/>
      <c r="G26" s="800"/>
      <c r="H26" s="800"/>
      <c r="I26" s="802"/>
      <c r="J26" s="802"/>
      <c r="K26" s="802"/>
      <c r="L26" s="803"/>
      <c r="M26" s="802"/>
      <c r="N26" s="802"/>
      <c r="O26" s="802"/>
      <c r="P26" s="802"/>
      <c r="Q26" s="744"/>
      <c r="R26" s="588"/>
      <c r="S26" s="803"/>
      <c r="T26" s="802"/>
      <c r="U26" s="802"/>
      <c r="V26" s="802"/>
      <c r="W26" s="802"/>
      <c r="X26" s="802"/>
      <c r="Y26" s="802"/>
      <c r="Z26" s="803"/>
      <c r="AA26" s="802"/>
      <c r="AB26" s="802"/>
      <c r="AC26" s="802"/>
      <c r="AD26" s="802"/>
      <c r="AE26" s="826"/>
      <c r="AF26" s="802"/>
      <c r="AG26" s="803"/>
      <c r="AH26" s="786"/>
      <c r="AI26" s="576"/>
      <c r="AJ26" s="811"/>
      <c r="AK26" s="578"/>
      <c r="AM26" s="578"/>
    </row>
    <row r="27" spans="1:43" s="560" customFormat="1" ht="13.8">
      <c r="A27" s="604" t="s">
        <v>1896</v>
      </c>
      <c r="B27" s="804" t="s">
        <v>1895</v>
      </c>
      <c r="C27" s="799" t="s">
        <v>275</v>
      </c>
      <c r="D27" s="800"/>
      <c r="E27" s="801"/>
      <c r="F27" s="800"/>
      <c r="G27" s="800"/>
      <c r="H27" s="800"/>
      <c r="I27" s="802"/>
      <c r="J27" s="802"/>
      <c r="K27" s="802"/>
      <c r="L27" s="803"/>
      <c r="M27" s="802"/>
      <c r="N27" s="802"/>
      <c r="O27" s="802"/>
      <c r="P27" s="802"/>
      <c r="Q27" s="744"/>
      <c r="R27" s="588"/>
      <c r="S27" s="803"/>
      <c r="T27" s="802"/>
      <c r="U27" s="802"/>
      <c r="V27" s="802"/>
      <c r="W27" s="802"/>
      <c r="X27" s="802"/>
      <c r="Y27" s="802"/>
      <c r="Z27" s="803"/>
      <c r="AA27" s="802"/>
      <c r="AB27" s="802"/>
      <c r="AC27" s="802"/>
      <c r="AD27" s="802"/>
      <c r="AE27" s="826"/>
      <c r="AF27" s="802"/>
      <c r="AG27" s="803"/>
      <c r="AH27" s="786"/>
      <c r="AI27" s="576"/>
      <c r="AJ27" s="811"/>
      <c r="AK27" s="578"/>
      <c r="AM27" s="578"/>
    </row>
    <row r="28" spans="1:43" s="560" customFormat="1" ht="13.8">
      <c r="A28" s="604" t="s">
        <v>1898</v>
      </c>
      <c r="B28" s="804" t="s">
        <v>1897</v>
      </c>
      <c r="C28" s="799" t="s">
        <v>275</v>
      </c>
      <c r="D28" s="800"/>
      <c r="E28" s="801"/>
      <c r="F28" s="800"/>
      <c r="G28" s="800"/>
      <c r="H28" s="800"/>
      <c r="I28" s="802"/>
      <c r="J28" s="802"/>
      <c r="K28" s="802"/>
      <c r="L28" s="803"/>
      <c r="M28" s="802"/>
      <c r="N28" s="802"/>
      <c r="O28" s="802"/>
      <c r="P28" s="802"/>
      <c r="Q28" s="744"/>
      <c r="R28" s="588"/>
      <c r="S28" s="803"/>
      <c r="T28" s="802"/>
      <c r="U28" s="802"/>
      <c r="V28" s="802"/>
      <c r="W28" s="802"/>
      <c r="X28" s="802"/>
      <c r="Y28" s="802"/>
      <c r="Z28" s="803"/>
      <c r="AA28" s="802"/>
      <c r="AB28" s="802"/>
      <c r="AC28" s="802"/>
      <c r="AD28" s="802"/>
      <c r="AE28" s="826"/>
      <c r="AF28" s="802"/>
      <c r="AG28" s="803"/>
      <c r="AH28" s="786"/>
      <c r="AI28" s="576"/>
      <c r="AJ28" s="811"/>
      <c r="AK28" s="578"/>
      <c r="AM28" s="578"/>
    </row>
    <row r="29" spans="1:43" s="560" customFormat="1" ht="13.8">
      <c r="A29" s="604" t="s">
        <v>1900</v>
      </c>
      <c r="B29" s="804" t="s">
        <v>1901</v>
      </c>
      <c r="C29" s="799" t="s">
        <v>72</v>
      </c>
      <c r="D29" s="800"/>
      <c r="E29" s="801"/>
      <c r="F29" s="800"/>
      <c r="G29" s="800"/>
      <c r="H29" s="800"/>
      <c r="I29" s="802"/>
      <c r="J29" s="802"/>
      <c r="K29" s="802"/>
      <c r="L29" s="803"/>
      <c r="M29" s="802"/>
      <c r="N29" s="802"/>
      <c r="O29" s="802"/>
      <c r="P29" s="802"/>
      <c r="Q29" s="744"/>
      <c r="R29" s="588"/>
      <c r="S29" s="803"/>
      <c r="T29" s="802"/>
      <c r="U29" s="802"/>
      <c r="V29" s="802"/>
      <c r="W29" s="802"/>
      <c r="X29" s="802"/>
      <c r="Y29" s="802"/>
      <c r="Z29" s="803"/>
      <c r="AA29" s="802"/>
      <c r="AB29" s="802"/>
      <c r="AC29" s="802"/>
      <c r="AD29" s="802"/>
      <c r="AE29" s="826"/>
      <c r="AF29" s="802"/>
      <c r="AG29" s="803"/>
      <c r="AH29" s="786"/>
      <c r="AI29" s="576"/>
      <c r="AJ29" s="811"/>
      <c r="AK29" s="578"/>
      <c r="AM29" s="578"/>
    </row>
    <row r="30" spans="1:43" s="560" customFormat="1" ht="13.8">
      <c r="A30" s="604" t="s">
        <v>1902</v>
      </c>
      <c r="B30" s="804" t="s">
        <v>1903</v>
      </c>
      <c r="C30" s="799" t="s">
        <v>72</v>
      </c>
      <c r="D30" s="800"/>
      <c r="E30" s="801"/>
      <c r="F30" s="800"/>
      <c r="G30" s="800"/>
      <c r="H30" s="800"/>
      <c r="I30" s="802"/>
      <c r="J30" s="802"/>
      <c r="K30" s="802"/>
      <c r="L30" s="803"/>
      <c r="M30" s="802"/>
      <c r="N30" s="802"/>
      <c r="O30" s="802"/>
      <c r="P30" s="802"/>
      <c r="Q30" s="744"/>
      <c r="R30" s="588"/>
      <c r="S30" s="803"/>
      <c r="T30" s="802"/>
      <c r="U30" s="802"/>
      <c r="V30" s="802"/>
      <c r="W30" s="802"/>
      <c r="X30" s="802"/>
      <c r="Y30" s="802"/>
      <c r="Z30" s="803"/>
      <c r="AA30" s="802"/>
      <c r="AB30" s="802"/>
      <c r="AC30" s="802"/>
      <c r="AD30" s="802"/>
      <c r="AE30" s="826"/>
      <c r="AF30" s="802"/>
      <c r="AG30" s="803"/>
      <c r="AH30" s="786"/>
      <c r="AI30" s="576"/>
      <c r="AJ30" s="811"/>
      <c r="AK30" s="578"/>
      <c r="AM30" s="578"/>
    </row>
    <row r="31" spans="1:43" s="560" customFormat="1" ht="13.8">
      <c r="A31" s="604" t="s">
        <v>1904</v>
      </c>
      <c r="B31" s="804" t="s">
        <v>1907</v>
      </c>
      <c r="C31" s="799" t="s">
        <v>72</v>
      </c>
      <c r="D31" s="800"/>
      <c r="E31" s="801"/>
      <c r="F31" s="800"/>
      <c r="G31" s="800"/>
      <c r="H31" s="800"/>
      <c r="I31" s="802"/>
      <c r="J31" s="802"/>
      <c r="K31" s="802"/>
      <c r="L31" s="803"/>
      <c r="M31" s="802"/>
      <c r="N31" s="802"/>
      <c r="O31" s="802"/>
      <c r="P31" s="802"/>
      <c r="Q31" s="744"/>
      <c r="R31" s="588"/>
      <c r="S31" s="803"/>
      <c r="T31" s="802"/>
      <c r="U31" s="802"/>
      <c r="V31" s="802"/>
      <c r="W31" s="802"/>
      <c r="X31" s="802"/>
      <c r="Y31" s="802"/>
      <c r="Z31" s="803"/>
      <c r="AA31" s="802"/>
      <c r="AB31" s="802"/>
      <c r="AC31" s="802"/>
      <c r="AD31" s="802"/>
      <c r="AE31" s="826"/>
      <c r="AF31" s="802"/>
      <c r="AG31" s="803"/>
      <c r="AH31" s="786"/>
      <c r="AI31" s="576"/>
      <c r="AJ31" s="811"/>
      <c r="AK31" s="578"/>
      <c r="AM31" s="578"/>
    </row>
    <row r="32" spans="1:43" s="560" customFormat="1" ht="13.8">
      <c r="A32" s="604" t="s">
        <v>1905</v>
      </c>
      <c r="B32" s="804" t="s">
        <v>1916</v>
      </c>
      <c r="C32" s="799" t="s">
        <v>72</v>
      </c>
      <c r="D32" s="800"/>
      <c r="E32" s="801"/>
      <c r="F32" s="800"/>
      <c r="G32" s="800"/>
      <c r="H32" s="800"/>
      <c r="I32" s="802"/>
      <c r="J32" s="802"/>
      <c r="K32" s="802"/>
      <c r="L32" s="803"/>
      <c r="M32" s="802"/>
      <c r="N32" s="802"/>
      <c r="O32" s="802"/>
      <c r="P32" s="802"/>
      <c r="Q32" s="744"/>
      <c r="R32" s="588"/>
      <c r="S32" s="803"/>
      <c r="T32" s="802"/>
      <c r="U32" s="802"/>
      <c r="V32" s="802"/>
      <c r="W32" s="802"/>
      <c r="X32" s="802"/>
      <c r="Y32" s="802"/>
      <c r="Z32" s="803"/>
      <c r="AA32" s="802"/>
      <c r="AB32" s="802"/>
      <c r="AC32" s="802"/>
      <c r="AD32" s="802"/>
      <c r="AE32" s="826"/>
      <c r="AF32" s="802"/>
      <c r="AG32" s="803"/>
      <c r="AH32" s="786"/>
      <c r="AI32" s="576"/>
      <c r="AJ32" s="811"/>
      <c r="AK32" s="578"/>
      <c r="AM32" s="578"/>
    </row>
    <row r="33" spans="1:39" s="560" customFormat="1" ht="13.8">
      <c r="A33" s="604" t="s">
        <v>1908</v>
      </c>
      <c r="B33" s="804" t="s">
        <v>1906</v>
      </c>
      <c r="C33" s="799" t="s">
        <v>72</v>
      </c>
      <c r="D33" s="800"/>
      <c r="E33" s="801"/>
      <c r="F33" s="800"/>
      <c r="G33" s="800"/>
      <c r="H33" s="800"/>
      <c r="I33" s="802"/>
      <c r="J33" s="802"/>
      <c r="K33" s="802"/>
      <c r="L33" s="803"/>
      <c r="M33" s="802"/>
      <c r="N33" s="802"/>
      <c r="O33" s="802"/>
      <c r="P33" s="802"/>
      <c r="Q33" s="744"/>
      <c r="R33" s="588"/>
      <c r="S33" s="803"/>
      <c r="T33" s="802"/>
      <c r="U33" s="802"/>
      <c r="V33" s="802"/>
      <c r="W33" s="802"/>
      <c r="X33" s="802"/>
      <c r="Y33" s="802"/>
      <c r="Z33" s="803"/>
      <c r="AA33" s="802"/>
      <c r="AB33" s="802"/>
      <c r="AC33" s="802"/>
      <c r="AD33" s="802"/>
      <c r="AE33" s="826"/>
      <c r="AF33" s="802"/>
      <c r="AG33" s="803"/>
      <c r="AH33" s="786"/>
      <c r="AI33" s="576"/>
      <c r="AJ33" s="811"/>
      <c r="AK33" s="578"/>
      <c r="AM33" s="578"/>
    </row>
    <row r="34" spans="1:39" s="560" customFormat="1" ht="13.8">
      <c r="A34" s="604" t="s">
        <v>1909</v>
      </c>
      <c r="B34" s="804" t="s">
        <v>1913</v>
      </c>
      <c r="C34" s="799" t="s">
        <v>1945</v>
      </c>
      <c r="D34" s="800"/>
      <c r="E34" s="801"/>
      <c r="F34" s="800"/>
      <c r="G34" s="800"/>
      <c r="H34" s="800"/>
      <c r="I34" s="802"/>
      <c r="J34" s="802"/>
      <c r="K34" s="802"/>
      <c r="L34" s="803"/>
      <c r="M34" s="802"/>
      <c r="N34" s="802"/>
      <c r="O34" s="802"/>
      <c r="P34" s="802"/>
      <c r="Q34" s="744"/>
      <c r="R34" s="588"/>
      <c r="S34" s="803"/>
      <c r="T34" s="802"/>
      <c r="U34" s="802"/>
      <c r="V34" s="802"/>
      <c r="W34" s="802"/>
      <c r="X34" s="802"/>
      <c r="Y34" s="802"/>
      <c r="Z34" s="803"/>
      <c r="AA34" s="802"/>
      <c r="AB34" s="802"/>
      <c r="AC34" s="802"/>
      <c r="AD34" s="802"/>
      <c r="AE34" s="826"/>
      <c r="AF34" s="802"/>
      <c r="AG34" s="803"/>
      <c r="AH34" s="786"/>
      <c r="AI34" s="576"/>
      <c r="AJ34" s="811"/>
      <c r="AK34" s="578"/>
      <c r="AM34" s="578"/>
    </row>
    <row r="35" spans="1:39" s="560" customFormat="1" ht="13.8">
      <c r="A35" s="604" t="s">
        <v>1911</v>
      </c>
      <c r="B35" s="804" t="s">
        <v>1910</v>
      </c>
      <c r="C35" s="799" t="s">
        <v>275</v>
      </c>
      <c r="D35" s="800"/>
      <c r="E35" s="801"/>
      <c r="F35" s="800"/>
      <c r="G35" s="800"/>
      <c r="H35" s="800"/>
      <c r="I35" s="802"/>
      <c r="J35" s="802"/>
      <c r="K35" s="802"/>
      <c r="L35" s="803"/>
      <c r="M35" s="802"/>
      <c r="N35" s="802"/>
      <c r="O35" s="802"/>
      <c r="P35" s="802"/>
      <c r="Q35" s="744"/>
      <c r="R35" s="588"/>
      <c r="S35" s="803"/>
      <c r="T35" s="802"/>
      <c r="U35" s="802"/>
      <c r="V35" s="802"/>
      <c r="W35" s="802"/>
      <c r="X35" s="802"/>
      <c r="Y35" s="802"/>
      <c r="Z35" s="803"/>
      <c r="AA35" s="802"/>
      <c r="AB35" s="802"/>
      <c r="AC35" s="802"/>
      <c r="AD35" s="802"/>
      <c r="AE35" s="826"/>
      <c r="AF35" s="802"/>
      <c r="AG35" s="803"/>
      <c r="AH35" s="786"/>
      <c r="AI35" s="576"/>
      <c r="AJ35" s="811"/>
      <c r="AK35" s="578"/>
      <c r="AM35" s="578"/>
    </row>
    <row r="36" spans="1:39" s="560" customFormat="1" ht="13.8">
      <c r="A36" s="604" t="s">
        <v>1914</v>
      </c>
      <c r="B36" s="804" t="s">
        <v>1912</v>
      </c>
      <c r="C36" s="799" t="s">
        <v>275</v>
      </c>
      <c r="D36" s="800"/>
      <c r="E36" s="801"/>
      <c r="F36" s="800"/>
      <c r="G36" s="800"/>
      <c r="H36" s="800"/>
      <c r="I36" s="802"/>
      <c r="J36" s="802"/>
      <c r="K36" s="802"/>
      <c r="L36" s="803"/>
      <c r="M36" s="802"/>
      <c r="N36" s="802"/>
      <c r="O36" s="802"/>
      <c r="P36" s="802"/>
      <c r="Q36" s="744"/>
      <c r="R36" s="588"/>
      <c r="S36" s="803"/>
      <c r="T36" s="802"/>
      <c r="U36" s="802"/>
      <c r="V36" s="802"/>
      <c r="W36" s="802"/>
      <c r="X36" s="802"/>
      <c r="Y36" s="802"/>
      <c r="Z36" s="803"/>
      <c r="AA36" s="802"/>
      <c r="AB36" s="802"/>
      <c r="AC36" s="802"/>
      <c r="AD36" s="802"/>
      <c r="AE36" s="826"/>
      <c r="AF36" s="802"/>
      <c r="AG36" s="803"/>
      <c r="AH36" s="786"/>
      <c r="AI36" s="576"/>
      <c r="AJ36" s="811"/>
      <c r="AK36" s="578"/>
      <c r="AM36" s="578"/>
    </row>
    <row r="37" spans="1:39" s="560" customFormat="1" ht="13.8">
      <c r="A37" s="604" t="s">
        <v>1915</v>
      </c>
      <c r="B37" s="804" t="s">
        <v>1889</v>
      </c>
      <c r="C37" s="799" t="s">
        <v>1945</v>
      </c>
      <c r="D37" s="800"/>
      <c r="E37" s="801"/>
      <c r="F37" s="800"/>
      <c r="G37" s="800"/>
      <c r="H37" s="800"/>
      <c r="I37" s="802"/>
      <c r="J37" s="802"/>
      <c r="K37" s="802"/>
      <c r="L37" s="803"/>
      <c r="M37" s="802"/>
      <c r="N37" s="802"/>
      <c r="O37" s="802"/>
      <c r="P37" s="802"/>
      <c r="Q37" s="744"/>
      <c r="R37" s="588"/>
      <c r="S37" s="803"/>
      <c r="T37" s="802"/>
      <c r="U37" s="802"/>
      <c r="V37" s="802"/>
      <c r="W37" s="802"/>
      <c r="X37" s="802"/>
      <c r="Y37" s="802"/>
      <c r="Z37" s="803"/>
      <c r="AA37" s="802"/>
      <c r="AB37" s="802"/>
      <c r="AC37" s="802"/>
      <c r="AD37" s="802"/>
      <c r="AE37" s="826"/>
      <c r="AF37" s="802"/>
      <c r="AG37" s="803"/>
      <c r="AH37" s="786"/>
      <c r="AI37" s="576"/>
      <c r="AJ37" s="811"/>
      <c r="AK37" s="578"/>
      <c r="AM37" s="578"/>
    </row>
    <row r="38" spans="1:39" s="560" customFormat="1" ht="13.8">
      <c r="A38" s="939" t="s">
        <v>1917</v>
      </c>
      <c r="B38" s="804" t="s">
        <v>1188</v>
      </c>
      <c r="C38" s="799"/>
      <c r="D38" s="800"/>
      <c r="E38" s="801"/>
      <c r="F38" s="800"/>
      <c r="G38" s="800"/>
      <c r="H38" s="800"/>
      <c r="I38" s="802"/>
      <c r="J38" s="802"/>
      <c r="K38" s="802"/>
      <c r="L38" s="803"/>
      <c r="M38" s="802"/>
      <c r="N38" s="802"/>
      <c r="O38" s="802"/>
      <c r="P38" s="802"/>
      <c r="Q38" s="741"/>
      <c r="R38" s="935"/>
      <c r="S38" s="803"/>
      <c r="T38" s="802"/>
      <c r="U38" s="802"/>
      <c r="V38" s="802"/>
      <c r="W38" s="802"/>
      <c r="X38" s="802"/>
      <c r="Y38" s="802"/>
      <c r="Z38" s="803"/>
      <c r="AA38" s="802"/>
      <c r="AB38" s="802"/>
      <c r="AC38" s="802"/>
      <c r="AD38" s="802"/>
      <c r="AE38" s="826"/>
      <c r="AF38" s="802"/>
      <c r="AG38" s="803"/>
      <c r="AH38" s="786"/>
      <c r="AI38" s="576">
        <f t="shared" si="6"/>
        <v>0</v>
      </c>
      <c r="AJ38" s="811"/>
      <c r="AK38" s="578"/>
      <c r="AM38" s="578"/>
    </row>
    <row r="39" spans="1:39" s="560" customFormat="1" ht="13.8">
      <c r="A39" s="940" t="s">
        <v>1919</v>
      </c>
      <c r="B39" s="804" t="s">
        <v>1834</v>
      </c>
      <c r="C39" s="799"/>
      <c r="D39" s="800"/>
      <c r="E39" s="801"/>
      <c r="F39" s="800"/>
      <c r="G39" s="800"/>
      <c r="H39" s="800"/>
      <c r="I39" s="802"/>
      <c r="J39" s="802"/>
      <c r="K39" s="802"/>
      <c r="L39" s="803"/>
      <c r="M39" s="802"/>
      <c r="N39" s="802"/>
      <c r="O39" s="802"/>
      <c r="P39" s="802"/>
      <c r="Q39" s="741"/>
      <c r="R39" s="935"/>
      <c r="S39" s="803"/>
      <c r="T39" s="802"/>
      <c r="U39" s="802"/>
      <c r="V39" s="802"/>
      <c r="W39" s="802"/>
      <c r="X39" s="802"/>
      <c r="Y39" s="802"/>
      <c r="Z39" s="803"/>
      <c r="AA39" s="802"/>
      <c r="AB39" s="802"/>
      <c r="AC39" s="802"/>
      <c r="AD39" s="802"/>
      <c r="AE39" s="826"/>
      <c r="AF39" s="802"/>
      <c r="AG39" s="803"/>
      <c r="AH39" s="786"/>
      <c r="AI39" s="576">
        <f t="shared" si="6"/>
        <v>0</v>
      </c>
      <c r="AJ39" s="811"/>
      <c r="AK39" s="578"/>
      <c r="AM39" s="578"/>
    </row>
    <row r="40" spans="1:39" s="560" customFormat="1" ht="13.8">
      <c r="A40" s="940" t="s">
        <v>1920</v>
      </c>
      <c r="B40" s="804" t="s">
        <v>1835</v>
      </c>
      <c r="C40" s="799" t="s">
        <v>39</v>
      </c>
      <c r="D40" s="800"/>
      <c r="E40" s="801"/>
      <c r="F40" s="800"/>
      <c r="G40" s="800"/>
      <c r="H40" s="800"/>
      <c r="I40" s="802"/>
      <c r="J40" s="802"/>
      <c r="K40" s="802"/>
      <c r="L40" s="803"/>
      <c r="M40" s="802"/>
      <c r="N40" s="802"/>
      <c r="O40" s="802"/>
      <c r="Q40" s="821"/>
      <c r="R40" s="935"/>
      <c r="S40" s="803"/>
      <c r="T40" s="802"/>
      <c r="U40" s="802"/>
      <c r="V40" s="802"/>
      <c r="W40" s="802"/>
      <c r="X40" s="802"/>
      <c r="Y40" s="802"/>
      <c r="Z40" s="803"/>
      <c r="AA40" s="802"/>
      <c r="AB40" s="802"/>
      <c r="AC40" s="802"/>
      <c r="AD40" s="802"/>
      <c r="AE40" s="826"/>
      <c r="AF40" s="802"/>
      <c r="AG40" s="803"/>
      <c r="AH40" s="786"/>
      <c r="AI40" s="576">
        <f t="shared" si="6"/>
        <v>0</v>
      </c>
      <c r="AJ40" s="811"/>
      <c r="AK40" s="578"/>
      <c r="AM40" s="578"/>
    </row>
    <row r="41" spans="1:39" s="560" customFormat="1" ht="13.8">
      <c r="A41" s="940" t="s">
        <v>1921</v>
      </c>
      <c r="B41" s="804" t="s">
        <v>1876</v>
      </c>
      <c r="C41" s="799"/>
      <c r="D41" s="800"/>
      <c r="E41" s="801"/>
      <c r="F41" s="800"/>
      <c r="G41" s="800"/>
      <c r="H41" s="800"/>
      <c r="I41" s="802"/>
      <c r="J41" s="802"/>
      <c r="K41" s="802"/>
      <c r="L41" s="803"/>
      <c r="M41" s="802"/>
      <c r="N41" s="802"/>
      <c r="O41" s="802"/>
      <c r="Q41" s="821"/>
      <c r="R41" s="935"/>
      <c r="S41" s="803"/>
      <c r="T41" s="802"/>
      <c r="U41" s="802"/>
      <c r="V41" s="802"/>
      <c r="W41" s="802"/>
      <c r="X41" s="802"/>
      <c r="Y41" s="802"/>
      <c r="Z41" s="803"/>
      <c r="AA41" s="802"/>
      <c r="AB41" s="802"/>
      <c r="AC41" s="802"/>
      <c r="AD41" s="802"/>
      <c r="AE41" s="826"/>
      <c r="AF41" s="802"/>
      <c r="AG41" s="803"/>
      <c r="AH41" s="786"/>
      <c r="AI41" s="576"/>
      <c r="AJ41" s="811"/>
      <c r="AK41" s="578"/>
      <c r="AM41" s="578"/>
    </row>
    <row r="42" spans="1:39" s="560" customFormat="1" ht="13.8">
      <c r="A42" s="940" t="s">
        <v>1922</v>
      </c>
      <c r="B42" s="804" t="s">
        <v>1877</v>
      </c>
      <c r="C42" s="799"/>
      <c r="D42" s="800"/>
      <c r="E42" s="801"/>
      <c r="F42" s="800"/>
      <c r="G42" s="800"/>
      <c r="H42" s="800"/>
      <c r="I42" s="802"/>
      <c r="J42" s="802"/>
      <c r="K42" s="802"/>
      <c r="L42" s="803"/>
      <c r="M42" s="802"/>
      <c r="N42" s="802"/>
      <c r="O42" s="802"/>
      <c r="Q42" s="821"/>
      <c r="R42" s="935"/>
      <c r="S42" s="803"/>
      <c r="T42" s="802"/>
      <c r="U42" s="802"/>
      <c r="V42" s="802"/>
      <c r="W42" s="802"/>
      <c r="X42" s="802"/>
      <c r="Y42" s="802"/>
      <c r="Z42" s="803"/>
      <c r="AA42" s="802"/>
      <c r="AB42" s="802"/>
      <c r="AC42" s="802"/>
      <c r="AD42" s="802"/>
      <c r="AE42" s="826"/>
      <c r="AF42" s="802"/>
      <c r="AG42" s="803"/>
      <c r="AH42" s="786"/>
      <c r="AI42" s="576"/>
      <c r="AJ42" s="811"/>
      <c r="AK42" s="578"/>
      <c r="AM42" s="578"/>
    </row>
    <row r="43" spans="1:39" s="560" customFormat="1" ht="13.8">
      <c r="A43" s="940" t="s">
        <v>1924</v>
      </c>
      <c r="B43" s="804" t="s">
        <v>1878</v>
      </c>
      <c r="C43" s="799" t="s">
        <v>39</v>
      </c>
      <c r="D43" s="800"/>
      <c r="E43" s="801"/>
      <c r="F43" s="800"/>
      <c r="G43" s="800"/>
      <c r="H43" s="800"/>
      <c r="I43" s="802"/>
      <c r="J43" s="935"/>
      <c r="K43" s="826"/>
      <c r="L43" s="803"/>
      <c r="M43" s="802"/>
      <c r="N43" s="826"/>
      <c r="O43" s="826"/>
      <c r="Q43" s="821"/>
      <c r="R43" s="935"/>
      <c r="S43" s="803"/>
      <c r="T43" s="802"/>
      <c r="U43" s="802"/>
      <c r="V43" s="802"/>
      <c r="W43" s="802"/>
      <c r="X43" s="802"/>
      <c r="Y43" s="802"/>
      <c r="Z43" s="803"/>
      <c r="AA43" s="802"/>
      <c r="AB43" s="802"/>
      <c r="AC43" s="802"/>
      <c r="AD43" s="802"/>
      <c r="AE43" s="826"/>
      <c r="AF43" s="802"/>
      <c r="AG43" s="803"/>
      <c r="AH43" s="786"/>
      <c r="AI43" s="576"/>
      <c r="AJ43" s="811"/>
      <c r="AK43" s="578"/>
      <c r="AM43" s="578"/>
    </row>
    <row r="44" spans="1:39" s="560" customFormat="1" ht="13.8">
      <c r="A44" s="940" t="s">
        <v>1925</v>
      </c>
      <c r="B44" s="804" t="s">
        <v>1879</v>
      </c>
      <c r="C44" s="799" t="s">
        <v>36</v>
      </c>
      <c r="D44" s="800"/>
      <c r="E44" s="801"/>
      <c r="F44" s="800"/>
      <c r="G44" s="800"/>
      <c r="H44" s="800"/>
      <c r="I44" s="802"/>
      <c r="J44" s="863"/>
      <c r="K44" s="802"/>
      <c r="L44" s="803"/>
      <c r="M44" s="802"/>
      <c r="N44" s="802"/>
      <c r="O44" s="802"/>
      <c r="Q44" s="821"/>
      <c r="R44" s="935"/>
      <c r="S44" s="803"/>
      <c r="T44" s="802"/>
      <c r="U44" s="802"/>
      <c r="V44" s="802"/>
      <c r="W44" s="802"/>
      <c r="X44" s="802"/>
      <c r="Y44" s="802"/>
      <c r="Z44" s="803"/>
      <c r="AA44" s="802"/>
      <c r="AB44" s="802"/>
      <c r="AC44" s="802"/>
      <c r="AD44" s="802"/>
      <c r="AE44" s="826"/>
      <c r="AF44" s="802"/>
      <c r="AG44" s="803"/>
      <c r="AH44" s="786"/>
      <c r="AI44" s="576"/>
      <c r="AJ44" s="811"/>
      <c r="AK44" s="578"/>
      <c r="AM44" s="578"/>
    </row>
    <row r="45" spans="1:39" s="560" customFormat="1" ht="13.8">
      <c r="A45" s="940" t="s">
        <v>1926</v>
      </c>
      <c r="B45" s="804" t="s">
        <v>1880</v>
      </c>
      <c r="C45" s="799" t="s">
        <v>1823</v>
      </c>
      <c r="D45" s="800"/>
      <c r="E45" s="801"/>
      <c r="F45" s="800"/>
      <c r="G45" s="800"/>
      <c r="H45" s="800"/>
      <c r="I45" s="802"/>
      <c r="J45" s="826"/>
      <c r="K45" s="802"/>
      <c r="L45" s="803"/>
      <c r="M45" s="802"/>
      <c r="N45" s="802"/>
      <c r="O45" s="802"/>
      <c r="Q45" s="821"/>
      <c r="R45" s="935"/>
      <c r="S45" s="803"/>
      <c r="T45" s="802"/>
      <c r="U45" s="802"/>
      <c r="V45" s="802"/>
      <c r="W45" s="802"/>
      <c r="X45" s="802"/>
      <c r="Y45" s="802"/>
      <c r="Z45" s="803"/>
      <c r="AA45" s="802"/>
      <c r="AB45" s="802"/>
      <c r="AC45" s="802"/>
      <c r="AD45" s="802"/>
      <c r="AE45" s="826"/>
      <c r="AF45" s="802"/>
      <c r="AG45" s="803"/>
      <c r="AH45" s="786"/>
      <c r="AI45" s="576"/>
      <c r="AJ45" s="811"/>
      <c r="AK45" s="578"/>
      <c r="AM45" s="578"/>
    </row>
    <row r="46" spans="1:39" s="560" customFormat="1" ht="13.8">
      <c r="A46" s="940" t="s">
        <v>1923</v>
      </c>
      <c r="B46" s="804" t="s">
        <v>1881</v>
      </c>
      <c r="C46" s="799"/>
      <c r="D46" s="800"/>
      <c r="E46" s="801"/>
      <c r="F46" s="800"/>
      <c r="G46" s="800"/>
      <c r="H46" s="800"/>
      <c r="I46" s="802"/>
      <c r="J46" s="802"/>
      <c r="K46" s="802"/>
      <c r="L46" s="803"/>
      <c r="M46" s="802"/>
      <c r="N46" s="802"/>
      <c r="O46" s="802"/>
      <c r="Q46" s="821"/>
      <c r="R46" s="935"/>
      <c r="S46" s="803"/>
      <c r="T46" s="802"/>
      <c r="U46" s="802"/>
      <c r="V46" s="802"/>
      <c r="W46" s="802"/>
      <c r="X46" s="802"/>
      <c r="Y46" s="802"/>
      <c r="Z46" s="803"/>
      <c r="AA46" s="802"/>
      <c r="AB46" s="802"/>
      <c r="AC46" s="802"/>
      <c r="AD46" s="802"/>
      <c r="AE46" s="826"/>
      <c r="AF46" s="802"/>
      <c r="AG46" s="803"/>
      <c r="AH46" s="786"/>
      <c r="AI46" s="576"/>
      <c r="AJ46" s="811"/>
      <c r="AK46" s="578"/>
      <c r="AM46" s="578"/>
    </row>
    <row r="47" spans="1:39" s="560" customFormat="1" ht="13.8">
      <c r="A47" s="940" t="s">
        <v>1927</v>
      </c>
      <c r="B47" s="804" t="s">
        <v>1882</v>
      </c>
      <c r="C47" s="799" t="s">
        <v>39</v>
      </c>
      <c r="D47" s="800"/>
      <c r="E47" s="801"/>
      <c r="F47" s="800"/>
      <c r="G47" s="800"/>
      <c r="H47" s="800"/>
      <c r="I47" s="802"/>
      <c r="J47" s="802"/>
      <c r="K47" s="802"/>
      <c r="L47" s="803"/>
      <c r="M47" s="802"/>
      <c r="N47" s="826"/>
      <c r="O47" s="826"/>
      <c r="Q47" s="821"/>
      <c r="R47" s="935"/>
      <c r="S47" s="803"/>
      <c r="T47" s="802"/>
      <c r="U47" s="802"/>
      <c r="V47" s="802"/>
      <c r="W47" s="802"/>
      <c r="X47" s="802"/>
      <c r="Y47" s="802"/>
      <c r="Z47" s="803"/>
      <c r="AA47" s="802"/>
      <c r="AB47" s="802"/>
      <c r="AC47" s="802"/>
      <c r="AD47" s="802"/>
      <c r="AE47" s="826"/>
      <c r="AF47" s="802"/>
      <c r="AG47" s="803"/>
      <c r="AH47" s="786"/>
      <c r="AI47" s="576"/>
      <c r="AJ47" s="811"/>
      <c r="AK47" s="578"/>
      <c r="AM47" s="578"/>
    </row>
    <row r="48" spans="1:39" s="560" customFormat="1" ht="13.8">
      <c r="A48" s="940" t="s">
        <v>1928</v>
      </c>
      <c r="B48" s="804" t="s">
        <v>1883</v>
      </c>
      <c r="C48" s="799" t="s">
        <v>36</v>
      </c>
      <c r="D48" s="800"/>
      <c r="E48" s="801"/>
      <c r="F48" s="800"/>
      <c r="G48" s="800"/>
      <c r="H48" s="800"/>
      <c r="I48" s="802"/>
      <c r="J48" s="826"/>
      <c r="K48" s="802"/>
      <c r="L48" s="803"/>
      <c r="M48" s="802"/>
      <c r="N48" s="802"/>
      <c r="O48" s="802"/>
      <c r="Q48" s="821"/>
      <c r="R48" s="935"/>
      <c r="S48" s="803"/>
      <c r="T48" s="802"/>
      <c r="U48" s="802"/>
      <c r="V48" s="802"/>
      <c r="W48" s="802"/>
      <c r="X48" s="802"/>
      <c r="Y48" s="802"/>
      <c r="Z48" s="803"/>
      <c r="AA48" s="802"/>
      <c r="AB48" s="802"/>
      <c r="AC48" s="802"/>
      <c r="AD48" s="802"/>
      <c r="AE48" s="826"/>
      <c r="AF48" s="802"/>
      <c r="AG48" s="803"/>
      <c r="AH48" s="786"/>
      <c r="AI48" s="576"/>
      <c r="AJ48" s="811"/>
      <c r="AK48" s="578"/>
      <c r="AM48" s="578"/>
    </row>
    <row r="49" spans="1:39" s="560" customFormat="1" ht="13.8">
      <c r="A49" s="940" t="s">
        <v>1929</v>
      </c>
      <c r="B49" s="804" t="s">
        <v>1884</v>
      </c>
      <c r="C49" s="799" t="s">
        <v>1823</v>
      </c>
      <c r="D49" s="800"/>
      <c r="E49" s="801"/>
      <c r="F49" s="800"/>
      <c r="G49" s="800"/>
      <c r="H49" s="800"/>
      <c r="I49" s="802"/>
      <c r="J49" s="826"/>
      <c r="K49" s="802"/>
      <c r="L49" s="803"/>
      <c r="M49" s="802"/>
      <c r="N49" s="802"/>
      <c r="O49" s="802"/>
      <c r="Q49" s="821"/>
      <c r="R49" s="935"/>
      <c r="S49" s="803"/>
      <c r="T49" s="802"/>
      <c r="U49" s="802"/>
      <c r="V49" s="802"/>
      <c r="W49" s="802"/>
      <c r="X49" s="802"/>
      <c r="Y49" s="802"/>
      <c r="Z49" s="803"/>
      <c r="AA49" s="802"/>
      <c r="AB49" s="802"/>
      <c r="AC49" s="802"/>
      <c r="AD49" s="802"/>
      <c r="AE49" s="826"/>
      <c r="AF49" s="802"/>
      <c r="AG49" s="803"/>
      <c r="AH49" s="786"/>
      <c r="AI49" s="576"/>
      <c r="AJ49" s="811"/>
      <c r="AK49" s="578"/>
      <c r="AM49" s="578"/>
    </row>
    <row r="50" spans="1:39" s="560" customFormat="1" ht="13.8">
      <c r="A50" s="939" t="s">
        <v>1918</v>
      </c>
      <c r="B50" s="804" t="s">
        <v>1195</v>
      </c>
      <c r="C50" s="799"/>
      <c r="D50" s="800"/>
      <c r="E50" s="801"/>
      <c r="F50" s="800"/>
      <c r="G50" s="800"/>
      <c r="H50" s="800"/>
      <c r="I50" s="802"/>
      <c r="J50" s="802"/>
      <c r="K50" s="802"/>
      <c r="L50" s="803"/>
      <c r="M50" s="802"/>
      <c r="N50" s="802"/>
      <c r="O50" s="802"/>
      <c r="P50" s="802"/>
      <c r="Q50" s="741"/>
      <c r="R50" s="935"/>
      <c r="S50" s="803"/>
      <c r="T50" s="802"/>
      <c r="U50" s="802"/>
      <c r="V50" s="802"/>
      <c r="W50" s="802"/>
      <c r="X50" s="802"/>
      <c r="Y50" s="802"/>
      <c r="Z50" s="803"/>
      <c r="AA50" s="802"/>
      <c r="AB50" s="802"/>
      <c r="AC50" s="802"/>
      <c r="AD50" s="802"/>
      <c r="AE50" s="826"/>
      <c r="AF50" s="802"/>
      <c r="AG50" s="803"/>
      <c r="AH50" s="786"/>
      <c r="AI50" s="576">
        <f t="shared" si="6"/>
        <v>0</v>
      </c>
      <c r="AJ50" s="811"/>
      <c r="AK50" s="578"/>
      <c r="AM50" s="578"/>
    </row>
    <row r="51" spans="1:39" s="560" customFormat="1" ht="13.8">
      <c r="A51" s="940" t="s">
        <v>1930</v>
      </c>
      <c r="B51" s="804" t="s">
        <v>1834</v>
      </c>
      <c r="C51" s="799"/>
      <c r="D51" s="800"/>
      <c r="E51" s="801"/>
      <c r="F51" s="800"/>
      <c r="G51" s="800"/>
      <c r="H51" s="800"/>
      <c r="I51" s="802"/>
      <c r="J51" s="802"/>
      <c r="K51" s="802"/>
      <c r="L51" s="803"/>
      <c r="M51" s="802"/>
      <c r="N51" s="802"/>
      <c r="O51" s="802"/>
      <c r="P51" s="802"/>
      <c r="Q51" s="741"/>
      <c r="R51" s="935"/>
      <c r="S51" s="803"/>
      <c r="T51" s="802"/>
      <c r="U51" s="802"/>
      <c r="V51" s="802"/>
      <c r="W51" s="802"/>
      <c r="X51" s="802"/>
      <c r="Y51" s="802"/>
      <c r="Z51" s="803"/>
      <c r="AA51" s="802"/>
      <c r="AB51" s="802"/>
      <c r="AC51" s="802"/>
      <c r="AD51" s="802"/>
      <c r="AE51" s="826"/>
      <c r="AF51" s="802"/>
      <c r="AG51" s="803"/>
      <c r="AH51" s="786"/>
      <c r="AI51" s="576">
        <f t="shared" si="6"/>
        <v>0</v>
      </c>
      <c r="AJ51" s="811"/>
      <c r="AK51" s="578"/>
      <c r="AM51" s="578"/>
    </row>
    <row r="52" spans="1:39" s="560" customFormat="1" ht="13.8">
      <c r="A52" s="940" t="s">
        <v>1932</v>
      </c>
      <c r="B52" s="804" t="s">
        <v>1835</v>
      </c>
      <c r="C52" s="799" t="s">
        <v>39</v>
      </c>
      <c r="D52" s="800"/>
      <c r="E52" s="801"/>
      <c r="F52" s="800"/>
      <c r="G52" s="800"/>
      <c r="H52" s="800"/>
      <c r="I52" s="802"/>
      <c r="J52" s="802"/>
      <c r="K52" s="802"/>
      <c r="L52" s="803"/>
      <c r="M52" s="802"/>
      <c r="N52" s="802"/>
      <c r="O52" s="802"/>
      <c r="P52" s="802"/>
      <c r="Q52" s="741"/>
      <c r="R52" s="935"/>
      <c r="S52" s="803"/>
      <c r="T52" s="802"/>
      <c r="U52" s="802"/>
      <c r="V52" s="802"/>
      <c r="W52" s="802"/>
      <c r="X52" s="802"/>
      <c r="Y52" s="802"/>
      <c r="Z52" s="803"/>
      <c r="AA52" s="802"/>
      <c r="AB52" s="802"/>
      <c r="AC52" s="802"/>
      <c r="AD52" s="802"/>
      <c r="AE52" s="826"/>
      <c r="AF52" s="802"/>
      <c r="AG52" s="803"/>
      <c r="AH52" s="786"/>
      <c r="AI52" s="576">
        <f t="shared" si="6"/>
        <v>0</v>
      </c>
      <c r="AJ52" s="811"/>
      <c r="AK52" s="578"/>
      <c r="AM52" s="578"/>
    </row>
    <row r="53" spans="1:39" s="560" customFormat="1" ht="13.8">
      <c r="A53" s="940" t="s">
        <v>1931</v>
      </c>
      <c r="B53" s="804" t="s">
        <v>1876</v>
      </c>
      <c r="C53" s="799"/>
      <c r="D53" s="800"/>
      <c r="E53" s="801"/>
      <c r="F53" s="800"/>
      <c r="G53" s="800"/>
      <c r="H53" s="800"/>
      <c r="I53" s="802"/>
      <c r="J53" s="802"/>
      <c r="K53" s="802"/>
      <c r="L53" s="803"/>
      <c r="M53" s="802"/>
      <c r="N53" s="802"/>
      <c r="O53" s="802"/>
      <c r="P53" s="802"/>
      <c r="Q53" s="741"/>
      <c r="R53" s="786"/>
      <c r="S53" s="803"/>
      <c r="T53" s="802"/>
      <c r="U53" s="802"/>
      <c r="V53" s="802"/>
      <c r="W53" s="802"/>
      <c r="X53" s="802"/>
      <c r="Y53" s="802"/>
      <c r="Z53" s="803"/>
      <c r="AA53" s="802"/>
      <c r="AB53" s="802"/>
      <c r="AC53" s="802"/>
      <c r="AD53" s="802"/>
      <c r="AE53" s="826"/>
      <c r="AF53" s="802"/>
      <c r="AG53" s="803"/>
      <c r="AH53" s="786"/>
      <c r="AI53" s="576"/>
      <c r="AJ53" s="811"/>
      <c r="AK53" s="578"/>
      <c r="AM53" s="578"/>
    </row>
    <row r="54" spans="1:39" s="560" customFormat="1" ht="13.8">
      <c r="A54" s="940" t="s">
        <v>1933</v>
      </c>
      <c r="B54" s="804" t="s">
        <v>1877</v>
      </c>
      <c r="C54" s="799"/>
      <c r="D54" s="800"/>
      <c r="E54" s="801"/>
      <c r="F54" s="800"/>
      <c r="G54" s="800"/>
      <c r="H54" s="800"/>
      <c r="I54" s="802"/>
      <c r="J54" s="935"/>
      <c r="K54" s="802"/>
      <c r="L54" s="803"/>
      <c r="M54" s="802"/>
      <c r="N54" s="802"/>
      <c r="O54" s="802"/>
      <c r="P54" s="802"/>
      <c r="Q54" s="741"/>
      <c r="R54" s="786"/>
      <c r="S54" s="803"/>
      <c r="T54" s="802"/>
      <c r="U54" s="802"/>
      <c r="V54" s="802"/>
      <c r="W54" s="802"/>
      <c r="X54" s="802"/>
      <c r="Y54" s="802"/>
      <c r="Z54" s="803"/>
      <c r="AA54" s="802"/>
      <c r="AB54" s="802"/>
      <c r="AC54" s="802"/>
      <c r="AD54" s="802"/>
      <c r="AE54" s="826"/>
      <c r="AF54" s="802"/>
      <c r="AG54" s="803"/>
      <c r="AH54" s="786"/>
      <c r="AI54" s="576"/>
      <c r="AJ54" s="811"/>
      <c r="AK54" s="578"/>
      <c r="AM54" s="578"/>
    </row>
    <row r="55" spans="1:39" s="560" customFormat="1" ht="13.8">
      <c r="A55" s="940" t="s">
        <v>1935</v>
      </c>
      <c r="B55" s="804" t="s">
        <v>1878</v>
      </c>
      <c r="C55" s="799" t="s">
        <v>39</v>
      </c>
      <c r="D55" s="800"/>
      <c r="E55" s="801"/>
      <c r="F55" s="800"/>
      <c r="G55" s="800"/>
      <c r="H55" s="800"/>
      <c r="J55" s="826"/>
      <c r="K55" s="802"/>
      <c r="L55" s="803"/>
      <c r="M55" s="802"/>
      <c r="N55" s="802"/>
      <c r="O55" s="802"/>
      <c r="P55" s="802"/>
      <c r="Q55" s="741"/>
      <c r="R55" s="786"/>
      <c r="S55" s="803"/>
      <c r="T55" s="802"/>
      <c r="U55" s="802"/>
      <c r="V55" s="802"/>
      <c r="W55" s="802"/>
      <c r="X55" s="802"/>
      <c r="Y55" s="802"/>
      <c r="Z55" s="803"/>
      <c r="AA55" s="802"/>
      <c r="AB55" s="802"/>
      <c r="AC55" s="802"/>
      <c r="AD55" s="802"/>
      <c r="AE55" s="826"/>
      <c r="AF55" s="802"/>
      <c r="AG55" s="803"/>
      <c r="AH55" s="786"/>
      <c r="AI55" s="576"/>
      <c r="AJ55" s="811"/>
      <c r="AK55" s="578"/>
      <c r="AM55" s="578"/>
    </row>
    <row r="56" spans="1:39" s="560" customFormat="1" ht="13.8">
      <c r="A56" s="940" t="s">
        <v>1936</v>
      </c>
      <c r="B56" s="804" t="s">
        <v>1879</v>
      </c>
      <c r="C56" s="799" t="s">
        <v>36</v>
      </c>
      <c r="D56" s="800"/>
      <c r="E56" s="801"/>
      <c r="F56" s="800"/>
      <c r="G56" s="800"/>
      <c r="I56" s="932"/>
      <c r="J56" s="802"/>
      <c r="K56" s="802"/>
      <c r="L56" s="803"/>
      <c r="M56" s="802"/>
      <c r="N56" s="802"/>
      <c r="O56" s="802"/>
      <c r="P56" s="802"/>
      <c r="Q56" s="741"/>
      <c r="R56" s="786"/>
      <c r="S56" s="803"/>
      <c r="T56" s="802"/>
      <c r="U56" s="802"/>
      <c r="V56" s="802"/>
      <c r="W56" s="802"/>
      <c r="X56" s="802"/>
      <c r="Y56" s="802"/>
      <c r="Z56" s="803"/>
      <c r="AA56" s="802"/>
      <c r="AB56" s="802"/>
      <c r="AC56" s="802"/>
      <c r="AD56" s="802"/>
      <c r="AE56" s="826"/>
      <c r="AF56" s="802"/>
      <c r="AG56" s="803"/>
      <c r="AH56" s="786"/>
      <c r="AI56" s="576"/>
      <c r="AJ56" s="811"/>
      <c r="AK56" s="578"/>
      <c r="AM56" s="578"/>
    </row>
    <row r="57" spans="1:39" s="560" customFormat="1" ht="13.8">
      <c r="A57" s="940" t="s">
        <v>1937</v>
      </c>
      <c r="B57" s="804" t="s">
        <v>1880</v>
      </c>
      <c r="C57" s="799" t="s">
        <v>1823</v>
      </c>
      <c r="D57" s="800"/>
      <c r="E57" s="801"/>
      <c r="F57" s="800"/>
      <c r="G57" s="932"/>
      <c r="H57" s="800"/>
      <c r="I57" s="802"/>
      <c r="J57" s="802"/>
      <c r="K57" s="802"/>
      <c r="L57" s="803"/>
      <c r="M57" s="802"/>
      <c r="N57" s="802"/>
      <c r="O57" s="802"/>
      <c r="P57" s="802"/>
      <c r="Q57" s="741"/>
      <c r="R57" s="786"/>
      <c r="S57" s="803"/>
      <c r="T57" s="802"/>
      <c r="U57" s="802"/>
      <c r="V57" s="802"/>
      <c r="W57" s="802"/>
      <c r="X57" s="802"/>
      <c r="Y57" s="802"/>
      <c r="Z57" s="803"/>
      <c r="AA57" s="802"/>
      <c r="AB57" s="802"/>
      <c r="AC57" s="802"/>
      <c r="AD57" s="802"/>
      <c r="AE57" s="826"/>
      <c r="AF57" s="802"/>
      <c r="AG57" s="803"/>
      <c r="AH57" s="786"/>
      <c r="AI57" s="576"/>
      <c r="AJ57" s="811"/>
      <c r="AK57" s="578"/>
      <c r="AM57" s="578"/>
    </row>
    <row r="58" spans="1:39" s="560" customFormat="1" ht="13.8">
      <c r="A58" s="940" t="s">
        <v>1934</v>
      </c>
      <c r="B58" s="804" t="s">
        <v>1881</v>
      </c>
      <c r="C58" s="799"/>
      <c r="D58" s="800"/>
      <c r="E58" s="801"/>
      <c r="F58" s="800"/>
      <c r="G58" s="800"/>
      <c r="H58" s="800"/>
      <c r="I58" s="802"/>
      <c r="J58" s="802"/>
      <c r="K58" s="802"/>
      <c r="L58" s="803"/>
      <c r="M58" s="802"/>
      <c r="N58" s="802"/>
      <c r="O58" s="802"/>
      <c r="P58" s="802"/>
      <c r="Q58" s="741"/>
      <c r="R58" s="786"/>
      <c r="S58" s="803"/>
      <c r="T58" s="802"/>
      <c r="U58" s="802"/>
      <c r="V58" s="802"/>
      <c r="W58" s="802"/>
      <c r="X58" s="802"/>
      <c r="Y58" s="802"/>
      <c r="Z58" s="803"/>
      <c r="AA58" s="802"/>
      <c r="AB58" s="802"/>
      <c r="AC58" s="802"/>
      <c r="AD58" s="802"/>
      <c r="AE58" s="826"/>
      <c r="AF58" s="802"/>
      <c r="AG58" s="803"/>
      <c r="AH58" s="786"/>
      <c r="AI58" s="576"/>
      <c r="AJ58" s="811"/>
      <c r="AK58" s="578"/>
      <c r="AM58" s="578"/>
    </row>
    <row r="59" spans="1:39" s="560" customFormat="1" ht="13.8">
      <c r="A59" s="940" t="s">
        <v>1938</v>
      </c>
      <c r="B59" s="804" t="s">
        <v>1882</v>
      </c>
      <c r="C59" s="799" t="s">
        <v>39</v>
      </c>
      <c r="D59" s="800"/>
      <c r="E59" s="801"/>
      <c r="F59" s="800"/>
      <c r="G59" s="800"/>
      <c r="H59" s="800"/>
      <c r="I59" s="802"/>
      <c r="J59" s="935"/>
      <c r="K59" s="826"/>
      <c r="L59" s="803"/>
      <c r="M59" s="802"/>
      <c r="N59" s="802"/>
      <c r="O59" s="802"/>
      <c r="P59" s="802"/>
      <c r="Q59" s="741"/>
      <c r="R59" s="786"/>
      <c r="S59" s="803"/>
      <c r="T59" s="802"/>
      <c r="U59" s="802"/>
      <c r="V59" s="802"/>
      <c r="W59" s="802"/>
      <c r="X59" s="802"/>
      <c r="Y59" s="802"/>
      <c r="Z59" s="803"/>
      <c r="AA59" s="802"/>
      <c r="AB59" s="802"/>
      <c r="AC59" s="802"/>
      <c r="AD59" s="802"/>
      <c r="AE59" s="826"/>
      <c r="AF59" s="802"/>
      <c r="AG59" s="803"/>
      <c r="AH59" s="786"/>
      <c r="AI59" s="576"/>
      <c r="AJ59" s="811"/>
      <c r="AK59" s="578"/>
      <c r="AM59" s="578"/>
    </row>
    <row r="60" spans="1:39" s="560" customFormat="1" ht="13.8">
      <c r="A60" s="940" t="s">
        <v>1939</v>
      </c>
      <c r="B60" s="804" t="s">
        <v>1883</v>
      </c>
      <c r="C60" s="799" t="s">
        <v>36</v>
      </c>
      <c r="D60" s="800"/>
      <c r="E60" s="801"/>
      <c r="F60" s="800"/>
      <c r="G60" s="800"/>
      <c r="H60" s="800"/>
      <c r="J60" s="826"/>
      <c r="K60" s="802"/>
      <c r="L60" s="803"/>
      <c r="M60" s="802"/>
      <c r="N60" s="802"/>
      <c r="O60" s="802"/>
      <c r="P60" s="802"/>
      <c r="Q60" s="741"/>
      <c r="R60" s="786"/>
      <c r="S60" s="803"/>
      <c r="T60" s="802"/>
      <c r="U60" s="802"/>
      <c r="V60" s="802"/>
      <c r="W60" s="802"/>
      <c r="X60" s="802"/>
      <c r="Y60" s="802"/>
      <c r="Z60" s="803"/>
      <c r="AA60" s="802"/>
      <c r="AB60" s="802"/>
      <c r="AC60" s="802"/>
      <c r="AD60" s="802"/>
      <c r="AE60" s="826"/>
      <c r="AF60" s="802"/>
      <c r="AG60" s="803"/>
      <c r="AH60" s="786"/>
      <c r="AI60" s="576"/>
      <c r="AJ60" s="811"/>
      <c r="AK60" s="578"/>
      <c r="AM60" s="578"/>
    </row>
    <row r="61" spans="1:39" s="560" customFormat="1" ht="13.8">
      <c r="A61" s="940" t="s">
        <v>1940</v>
      </c>
      <c r="B61" s="804" t="s">
        <v>1884</v>
      </c>
      <c r="C61" s="799" t="s">
        <v>1823</v>
      </c>
      <c r="D61" s="800"/>
      <c r="E61" s="801"/>
      <c r="F61" s="800"/>
      <c r="G61" s="932"/>
      <c r="H61" s="800"/>
      <c r="I61" s="802"/>
      <c r="J61" s="802"/>
      <c r="K61" s="802"/>
      <c r="L61" s="803"/>
      <c r="M61" s="802"/>
      <c r="N61" s="802"/>
      <c r="O61" s="802"/>
      <c r="P61" s="802"/>
      <c r="Q61" s="741"/>
      <c r="R61" s="786"/>
      <c r="S61" s="803"/>
      <c r="T61" s="802"/>
      <c r="U61" s="802"/>
      <c r="V61" s="802"/>
      <c r="W61" s="802"/>
      <c r="X61" s="802"/>
      <c r="Y61" s="802"/>
      <c r="Z61" s="803"/>
      <c r="AA61" s="802"/>
      <c r="AB61" s="802"/>
      <c r="AC61" s="802"/>
      <c r="AD61" s="802"/>
      <c r="AE61" s="826"/>
      <c r="AF61" s="802"/>
      <c r="AG61" s="803"/>
      <c r="AH61" s="786"/>
      <c r="AI61" s="576"/>
      <c r="AJ61" s="811"/>
      <c r="AK61" s="578"/>
      <c r="AM61" s="578"/>
    </row>
    <row r="62" spans="1:39" s="560" customFormat="1" ht="13.8">
      <c r="A62" s="939" t="s">
        <v>1941</v>
      </c>
      <c r="B62" s="610" t="s">
        <v>1197</v>
      </c>
      <c r="C62" s="799"/>
      <c r="D62" s="800"/>
      <c r="E62" s="801"/>
      <c r="F62" s="800"/>
      <c r="G62" s="800"/>
      <c r="H62" s="800"/>
      <c r="I62" s="802"/>
      <c r="J62" s="802"/>
      <c r="K62" s="802"/>
      <c r="L62" s="803"/>
      <c r="M62" s="802"/>
      <c r="N62" s="802"/>
      <c r="O62" s="802"/>
      <c r="P62" s="802"/>
      <c r="Q62" s="741"/>
      <c r="S62" s="803"/>
      <c r="T62" s="802"/>
      <c r="U62" s="802"/>
      <c r="V62" s="802"/>
      <c r="W62" s="802"/>
      <c r="X62" s="802"/>
      <c r="Y62" s="802"/>
      <c r="Z62" s="803"/>
      <c r="AA62" s="802"/>
      <c r="AB62" s="802"/>
      <c r="AC62" s="802"/>
      <c r="AD62" s="802"/>
      <c r="AE62" s="826"/>
      <c r="AF62" s="802"/>
      <c r="AG62" s="803"/>
      <c r="AH62" s="786"/>
      <c r="AI62" s="576">
        <f t="shared" si="6"/>
        <v>0</v>
      </c>
      <c r="AJ62" s="811"/>
      <c r="AK62" s="578"/>
      <c r="AM62" s="578"/>
    </row>
    <row r="63" spans="1:39" s="560" customFormat="1" ht="13.8">
      <c r="A63" s="940" t="s">
        <v>1942</v>
      </c>
      <c r="B63" s="804" t="s">
        <v>1834</v>
      </c>
      <c r="C63" s="799"/>
      <c r="D63" s="800"/>
      <c r="E63" s="801"/>
      <c r="F63" s="800"/>
      <c r="G63" s="800"/>
      <c r="H63" s="800"/>
      <c r="I63" s="802"/>
      <c r="J63" s="802"/>
      <c r="K63" s="802"/>
      <c r="L63" s="803"/>
      <c r="M63" s="802"/>
      <c r="N63" s="802"/>
      <c r="O63" s="802"/>
      <c r="P63" s="802"/>
      <c r="Q63" s="741"/>
      <c r="R63" s="935"/>
      <c r="S63" s="803"/>
      <c r="T63" s="802"/>
      <c r="U63" s="802"/>
      <c r="V63" s="802"/>
      <c r="W63" s="802"/>
      <c r="X63" s="802"/>
      <c r="Y63" s="802"/>
      <c r="Z63" s="803"/>
      <c r="AA63" s="802"/>
      <c r="AB63" s="802"/>
      <c r="AC63" s="802"/>
      <c r="AD63" s="802"/>
      <c r="AE63" s="826"/>
      <c r="AF63" s="802"/>
      <c r="AG63" s="803"/>
      <c r="AH63" s="786"/>
      <c r="AI63" s="576">
        <f t="shared" si="6"/>
        <v>0</v>
      </c>
      <c r="AJ63" s="811"/>
      <c r="AK63" s="578"/>
      <c r="AM63" s="578"/>
    </row>
    <row r="64" spans="1:39" s="560" customFormat="1" ht="13.8">
      <c r="A64" s="940" t="s">
        <v>1943</v>
      </c>
      <c r="B64" s="804" t="s">
        <v>1835</v>
      </c>
      <c r="C64" s="799" t="s">
        <v>39</v>
      </c>
      <c r="D64" s="921"/>
      <c r="E64" s="801"/>
      <c r="F64" s="800"/>
      <c r="G64" s="800"/>
      <c r="H64" s="800"/>
      <c r="I64" s="931"/>
      <c r="J64" s="802"/>
      <c r="K64" s="802"/>
      <c r="L64" s="803"/>
      <c r="M64" s="802"/>
      <c r="N64" s="802"/>
      <c r="O64" s="802"/>
      <c r="P64" s="802"/>
      <c r="Q64" s="741"/>
      <c r="R64" s="935"/>
      <c r="S64" s="803"/>
      <c r="T64" s="802"/>
      <c r="U64" s="802"/>
      <c r="V64" s="803"/>
      <c r="W64" s="802"/>
      <c r="X64" s="803"/>
      <c r="Y64" s="802"/>
      <c r="Z64" s="803"/>
      <c r="AA64" s="803"/>
      <c r="AB64" s="802"/>
      <c r="AC64" s="802"/>
      <c r="AD64" s="802"/>
      <c r="AE64" s="826"/>
      <c r="AF64" s="802"/>
      <c r="AG64" s="803"/>
      <c r="AH64" s="786"/>
      <c r="AI64" s="576">
        <f t="shared" si="6"/>
        <v>0</v>
      </c>
      <c r="AJ64" s="811"/>
      <c r="AK64" s="578"/>
      <c r="AM64" s="578"/>
    </row>
    <row r="65" spans="1:39" s="560" customFormat="1" ht="14.4" thickBot="1">
      <c r="A65" s="940" t="s">
        <v>1944</v>
      </c>
      <c r="B65" s="804" t="s">
        <v>1885</v>
      </c>
      <c r="C65" s="799"/>
      <c r="D65" s="921"/>
      <c r="E65" s="801"/>
      <c r="F65" s="800"/>
      <c r="G65" s="800"/>
      <c r="H65" s="800"/>
      <c r="I65" s="802"/>
      <c r="J65" s="802"/>
      <c r="K65" s="802"/>
      <c r="L65" s="803"/>
      <c r="M65" s="826"/>
      <c r="N65" s="826"/>
      <c r="O65" s="934"/>
      <c r="P65" s="802"/>
      <c r="Q65" s="934"/>
      <c r="R65" s="825"/>
      <c r="S65" s="803"/>
      <c r="T65" s="802"/>
      <c r="U65" s="802"/>
      <c r="V65" s="803"/>
      <c r="W65" s="802"/>
      <c r="X65" s="803"/>
      <c r="Y65" s="802"/>
      <c r="Z65" s="803"/>
      <c r="AA65" s="803"/>
      <c r="AB65" s="802"/>
      <c r="AC65" s="802"/>
      <c r="AD65" s="802"/>
      <c r="AE65" s="826"/>
      <c r="AF65" s="802"/>
      <c r="AG65" s="803"/>
      <c r="AH65" s="786"/>
      <c r="AI65" s="933"/>
      <c r="AJ65" s="811"/>
      <c r="AK65" s="578"/>
      <c r="AM65" s="578"/>
    </row>
    <row r="66" spans="1:39" ht="13.8" thickBot="1">
      <c r="A66" s="751"/>
      <c r="B66" s="805" t="s">
        <v>1</v>
      </c>
      <c r="C66" s="806"/>
      <c r="D66" s="745"/>
      <c r="E66" s="859"/>
      <c r="F66" s="745"/>
      <c r="G66" s="745"/>
      <c r="H66" s="745"/>
      <c r="I66" s="745"/>
      <c r="J66" s="745"/>
      <c r="K66" s="745"/>
      <c r="L66" s="859"/>
      <c r="M66" s="745"/>
      <c r="N66" s="745"/>
      <c r="O66" s="745"/>
      <c r="P66" s="745"/>
      <c r="Q66" s="745"/>
      <c r="R66" s="745"/>
      <c r="S66" s="859"/>
      <c r="T66" s="745"/>
      <c r="U66" s="745"/>
      <c r="V66" s="745"/>
      <c r="W66" s="745"/>
      <c r="X66" s="745"/>
      <c r="Y66" s="745"/>
      <c r="Z66" s="859"/>
      <c r="AA66" s="745"/>
      <c r="AB66" s="745"/>
      <c r="AC66" s="745"/>
      <c r="AD66" s="754"/>
      <c r="AE66" s="864"/>
      <c r="AF66" s="754"/>
      <c r="AG66" s="861"/>
      <c r="AH66" s="593"/>
      <c r="AI66" s="594" t="s">
        <v>8</v>
      </c>
      <c r="AJ66" s="595"/>
      <c r="AL66" s="557">
        <f>AK66/10</f>
        <v>0</v>
      </c>
    </row>
    <row r="67" spans="1:39">
      <c r="A67" s="618" t="s">
        <v>287</v>
      </c>
    </row>
    <row r="69" spans="1:39">
      <c r="B69" s="624" t="s">
        <v>1787</v>
      </c>
      <c r="C69" s="596"/>
    </row>
    <row r="70" spans="1:39">
      <c r="B70" s="624" t="s">
        <v>288</v>
      </c>
      <c r="C70" s="596"/>
      <c r="O70" s="600"/>
      <c r="AL70" s="560">
        <v>1204.5</v>
      </c>
    </row>
    <row r="71" spans="1:39">
      <c r="B71" s="624"/>
      <c r="C71" s="596"/>
    </row>
    <row r="72" spans="1:39">
      <c r="B72" s="624"/>
      <c r="C72" s="596"/>
    </row>
    <row r="73" spans="1:39">
      <c r="B73" s="624"/>
      <c r="C73" s="596"/>
    </row>
    <row r="87" spans="1:37" s="559" customFormat="1">
      <c r="A87" s="618"/>
      <c r="B87" s="618"/>
      <c r="D87" s="557"/>
      <c r="E87" s="787"/>
      <c r="F87" s="557"/>
      <c r="G87" s="557"/>
      <c r="H87" s="557"/>
      <c r="I87" s="557"/>
      <c r="J87" s="557"/>
      <c r="K87" s="557"/>
      <c r="L87" s="787"/>
      <c r="M87" s="557"/>
      <c r="N87" s="557"/>
      <c r="O87" s="557"/>
      <c r="P87" s="557"/>
      <c r="Q87" s="557"/>
      <c r="R87" s="557"/>
      <c r="S87" s="787"/>
      <c r="T87" s="557"/>
      <c r="U87" s="557"/>
      <c r="V87" s="557"/>
      <c r="W87" s="557"/>
      <c r="X87" s="557"/>
      <c r="Y87" s="557"/>
      <c r="Z87" s="787"/>
      <c r="AA87" s="557"/>
      <c r="AB87" s="557"/>
      <c r="AC87" s="557"/>
      <c r="AD87" s="558"/>
      <c r="AE87" s="814"/>
      <c r="AF87" s="558"/>
      <c r="AG87" s="808"/>
      <c r="AH87" s="558"/>
      <c r="AI87" s="557"/>
      <c r="AJ87" s="557"/>
      <c r="AK87" s="557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26" orientation="portrait" r:id="rId1"/>
  <colBreaks count="1" manualBreakCount="1">
    <brk id="35" max="1048575" man="1"/>
  </col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S679"/>
  <sheetViews>
    <sheetView workbookViewId="0">
      <selection sqref="A1:X1"/>
    </sheetView>
  </sheetViews>
  <sheetFormatPr baseColWidth="10" defaultColWidth="11.44140625" defaultRowHeight="13.2"/>
  <cols>
    <col min="1" max="1" width="13" style="618" customWidth="1"/>
    <col min="2" max="2" width="69.44140625" style="616" customWidth="1"/>
    <col min="3" max="3" width="5" style="559" customWidth="1"/>
    <col min="4" max="5" width="9.109375" style="557" customWidth="1"/>
    <col min="6" max="6" width="7" style="787" customWidth="1"/>
    <col min="7" max="10" width="7" style="557" customWidth="1"/>
    <col min="11" max="11" width="7" style="1120" customWidth="1"/>
    <col min="12" max="12" width="7" style="557" customWidth="1"/>
    <col min="13" max="13" width="7" style="787" customWidth="1"/>
    <col min="14" max="19" width="7" style="557" customWidth="1"/>
    <col min="20" max="20" width="7" style="787" customWidth="1"/>
    <col min="21" max="26" width="7" style="557" customWidth="1"/>
    <col min="27" max="27" width="7" style="787" customWidth="1"/>
    <col min="28" max="28" width="7" style="1120" customWidth="1"/>
    <col min="29" max="29" width="7" style="557" customWidth="1"/>
    <col min="30" max="32" width="7" style="558" customWidth="1"/>
    <col min="33" max="34" width="7" style="558" hidden="1" customWidth="1"/>
    <col min="35" max="35" width="9.109375" style="560" customWidth="1"/>
    <col min="36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0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  <c r="L1" s="1538"/>
      <c r="M1" s="1538"/>
      <c r="N1" s="1538"/>
      <c r="O1" s="1538"/>
      <c r="P1" s="1538"/>
      <c r="Q1" s="1538"/>
      <c r="R1" s="1538"/>
      <c r="S1" s="1538"/>
      <c r="T1" s="1538"/>
      <c r="U1" s="1538"/>
      <c r="V1" s="1538"/>
      <c r="W1" s="1538"/>
      <c r="X1" s="1538"/>
    </row>
    <row r="2" spans="1:40">
      <c r="A2" s="1539" t="s">
        <v>1788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  <c r="L2" s="1539"/>
      <c r="M2" s="1539"/>
      <c r="N2" s="1539"/>
      <c r="O2" s="1539"/>
      <c r="P2" s="1539"/>
      <c r="Q2" s="1539"/>
      <c r="R2" s="1539"/>
      <c r="S2" s="1539"/>
      <c r="T2" s="1539"/>
      <c r="U2" s="1539"/>
      <c r="V2" s="1539"/>
      <c r="W2" s="1539"/>
      <c r="X2" s="1539"/>
    </row>
    <row r="3" spans="1:40">
      <c r="A3" s="615"/>
    </row>
    <row r="4" spans="1:40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  <c r="L4" s="1540"/>
    </row>
    <row r="5" spans="1:40" ht="12.75" customHeight="1">
      <c r="A5" s="617"/>
      <c r="B5" s="1541" t="e">
        <f>#REF!</f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  <c r="L5" s="1542"/>
      <c r="M5" s="1542"/>
      <c r="N5" s="1542"/>
      <c r="O5" s="1542"/>
      <c r="P5" s="1542"/>
      <c r="Q5" s="1542"/>
      <c r="R5" s="1542"/>
      <c r="S5" s="1542"/>
      <c r="T5" s="1542"/>
      <c r="U5" s="1542"/>
      <c r="V5" s="1542"/>
      <c r="W5" s="1542"/>
      <c r="X5" s="1542"/>
      <c r="Y5" s="1542"/>
      <c r="Z5" s="1542"/>
      <c r="AA5" s="1542"/>
    </row>
    <row r="6" spans="1:40" ht="13.5" customHeight="1">
      <c r="B6" s="619"/>
      <c r="C6" s="561"/>
    </row>
    <row r="7" spans="1:40" ht="13.5" customHeight="1">
      <c r="B7" s="619"/>
      <c r="C7" s="561"/>
      <c r="Q7" s="1545" t="s">
        <v>283</v>
      </c>
      <c r="R7" s="1545"/>
      <c r="S7" s="1545"/>
      <c r="T7" s="1545"/>
      <c r="U7" s="1545"/>
      <c r="V7" s="1545"/>
      <c r="W7" s="1546">
        <v>42888</v>
      </c>
      <c r="X7" s="1546"/>
      <c r="Y7" s="1546"/>
      <c r="Z7" s="1546"/>
    </row>
    <row r="8" spans="1:40" ht="13.5" customHeight="1" thickBot="1">
      <c r="B8" s="619"/>
      <c r="C8" s="561"/>
      <c r="D8" s="929" t="s">
        <v>2044</v>
      </c>
      <c r="E8" s="929" t="s">
        <v>2045</v>
      </c>
      <c r="F8" s="1067" t="s">
        <v>2039</v>
      </c>
      <c r="G8" s="929" t="s">
        <v>2040</v>
      </c>
      <c r="H8" s="929" t="s">
        <v>2041</v>
      </c>
      <c r="I8" s="929" t="s">
        <v>2042</v>
      </c>
      <c r="J8" s="929" t="s">
        <v>2043</v>
      </c>
      <c r="K8" s="954" t="s">
        <v>2044</v>
      </c>
      <c r="L8" s="929" t="s">
        <v>2045</v>
      </c>
      <c r="M8" s="1067" t="s">
        <v>2039</v>
      </c>
      <c r="N8" s="929" t="s">
        <v>2040</v>
      </c>
      <c r="O8" s="929" t="s">
        <v>2041</v>
      </c>
      <c r="P8" s="929" t="s">
        <v>2042</v>
      </c>
      <c r="Q8" s="929" t="s">
        <v>2043</v>
      </c>
      <c r="R8" s="929" t="s">
        <v>2044</v>
      </c>
      <c r="S8" s="929" t="s">
        <v>2045</v>
      </c>
      <c r="T8" s="1067" t="s">
        <v>2039</v>
      </c>
      <c r="U8" s="929" t="s">
        <v>2040</v>
      </c>
      <c r="V8" s="929" t="s">
        <v>2041</v>
      </c>
      <c r="W8" s="929" t="s">
        <v>2042</v>
      </c>
      <c r="X8" s="929" t="s">
        <v>2043</v>
      </c>
      <c r="Y8" s="929" t="s">
        <v>2044</v>
      </c>
      <c r="Z8" s="929" t="s">
        <v>2045</v>
      </c>
      <c r="AA8" s="1067" t="s">
        <v>2039</v>
      </c>
      <c r="AB8" s="954" t="s">
        <v>2040</v>
      </c>
      <c r="AC8" s="929" t="s">
        <v>2041</v>
      </c>
      <c r="AD8" s="929" t="s">
        <v>2042</v>
      </c>
      <c r="AE8" s="929" t="s">
        <v>2043</v>
      </c>
      <c r="AF8" s="929" t="s">
        <v>2044</v>
      </c>
      <c r="AG8" s="929" t="s">
        <v>2043</v>
      </c>
      <c r="AH8" s="929" t="s">
        <v>2044</v>
      </c>
      <c r="AI8" s="1019"/>
    </row>
    <row r="9" spans="1:40" ht="13.8" thickBot="1">
      <c r="A9" s="1543" t="s">
        <v>284</v>
      </c>
      <c r="B9" s="1543" t="s">
        <v>19</v>
      </c>
      <c r="C9" s="562"/>
      <c r="D9" s="1142">
        <v>1</v>
      </c>
      <c r="E9" s="1142">
        <f>+D9+1</f>
        <v>2</v>
      </c>
      <c r="F9" s="788">
        <f t="shared" ref="F9:AH9" si="0">+E9+1</f>
        <v>3</v>
      </c>
      <c r="G9" s="1142">
        <f t="shared" si="0"/>
        <v>4</v>
      </c>
      <c r="H9" s="1142">
        <f t="shared" si="0"/>
        <v>5</v>
      </c>
      <c r="I9" s="1142">
        <f t="shared" si="0"/>
        <v>6</v>
      </c>
      <c r="J9" s="1142">
        <f t="shared" si="0"/>
        <v>7</v>
      </c>
      <c r="K9" s="815">
        <f t="shared" si="0"/>
        <v>8</v>
      </c>
      <c r="L9" s="1142">
        <f t="shared" si="0"/>
        <v>9</v>
      </c>
      <c r="M9" s="788">
        <f t="shared" si="0"/>
        <v>10</v>
      </c>
      <c r="N9" s="1142">
        <f t="shared" si="0"/>
        <v>11</v>
      </c>
      <c r="O9" s="1142">
        <f t="shared" si="0"/>
        <v>12</v>
      </c>
      <c r="P9" s="1142">
        <f t="shared" si="0"/>
        <v>13</v>
      </c>
      <c r="Q9" s="1142">
        <f t="shared" si="0"/>
        <v>14</v>
      </c>
      <c r="R9" s="1142">
        <f t="shared" si="0"/>
        <v>15</v>
      </c>
      <c r="S9" s="1142">
        <f t="shared" si="0"/>
        <v>16</v>
      </c>
      <c r="T9" s="788">
        <f t="shared" si="0"/>
        <v>17</v>
      </c>
      <c r="U9" s="1142">
        <f>+T9+1</f>
        <v>18</v>
      </c>
      <c r="V9" s="1142">
        <f>+U9+1</f>
        <v>19</v>
      </c>
      <c r="W9" s="1142">
        <f t="shared" si="0"/>
        <v>20</v>
      </c>
      <c r="X9" s="1142">
        <f t="shared" si="0"/>
        <v>21</v>
      </c>
      <c r="Y9" s="1142">
        <f t="shared" si="0"/>
        <v>22</v>
      </c>
      <c r="Z9" s="1142">
        <f t="shared" si="0"/>
        <v>23</v>
      </c>
      <c r="AA9" s="788">
        <f t="shared" si="0"/>
        <v>24</v>
      </c>
      <c r="AB9" s="815">
        <f t="shared" si="0"/>
        <v>25</v>
      </c>
      <c r="AC9" s="1142">
        <f t="shared" si="0"/>
        <v>26</v>
      </c>
      <c r="AD9" s="564">
        <f t="shared" si="0"/>
        <v>27</v>
      </c>
      <c r="AE9" s="1142">
        <f t="shared" si="0"/>
        <v>28</v>
      </c>
      <c r="AF9" s="564">
        <f t="shared" si="0"/>
        <v>29</v>
      </c>
      <c r="AG9" s="1142">
        <f>+AF9+1</f>
        <v>30</v>
      </c>
      <c r="AH9" s="564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  <c r="AN9" s="557" t="s">
        <v>1</v>
      </c>
    </row>
    <row r="10" spans="1:40" ht="13.8" thickBot="1">
      <c r="A10" s="1544"/>
      <c r="B10" s="1544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816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816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9" t="s">
        <v>291</v>
      </c>
      <c r="AH10" s="568" t="s">
        <v>291</v>
      </c>
      <c r="AI10" s="1020" t="s">
        <v>286</v>
      </c>
      <c r="AJ10" s="742" t="s">
        <v>286</v>
      </c>
      <c r="AK10" s="745"/>
      <c r="AL10" s="745"/>
      <c r="AM10" s="566"/>
    </row>
    <row r="11" spans="1:40" s="579" customFormat="1">
      <c r="A11" s="767" t="s">
        <v>32</v>
      </c>
      <c r="B11" s="768" t="s">
        <v>1118</v>
      </c>
      <c r="C11" s="625"/>
      <c r="D11" s="571"/>
      <c r="E11" s="572"/>
      <c r="F11" s="790"/>
      <c r="G11" s="572"/>
      <c r="H11" s="572"/>
      <c r="I11" s="573"/>
      <c r="J11" s="573"/>
      <c r="K11" s="1132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862"/>
      <c r="AC11" s="574"/>
      <c r="AD11" s="574"/>
      <c r="AE11" s="574"/>
      <c r="AF11" s="575"/>
      <c r="AG11" s="575"/>
      <c r="AH11" s="575"/>
      <c r="AI11" s="1013">
        <f t="shared" ref="AI11:AI78" si="1">ROUND((SUM(D11:AH11)),2)</f>
        <v>0</v>
      </c>
      <c r="AJ11" s="949"/>
      <c r="AK11" s="581"/>
      <c r="AL11" s="747"/>
      <c r="AM11" s="744"/>
    </row>
    <row r="12" spans="1:40" s="560" customFormat="1">
      <c r="A12" s="604" t="s">
        <v>34</v>
      </c>
      <c r="B12" s="314" t="s">
        <v>1119</v>
      </c>
      <c r="C12" s="1141"/>
      <c r="D12" s="580"/>
      <c r="E12" s="581"/>
      <c r="F12" s="778"/>
      <c r="G12" s="581"/>
      <c r="H12" s="581"/>
      <c r="I12" s="949"/>
      <c r="J12" s="949"/>
      <c r="K12" s="825"/>
      <c r="L12" s="949"/>
      <c r="M12" s="778"/>
      <c r="N12" s="949"/>
      <c r="O12" s="949"/>
      <c r="P12" s="949"/>
      <c r="Q12" s="949"/>
      <c r="R12" s="949"/>
      <c r="S12" s="949"/>
      <c r="T12" s="778"/>
      <c r="U12" s="949"/>
      <c r="V12" s="949"/>
      <c r="W12" s="949"/>
      <c r="X12" s="949"/>
      <c r="Y12" s="949"/>
      <c r="Z12" s="949"/>
      <c r="AA12" s="778"/>
      <c r="AB12" s="945"/>
      <c r="AC12" s="583"/>
      <c r="AD12" s="575"/>
      <c r="AE12" s="575"/>
      <c r="AF12" s="575"/>
      <c r="AG12" s="575"/>
      <c r="AH12" s="575"/>
      <c r="AI12" s="1013">
        <f t="shared" si="1"/>
        <v>0</v>
      </c>
      <c r="AJ12" s="949"/>
      <c r="AK12" s="581"/>
      <c r="AL12" s="746"/>
      <c r="AM12" s="741"/>
    </row>
    <row r="13" spans="1:40" s="560" customFormat="1" ht="13.8">
      <c r="A13" s="604" t="s">
        <v>523</v>
      </c>
      <c r="B13" s="319" t="s">
        <v>1120</v>
      </c>
      <c r="C13" s="1140" t="s">
        <v>63</v>
      </c>
      <c r="D13" s="580"/>
      <c r="E13" s="581"/>
      <c r="F13" s="778"/>
      <c r="G13" s="581"/>
      <c r="H13" s="581"/>
      <c r="I13" s="949"/>
      <c r="J13" s="949"/>
      <c r="K13" s="825"/>
      <c r="L13" s="949"/>
      <c r="M13" s="778"/>
      <c r="N13" s="949"/>
      <c r="O13" s="949"/>
      <c r="P13" s="949"/>
      <c r="Q13" s="949"/>
      <c r="R13" s="949"/>
      <c r="S13" s="949"/>
      <c r="T13" s="778"/>
      <c r="U13" s="949"/>
      <c r="V13" s="949"/>
      <c r="W13" s="949"/>
      <c r="X13" s="949"/>
      <c r="Y13" s="949"/>
      <c r="Z13" s="949"/>
      <c r="AA13" s="778"/>
      <c r="AB13" s="945"/>
      <c r="AC13" s="583"/>
      <c r="AD13" s="575"/>
      <c r="AE13" s="575"/>
      <c r="AF13" s="575"/>
      <c r="AG13" s="575"/>
      <c r="AH13" s="575"/>
      <c r="AI13" s="1013">
        <f t="shared" si="1"/>
        <v>0</v>
      </c>
      <c r="AJ13" s="949">
        <v>0</v>
      </c>
      <c r="AK13" s="581">
        <f>AI13+AJ13</f>
        <v>0</v>
      </c>
      <c r="AL13" s="746" t="s">
        <v>1441</v>
      </c>
      <c r="AM13" s="743">
        <f>AL13-AK13</f>
        <v>1</v>
      </c>
    </row>
    <row r="14" spans="1:40" s="560" customFormat="1" ht="13.8">
      <c r="A14" s="604" t="s">
        <v>524</v>
      </c>
      <c r="B14" s="320" t="s">
        <v>1121</v>
      </c>
      <c r="C14" s="1140" t="s">
        <v>63</v>
      </c>
      <c r="D14" s="580"/>
      <c r="E14" s="581"/>
      <c r="F14" s="778"/>
      <c r="G14" s="581"/>
      <c r="H14" s="581"/>
      <c r="I14" s="949"/>
      <c r="J14" s="949"/>
      <c r="K14" s="825"/>
      <c r="L14" s="949"/>
      <c r="M14" s="778"/>
      <c r="N14" s="949"/>
      <c r="O14" s="949"/>
      <c r="P14" s="949"/>
      <c r="Q14" s="949"/>
      <c r="R14" s="949"/>
      <c r="S14" s="949"/>
      <c r="T14" s="778"/>
      <c r="U14" s="949"/>
      <c r="V14" s="949"/>
      <c r="W14" s="949"/>
      <c r="X14" s="949"/>
      <c r="Y14" s="949"/>
      <c r="Z14" s="949"/>
      <c r="AA14" s="778"/>
      <c r="AB14" s="945"/>
      <c r="AC14" s="583"/>
      <c r="AD14" s="575"/>
      <c r="AE14" s="575"/>
      <c r="AF14" s="575"/>
      <c r="AG14" s="575"/>
      <c r="AH14" s="575"/>
      <c r="AI14" s="1013">
        <f t="shared" si="1"/>
        <v>0</v>
      </c>
      <c r="AJ14" s="949">
        <v>0</v>
      </c>
      <c r="AK14" s="581">
        <f t="shared" ref="AK14:AK17" si="2">AI14+AJ14</f>
        <v>0</v>
      </c>
      <c r="AL14" s="746" t="s">
        <v>1441</v>
      </c>
      <c r="AM14" s="743">
        <f t="shared" ref="AM14:AM17" si="3">AL14-AK14</f>
        <v>1</v>
      </c>
    </row>
    <row r="15" spans="1:40" s="560" customFormat="1">
      <c r="A15" s="604" t="s">
        <v>525</v>
      </c>
      <c r="B15" s="319" t="s">
        <v>1122</v>
      </c>
      <c r="C15" s="1141" t="s">
        <v>63</v>
      </c>
      <c r="D15" s="580"/>
      <c r="E15" s="581"/>
      <c r="F15" s="778"/>
      <c r="G15" s="581"/>
      <c r="H15" s="581"/>
      <c r="I15" s="949"/>
      <c r="J15" s="949"/>
      <c r="K15" s="825"/>
      <c r="L15" s="949"/>
      <c r="M15" s="778"/>
      <c r="N15" s="949"/>
      <c r="O15" s="949"/>
      <c r="P15" s="949"/>
      <c r="Q15" s="949"/>
      <c r="R15" s="949"/>
      <c r="S15" s="949"/>
      <c r="T15" s="778"/>
      <c r="U15" s="949"/>
      <c r="V15" s="949"/>
      <c r="W15" s="949"/>
      <c r="X15" s="949"/>
      <c r="Y15" s="949"/>
      <c r="Z15" s="949"/>
      <c r="AA15" s="778"/>
      <c r="AB15" s="945"/>
      <c r="AC15" s="583"/>
      <c r="AD15" s="575"/>
      <c r="AE15" s="575"/>
      <c r="AF15" s="575"/>
      <c r="AG15" s="575"/>
      <c r="AH15" s="575"/>
      <c r="AI15" s="1013">
        <f t="shared" si="1"/>
        <v>0</v>
      </c>
      <c r="AJ15" s="949">
        <v>0</v>
      </c>
      <c r="AK15" s="581">
        <f t="shared" si="2"/>
        <v>0</v>
      </c>
      <c r="AL15" s="746" t="s">
        <v>1441</v>
      </c>
      <c r="AM15" s="743">
        <f t="shared" si="3"/>
        <v>1</v>
      </c>
    </row>
    <row r="16" spans="1:40" s="560" customFormat="1" ht="13.8">
      <c r="A16" s="604" t="s">
        <v>526</v>
      </c>
      <c r="B16" s="320" t="s">
        <v>1123</v>
      </c>
      <c r="C16" s="1140" t="s">
        <v>63</v>
      </c>
      <c r="D16" s="580"/>
      <c r="E16" s="581"/>
      <c r="F16" s="778"/>
      <c r="G16" s="581"/>
      <c r="H16" s="581"/>
      <c r="I16" s="949"/>
      <c r="J16" s="949"/>
      <c r="K16" s="825"/>
      <c r="L16" s="949"/>
      <c r="M16" s="778"/>
      <c r="N16" s="949"/>
      <c r="O16" s="949"/>
      <c r="P16" s="949"/>
      <c r="Q16" s="949"/>
      <c r="R16" s="949"/>
      <c r="S16" s="949"/>
      <c r="T16" s="778"/>
      <c r="U16" s="949"/>
      <c r="V16" s="949"/>
      <c r="W16" s="949"/>
      <c r="X16" s="949"/>
      <c r="Y16" s="949"/>
      <c r="Z16" s="949"/>
      <c r="AA16" s="778"/>
      <c r="AB16" s="945"/>
      <c r="AC16" s="583"/>
      <c r="AD16" s="575"/>
      <c r="AE16" s="575"/>
      <c r="AF16" s="575"/>
      <c r="AG16" s="575"/>
      <c r="AH16" s="575"/>
      <c r="AI16" s="1013">
        <f t="shared" si="1"/>
        <v>0</v>
      </c>
      <c r="AJ16" s="949">
        <v>0</v>
      </c>
      <c r="AK16" s="581">
        <f t="shared" si="2"/>
        <v>0</v>
      </c>
      <c r="AL16" s="746" t="s">
        <v>1441</v>
      </c>
      <c r="AM16" s="743">
        <f t="shared" si="3"/>
        <v>1</v>
      </c>
    </row>
    <row r="17" spans="1:45" s="560" customFormat="1" ht="13.8">
      <c r="A17" s="604" t="s">
        <v>527</v>
      </c>
      <c r="B17" s="320" t="s">
        <v>1124</v>
      </c>
      <c r="C17" s="1140" t="s">
        <v>1436</v>
      </c>
      <c r="D17" s="580"/>
      <c r="E17" s="581"/>
      <c r="F17" s="778"/>
      <c r="G17" s="581"/>
      <c r="H17" s="581"/>
      <c r="I17" s="949"/>
      <c r="J17" s="949"/>
      <c r="K17" s="825"/>
      <c r="L17" s="949"/>
      <c r="M17" s="778"/>
      <c r="N17" s="949"/>
      <c r="O17" s="949"/>
      <c r="P17" s="949"/>
      <c r="Q17" s="949"/>
      <c r="R17" s="949"/>
      <c r="S17" s="949"/>
      <c r="T17" s="778"/>
      <c r="U17" s="737"/>
      <c r="V17" s="737"/>
      <c r="W17" s="737"/>
      <c r="X17" s="737"/>
      <c r="Y17" s="737"/>
      <c r="Z17" s="737"/>
      <c r="AA17" s="778"/>
      <c r="AB17" s="818"/>
      <c r="AC17" s="737"/>
      <c r="AD17" s="737"/>
      <c r="AE17" s="737"/>
      <c r="AF17" s="737"/>
      <c r="AG17" s="737"/>
      <c r="AH17" s="737"/>
      <c r="AI17" s="1013">
        <f t="shared" si="1"/>
        <v>0</v>
      </c>
      <c r="AJ17" s="949">
        <v>1</v>
      </c>
      <c r="AK17" s="581">
        <f t="shared" si="2"/>
        <v>1</v>
      </c>
      <c r="AL17" s="737" t="s">
        <v>1441</v>
      </c>
      <c r="AM17" s="743">
        <f t="shared" si="3"/>
        <v>0</v>
      </c>
      <c r="AN17" s="740"/>
      <c r="AO17" s="737"/>
      <c r="AP17" s="737"/>
      <c r="AQ17" s="737"/>
      <c r="AR17" s="737"/>
      <c r="AS17" s="737"/>
    </row>
    <row r="18" spans="1:45" s="555" customFormat="1" ht="11.25" customHeight="1">
      <c r="A18" s="492" t="s">
        <v>38</v>
      </c>
      <c r="B18" s="608" t="s">
        <v>33</v>
      </c>
      <c r="C18" s="679"/>
      <c r="D18" s="680"/>
      <c r="E18" s="681"/>
      <c r="F18" s="1028"/>
      <c r="G18" s="683"/>
      <c r="H18" s="684"/>
      <c r="I18" s="633"/>
      <c r="J18" s="684"/>
      <c r="K18" s="1134"/>
      <c r="L18" s="685"/>
      <c r="M18" s="1028"/>
      <c r="N18" s="687"/>
      <c r="O18" s="688"/>
      <c r="P18" s="689"/>
      <c r="Q18" s="199"/>
      <c r="T18" s="1028"/>
      <c r="AA18" s="1028"/>
      <c r="AB18" s="944"/>
      <c r="AI18" s="1013">
        <f t="shared" si="1"/>
        <v>0</v>
      </c>
    </row>
    <row r="19" spans="1:45" s="782" customFormat="1" ht="15.6">
      <c r="A19" s="772" t="s">
        <v>529</v>
      </c>
      <c r="B19" s="733" t="s">
        <v>1126</v>
      </c>
      <c r="C19" s="734" t="s">
        <v>39</v>
      </c>
      <c r="D19" s="794"/>
      <c r="E19" s="735"/>
      <c r="F19" s="791"/>
      <c r="G19" s="735"/>
      <c r="H19" s="735"/>
      <c r="I19" s="1066"/>
      <c r="J19" s="1066"/>
      <c r="K19" s="1135"/>
      <c r="L19" s="737"/>
      <c r="M19" s="791"/>
      <c r="N19" s="737"/>
      <c r="O19" s="737"/>
      <c r="P19" s="737"/>
      <c r="Q19" s="737"/>
      <c r="R19" s="737"/>
      <c r="S19" s="737"/>
      <c r="T19" s="791"/>
      <c r="U19" s="737"/>
      <c r="V19" s="737"/>
      <c r="W19" s="737"/>
      <c r="X19" s="737"/>
      <c r="Y19" s="737"/>
      <c r="Z19" s="737"/>
      <c r="AA19" s="791"/>
      <c r="AB19" s="818"/>
      <c r="AC19" s="737"/>
      <c r="AD19" s="737"/>
      <c r="AE19" s="737"/>
      <c r="AF19" s="737"/>
      <c r="AG19" s="737"/>
      <c r="AH19" s="737"/>
      <c r="AI19" s="1013">
        <f t="shared" si="1"/>
        <v>0</v>
      </c>
      <c r="AJ19" s="949">
        <v>963.6</v>
      </c>
      <c r="AK19" s="581">
        <f>AI19+AJ19</f>
        <v>963.6</v>
      </c>
      <c r="AL19" s="793" t="s">
        <v>1443</v>
      </c>
      <c r="AM19" s="781">
        <f>AN19-AK19</f>
        <v>60.399999999999977</v>
      </c>
      <c r="AN19" s="879">
        <v>1024</v>
      </c>
      <c r="AO19" s="793">
        <f>AL19-AN19</f>
        <v>-416.4</v>
      </c>
      <c r="AP19" s="793"/>
      <c r="AQ19" s="793"/>
      <c r="AR19" s="793"/>
      <c r="AS19" s="793"/>
    </row>
    <row r="20" spans="1:45" s="560" customFormat="1">
      <c r="A20" s="604" t="s">
        <v>530</v>
      </c>
      <c r="B20" s="610" t="s">
        <v>1127</v>
      </c>
      <c r="C20" s="530" t="s">
        <v>39</v>
      </c>
      <c r="D20" s="580"/>
      <c r="E20" s="581"/>
      <c r="F20" s="778"/>
      <c r="G20" s="581"/>
      <c r="H20" s="581"/>
      <c r="I20" s="581"/>
      <c r="J20" s="581"/>
      <c r="K20" s="922"/>
      <c r="L20" s="575"/>
      <c r="M20" s="778"/>
      <c r="N20" s="575"/>
      <c r="O20" s="575"/>
      <c r="P20" s="575"/>
      <c r="Q20" s="575"/>
      <c r="R20" s="575"/>
      <c r="S20" s="575"/>
      <c r="T20" s="778"/>
      <c r="U20" s="575"/>
      <c r="V20" s="575"/>
      <c r="W20" s="575"/>
      <c r="X20" s="575"/>
      <c r="Y20" s="575"/>
      <c r="Z20" s="575"/>
      <c r="AA20" s="778"/>
      <c r="AB20" s="817"/>
      <c r="AC20" s="575"/>
      <c r="AD20" s="575"/>
      <c r="AE20" s="753"/>
      <c r="AF20" s="575"/>
      <c r="AG20" s="575"/>
      <c r="AH20" s="842"/>
      <c r="AI20" s="1013">
        <f t="shared" si="1"/>
        <v>0</v>
      </c>
      <c r="AJ20" s="949">
        <v>0</v>
      </c>
      <c r="AK20" s="581">
        <f t="shared" ref="AK20:AK83" si="4">AI20+AJ20</f>
        <v>0</v>
      </c>
      <c r="AL20" s="746" t="s">
        <v>1444</v>
      </c>
      <c r="AM20" s="743">
        <f t="shared" ref="AM20:AM83" si="5">AL20-AK20</f>
        <v>759.49</v>
      </c>
      <c r="AO20" s="578">
        <f>AN19-AK19</f>
        <v>60.399999999999977</v>
      </c>
      <c r="AP20" s="560">
        <f>AO19/30</f>
        <v>-13.879999999999999</v>
      </c>
    </row>
    <row r="21" spans="1:45" s="560" customFormat="1">
      <c r="A21" s="492" t="s">
        <v>531</v>
      </c>
      <c r="B21" s="608" t="s">
        <v>1128</v>
      </c>
      <c r="C21" s="679"/>
      <c r="D21" s="580"/>
      <c r="E21" s="581"/>
      <c r="F21" s="778"/>
      <c r="G21" s="581"/>
      <c r="H21" s="581"/>
      <c r="I21" s="949"/>
      <c r="J21" s="949"/>
      <c r="K21" s="825"/>
      <c r="L21" s="575"/>
      <c r="M21" s="778"/>
      <c r="N21" s="575"/>
      <c r="O21" s="575"/>
      <c r="P21" s="575"/>
      <c r="Q21" s="575"/>
      <c r="R21" s="575"/>
      <c r="S21" s="575"/>
      <c r="T21" s="778"/>
      <c r="U21" s="575"/>
      <c r="V21" s="575"/>
      <c r="W21" s="575"/>
      <c r="X21" s="575"/>
      <c r="Y21" s="575"/>
      <c r="Z21" s="575"/>
      <c r="AA21" s="778"/>
      <c r="AB21" s="817"/>
      <c r="AC21" s="575"/>
      <c r="AD21" s="575"/>
      <c r="AE21" s="753"/>
      <c r="AF21" s="575"/>
      <c r="AG21" s="575"/>
      <c r="AH21" s="842"/>
      <c r="AI21" s="1013">
        <f t="shared" si="1"/>
        <v>0</v>
      </c>
      <c r="AJ21" s="949">
        <v>0</v>
      </c>
      <c r="AK21" s="581">
        <f t="shared" si="4"/>
        <v>0</v>
      </c>
      <c r="AL21" s="746"/>
      <c r="AM21" s="743">
        <f t="shared" si="5"/>
        <v>0</v>
      </c>
    </row>
    <row r="22" spans="1:45" s="560" customFormat="1">
      <c r="A22" s="604" t="s">
        <v>532</v>
      </c>
      <c r="B22" s="604" t="s">
        <v>1128</v>
      </c>
      <c r="C22" s="530" t="s">
        <v>63</v>
      </c>
      <c r="D22" s="586"/>
      <c r="E22" s="587"/>
      <c r="F22" s="783"/>
      <c r="G22" s="587"/>
      <c r="H22" s="807"/>
      <c r="I22" s="588"/>
      <c r="J22" s="588"/>
      <c r="K22" s="865"/>
      <c r="L22" s="575"/>
      <c r="M22" s="783"/>
      <c r="N22" s="575"/>
      <c r="O22" s="575"/>
      <c r="P22" s="575"/>
      <c r="Q22" s="575"/>
      <c r="R22" s="575"/>
      <c r="S22" s="575"/>
      <c r="T22" s="783"/>
      <c r="U22" s="575"/>
      <c r="V22" s="575"/>
      <c r="W22" s="575"/>
      <c r="X22" s="575"/>
      <c r="Y22" s="575"/>
      <c r="Z22" s="575"/>
      <c r="AA22" s="783"/>
      <c r="AB22" s="817"/>
      <c r="AC22" s="575"/>
      <c r="AD22" s="575"/>
      <c r="AE22" s="753"/>
      <c r="AF22" s="575"/>
      <c r="AG22" s="575"/>
      <c r="AH22" s="842"/>
      <c r="AI22" s="1013">
        <f t="shared" si="1"/>
        <v>0</v>
      </c>
      <c r="AJ22" s="949">
        <v>0</v>
      </c>
      <c r="AK22" s="581">
        <f t="shared" si="4"/>
        <v>0</v>
      </c>
      <c r="AL22" s="747" t="s">
        <v>1441</v>
      </c>
      <c r="AM22" s="743">
        <f t="shared" si="5"/>
        <v>1</v>
      </c>
    </row>
    <row r="23" spans="1:45" s="560" customFormat="1">
      <c r="A23" s="604" t="s">
        <v>533</v>
      </c>
      <c r="B23" s="610" t="s">
        <v>1130</v>
      </c>
      <c r="C23" s="530" t="s">
        <v>63</v>
      </c>
      <c r="D23" s="580"/>
      <c r="E23" s="581"/>
      <c r="F23" s="778"/>
      <c r="G23" s="581"/>
      <c r="H23" s="581"/>
      <c r="I23" s="949"/>
      <c r="J23" s="949"/>
      <c r="K23" s="825"/>
      <c r="L23" s="810"/>
      <c r="M23" s="778"/>
      <c r="N23" s="575"/>
      <c r="O23" s="575"/>
      <c r="P23" s="575"/>
      <c r="Q23" s="575"/>
      <c r="R23" s="575"/>
      <c r="S23" s="575"/>
      <c r="T23" s="778"/>
      <c r="U23" s="575"/>
      <c r="V23" s="575"/>
      <c r="W23" s="575"/>
      <c r="X23" s="575"/>
      <c r="Y23" s="575"/>
      <c r="Z23" s="575"/>
      <c r="AA23" s="778"/>
      <c r="AB23" s="817"/>
      <c r="AC23" s="575"/>
      <c r="AD23" s="575"/>
      <c r="AE23" s="753"/>
      <c r="AF23" s="575"/>
      <c r="AG23" s="575"/>
      <c r="AH23" s="842"/>
      <c r="AI23" s="1013">
        <f t="shared" si="1"/>
        <v>0</v>
      </c>
      <c r="AJ23" s="949">
        <v>0</v>
      </c>
      <c r="AK23" s="581">
        <f t="shared" si="4"/>
        <v>0</v>
      </c>
      <c r="AL23" s="746" t="s">
        <v>1441</v>
      </c>
      <c r="AM23" s="743">
        <f t="shared" si="5"/>
        <v>1</v>
      </c>
    </row>
    <row r="24" spans="1:45" s="560" customFormat="1">
      <c r="A24" s="492" t="s">
        <v>534</v>
      </c>
      <c r="B24" s="608" t="s">
        <v>1131</v>
      </c>
      <c r="C24" s="679"/>
      <c r="D24" s="580"/>
      <c r="E24" s="581"/>
      <c r="F24" s="778"/>
      <c r="G24" s="581"/>
      <c r="H24" s="581"/>
      <c r="I24" s="949"/>
      <c r="J24" s="949"/>
      <c r="K24" s="825"/>
      <c r="L24" s="575"/>
      <c r="M24" s="778"/>
      <c r="N24" s="575"/>
      <c r="O24" s="575"/>
      <c r="P24" s="575"/>
      <c r="Q24" s="575"/>
      <c r="R24" s="575"/>
      <c r="S24" s="575"/>
      <c r="T24" s="778"/>
      <c r="U24" s="575"/>
      <c r="V24" s="575"/>
      <c r="W24" s="575"/>
      <c r="X24" s="575"/>
      <c r="Y24" s="575"/>
      <c r="Z24" s="575"/>
      <c r="AA24" s="778"/>
      <c r="AB24" s="817"/>
      <c r="AC24" s="575"/>
      <c r="AD24" s="575"/>
      <c r="AE24" s="753"/>
      <c r="AF24" s="575"/>
      <c r="AG24" s="575"/>
      <c r="AH24" s="842"/>
      <c r="AI24" s="1013">
        <f t="shared" si="1"/>
        <v>0</v>
      </c>
      <c r="AJ24" s="949">
        <v>0</v>
      </c>
      <c r="AK24" s="581">
        <f t="shared" si="4"/>
        <v>0</v>
      </c>
      <c r="AL24" s="746"/>
      <c r="AM24" s="743">
        <f t="shared" si="5"/>
        <v>0</v>
      </c>
    </row>
    <row r="25" spans="1:45" s="560" customFormat="1">
      <c r="A25" s="604" t="s">
        <v>535</v>
      </c>
      <c r="B25" s="604" t="s">
        <v>1132</v>
      </c>
      <c r="C25" s="530" t="s">
        <v>36</v>
      </c>
      <c r="D25" s="580"/>
      <c r="E25" s="581"/>
      <c r="F25" s="778"/>
      <c r="G25" s="581"/>
      <c r="H25" s="581"/>
      <c r="I25" s="949"/>
      <c r="J25" s="949"/>
      <c r="K25" s="825"/>
      <c r="L25" s="575"/>
      <c r="M25" s="778"/>
      <c r="N25" s="575"/>
      <c r="O25" s="575"/>
      <c r="P25" s="575"/>
      <c r="Q25" s="575"/>
      <c r="R25" s="575"/>
      <c r="S25" s="575"/>
      <c r="T25" s="778"/>
      <c r="U25" s="575"/>
      <c r="V25" s="575"/>
      <c r="W25" s="575"/>
      <c r="X25" s="575"/>
      <c r="Y25" s="575"/>
      <c r="Z25" s="575"/>
      <c r="AA25" s="778"/>
      <c r="AB25" s="817"/>
      <c r="AC25" s="575"/>
      <c r="AD25" s="575"/>
      <c r="AE25" s="753"/>
      <c r="AF25" s="575"/>
      <c r="AG25" s="575"/>
      <c r="AH25" s="842"/>
      <c r="AI25" s="1013">
        <f t="shared" si="1"/>
        <v>0</v>
      </c>
      <c r="AJ25" s="949">
        <v>656.8</v>
      </c>
      <c r="AK25" s="581">
        <f t="shared" si="4"/>
        <v>656.8</v>
      </c>
      <c r="AL25" s="746" t="s">
        <v>1442</v>
      </c>
      <c r="AM25" s="743">
        <f t="shared" si="5"/>
        <v>0</v>
      </c>
    </row>
    <row r="26" spans="1:45" s="560" customFormat="1">
      <c r="A26" s="604" t="s">
        <v>536</v>
      </c>
      <c r="B26" s="604" t="s">
        <v>1805</v>
      </c>
      <c r="C26" s="530" t="s">
        <v>36</v>
      </c>
      <c r="D26" s="580"/>
      <c r="E26" s="581"/>
      <c r="F26" s="778"/>
      <c r="G26" s="581"/>
      <c r="H26" s="581"/>
      <c r="I26" s="949"/>
      <c r="J26" s="949"/>
      <c r="K26" s="825"/>
      <c r="L26" s="583"/>
      <c r="M26" s="778"/>
      <c r="N26" s="575"/>
      <c r="O26" s="575"/>
      <c r="P26" s="575"/>
      <c r="Q26" s="575"/>
      <c r="R26" s="575"/>
      <c r="S26" s="575"/>
      <c r="T26" s="778"/>
      <c r="U26" s="575"/>
      <c r="V26" s="575"/>
      <c r="W26" s="575"/>
      <c r="X26" s="810"/>
      <c r="Y26" s="575"/>
      <c r="Z26" s="575"/>
      <c r="AA26" s="778"/>
      <c r="AB26" s="817"/>
      <c r="AC26" s="575"/>
      <c r="AD26" s="575"/>
      <c r="AE26" s="753"/>
      <c r="AF26" s="575"/>
      <c r="AG26" s="575"/>
      <c r="AH26" s="842"/>
      <c r="AI26" s="1013">
        <f t="shared" si="1"/>
        <v>0</v>
      </c>
      <c r="AJ26" s="949">
        <v>154.35</v>
      </c>
      <c r="AK26" s="581">
        <f>AI26+AJ26</f>
        <v>154.35</v>
      </c>
      <c r="AL26" s="746" t="s">
        <v>1442</v>
      </c>
      <c r="AM26" s="743">
        <f>AL26-AK26</f>
        <v>502.44999999999993</v>
      </c>
      <c r="AO26" s="560">
        <f>AM19/15</f>
        <v>4.0266666666666655</v>
      </c>
    </row>
    <row r="27" spans="1:45" s="579" customFormat="1">
      <c r="A27" s="492" t="s">
        <v>537</v>
      </c>
      <c r="B27" s="608" t="s">
        <v>1133</v>
      </c>
      <c r="C27" s="679"/>
      <c r="D27" s="580"/>
      <c r="E27" s="581"/>
      <c r="F27" s="778"/>
      <c r="G27" s="581"/>
      <c r="H27" s="581"/>
      <c r="I27" s="949"/>
      <c r="J27" s="949"/>
      <c r="K27" s="825"/>
      <c r="L27" s="575"/>
      <c r="M27" s="778"/>
      <c r="N27" s="575"/>
      <c r="O27" s="575"/>
      <c r="P27" s="575"/>
      <c r="Q27" s="575"/>
      <c r="R27" s="575"/>
      <c r="S27" s="575"/>
      <c r="T27" s="778"/>
      <c r="U27" s="575"/>
      <c r="V27" s="575"/>
      <c r="W27" s="575"/>
      <c r="X27" s="575"/>
      <c r="Y27" s="575"/>
      <c r="Z27" s="575"/>
      <c r="AA27" s="778"/>
      <c r="AB27" s="817"/>
      <c r="AC27" s="575"/>
      <c r="AD27" s="575"/>
      <c r="AE27" s="753"/>
      <c r="AF27" s="575"/>
      <c r="AG27" s="575"/>
      <c r="AH27" s="842"/>
      <c r="AI27" s="1013">
        <f t="shared" si="1"/>
        <v>0</v>
      </c>
      <c r="AJ27" s="949">
        <v>0</v>
      </c>
      <c r="AK27" s="581">
        <f t="shared" si="4"/>
        <v>0</v>
      </c>
      <c r="AL27" s="746"/>
      <c r="AM27" s="743">
        <f t="shared" si="5"/>
        <v>0</v>
      </c>
    </row>
    <row r="28" spans="1:45" s="560" customFormat="1">
      <c r="A28" s="604" t="s">
        <v>538</v>
      </c>
      <c r="B28" s="610" t="s">
        <v>1134</v>
      </c>
      <c r="C28" s="530" t="s">
        <v>63</v>
      </c>
      <c r="D28" s="920"/>
      <c r="E28" s="949"/>
      <c r="F28" s="777"/>
      <c r="G28" s="949"/>
      <c r="H28" s="581"/>
      <c r="I28" s="949"/>
      <c r="J28" s="949"/>
      <c r="K28" s="825"/>
      <c r="L28" s="575"/>
      <c r="M28" s="777"/>
      <c r="N28" s="575"/>
      <c r="O28" s="575"/>
      <c r="P28" s="575"/>
      <c r="Q28" s="575"/>
      <c r="R28" s="575"/>
      <c r="S28" s="575"/>
      <c r="T28" s="777"/>
      <c r="U28" s="575"/>
      <c r="V28" s="575"/>
      <c r="W28" s="575"/>
      <c r="X28" s="575"/>
      <c r="Y28" s="575"/>
      <c r="Z28" s="575"/>
      <c r="AA28" s="777"/>
      <c r="AB28" s="817"/>
      <c r="AC28" s="575"/>
      <c r="AD28" s="575"/>
      <c r="AE28" s="753"/>
      <c r="AF28" s="575"/>
      <c r="AG28" s="575"/>
      <c r="AH28" s="842"/>
      <c r="AI28" s="1013">
        <f t="shared" si="1"/>
        <v>0</v>
      </c>
      <c r="AJ28" s="949">
        <v>0</v>
      </c>
      <c r="AK28" s="581">
        <f t="shared" si="4"/>
        <v>0</v>
      </c>
      <c r="AL28" s="746" t="s">
        <v>1441</v>
      </c>
      <c r="AM28" s="743">
        <f t="shared" si="5"/>
        <v>1</v>
      </c>
    </row>
    <row r="29" spans="1:45" s="560" customFormat="1">
      <c r="A29" s="604" t="s">
        <v>539</v>
      </c>
      <c r="B29" s="610" t="s">
        <v>1135</v>
      </c>
      <c r="C29" s="530" t="s">
        <v>35</v>
      </c>
      <c r="D29" s="920"/>
      <c r="E29" s="949"/>
      <c r="F29" s="777"/>
      <c r="G29" s="949"/>
      <c r="H29" s="581"/>
      <c r="I29" s="949"/>
      <c r="J29" s="949"/>
      <c r="K29" s="825"/>
      <c r="L29" s="583"/>
      <c r="M29" s="777"/>
      <c r="N29" s="575"/>
      <c r="O29" s="575"/>
      <c r="P29" s="575"/>
      <c r="Q29" s="575"/>
      <c r="R29" s="583"/>
      <c r="S29" s="575"/>
      <c r="T29" s="777"/>
      <c r="U29" s="575"/>
      <c r="V29" s="575"/>
      <c r="W29" s="575"/>
      <c r="X29" s="575"/>
      <c r="Y29" s="575"/>
      <c r="Z29" s="575"/>
      <c r="AA29" s="777"/>
      <c r="AB29" s="817"/>
      <c r="AC29" s="575"/>
      <c r="AD29" s="575"/>
      <c r="AE29" s="753"/>
      <c r="AF29" s="575"/>
      <c r="AG29" s="575"/>
      <c r="AH29" s="842"/>
      <c r="AI29" s="1013">
        <f t="shared" si="1"/>
        <v>0</v>
      </c>
      <c r="AJ29" s="949">
        <v>0</v>
      </c>
      <c r="AK29" s="581">
        <f t="shared" si="4"/>
        <v>0</v>
      </c>
      <c r="AL29" s="746" t="s">
        <v>1445</v>
      </c>
      <c r="AM29" s="743">
        <f t="shared" si="5"/>
        <v>30</v>
      </c>
    </row>
    <row r="30" spans="1:45" s="579" customFormat="1">
      <c r="A30" s="604" t="s">
        <v>540</v>
      </c>
      <c r="B30" s="610" t="s">
        <v>1136</v>
      </c>
      <c r="C30" s="530" t="s">
        <v>63</v>
      </c>
      <c r="D30" s="920"/>
      <c r="E30" s="949"/>
      <c r="F30" s="777"/>
      <c r="G30" s="949"/>
      <c r="H30" s="581"/>
      <c r="I30" s="949"/>
      <c r="J30" s="949"/>
      <c r="K30" s="825"/>
      <c r="L30" s="583"/>
      <c r="M30" s="777"/>
      <c r="N30" s="583"/>
      <c r="O30" s="583"/>
      <c r="P30" s="583"/>
      <c r="Q30" s="583"/>
      <c r="R30" s="583"/>
      <c r="S30" s="583"/>
      <c r="T30" s="777"/>
      <c r="U30" s="583"/>
      <c r="V30" s="583"/>
      <c r="W30" s="583"/>
      <c r="X30" s="583"/>
      <c r="Y30" s="583"/>
      <c r="Z30" s="575"/>
      <c r="AA30" s="777"/>
      <c r="AB30" s="817"/>
      <c r="AC30" s="575"/>
      <c r="AD30" s="575"/>
      <c r="AE30" s="753"/>
      <c r="AF30" s="575"/>
      <c r="AG30" s="575"/>
      <c r="AH30" s="842"/>
      <c r="AI30" s="1013">
        <f t="shared" si="1"/>
        <v>0</v>
      </c>
      <c r="AJ30" s="949">
        <v>0</v>
      </c>
      <c r="AK30" s="581">
        <f t="shared" si="4"/>
        <v>0</v>
      </c>
      <c r="AL30" s="746" t="s">
        <v>1441</v>
      </c>
      <c r="AM30" s="743">
        <f t="shared" si="5"/>
        <v>1</v>
      </c>
    </row>
    <row r="31" spans="1:45" s="560" customFormat="1">
      <c r="A31" s="604" t="s">
        <v>541</v>
      </c>
      <c r="B31" s="610" t="s">
        <v>1137</v>
      </c>
      <c r="C31" s="530" t="s">
        <v>63</v>
      </c>
      <c r="D31" s="920"/>
      <c r="E31" s="949"/>
      <c r="F31" s="777"/>
      <c r="G31" s="949"/>
      <c r="H31" s="581"/>
      <c r="I31" s="949"/>
      <c r="J31" s="949"/>
      <c r="K31" s="825"/>
      <c r="L31" s="575"/>
      <c r="M31" s="777"/>
      <c r="N31" s="575"/>
      <c r="O31" s="575"/>
      <c r="P31" s="575"/>
      <c r="Q31" s="575"/>
      <c r="R31" s="575"/>
      <c r="S31" s="575"/>
      <c r="T31" s="777"/>
      <c r="U31" s="575"/>
      <c r="V31" s="575"/>
      <c r="W31" s="575"/>
      <c r="X31" s="575"/>
      <c r="Y31" s="575"/>
      <c r="Z31" s="575"/>
      <c r="AA31" s="777"/>
      <c r="AB31" s="817"/>
      <c r="AC31" s="575"/>
      <c r="AD31" s="810"/>
      <c r="AE31" s="753"/>
      <c r="AF31" s="575"/>
      <c r="AG31" s="575"/>
      <c r="AH31" s="842"/>
      <c r="AI31" s="1013">
        <f t="shared" si="1"/>
        <v>0</v>
      </c>
      <c r="AJ31" s="949">
        <v>0</v>
      </c>
      <c r="AK31" s="581">
        <f t="shared" si="4"/>
        <v>0</v>
      </c>
      <c r="AL31" s="746" t="s">
        <v>1441</v>
      </c>
      <c r="AM31" s="743">
        <f t="shared" si="5"/>
        <v>1</v>
      </c>
    </row>
    <row r="32" spans="1:45" s="560" customFormat="1">
      <c r="A32" s="604" t="s">
        <v>542</v>
      </c>
      <c r="B32" s="610" t="s">
        <v>1138</v>
      </c>
      <c r="C32" s="530" t="s">
        <v>63</v>
      </c>
      <c r="D32" s="920"/>
      <c r="E32" s="949"/>
      <c r="F32" s="777"/>
      <c r="G32" s="949"/>
      <c r="H32" s="581"/>
      <c r="I32" s="949"/>
      <c r="J32" s="949"/>
      <c r="K32" s="825"/>
      <c r="L32" s="575"/>
      <c r="M32" s="777"/>
      <c r="N32" s="575"/>
      <c r="O32" s="575"/>
      <c r="P32" s="575"/>
      <c r="Q32" s="575"/>
      <c r="R32" s="575"/>
      <c r="S32" s="575"/>
      <c r="T32" s="777"/>
      <c r="U32" s="575"/>
      <c r="V32" s="575"/>
      <c r="W32" s="575"/>
      <c r="X32" s="575"/>
      <c r="Y32" s="575"/>
      <c r="Z32" s="575"/>
      <c r="AA32" s="777"/>
      <c r="AB32" s="817"/>
      <c r="AC32" s="575"/>
      <c r="AD32" s="575"/>
      <c r="AE32" s="753"/>
      <c r="AF32" s="575"/>
      <c r="AG32" s="575"/>
      <c r="AH32" s="842"/>
      <c r="AI32" s="1013">
        <f t="shared" si="1"/>
        <v>0</v>
      </c>
      <c r="AJ32" s="949">
        <v>0</v>
      </c>
      <c r="AK32" s="581">
        <f t="shared" si="4"/>
        <v>0</v>
      </c>
      <c r="AL32" s="746" t="s">
        <v>1441</v>
      </c>
      <c r="AM32" s="743">
        <f t="shared" si="5"/>
        <v>1</v>
      </c>
    </row>
    <row r="33" spans="1:39" s="560" customFormat="1" ht="13.8" thickBot="1">
      <c r="A33" s="604" t="s">
        <v>543</v>
      </c>
      <c r="B33" s="610" t="s">
        <v>1139</v>
      </c>
      <c r="C33" s="530" t="s">
        <v>63</v>
      </c>
      <c r="D33" s="949"/>
      <c r="E33" s="588"/>
      <c r="F33" s="777"/>
      <c r="G33" s="588"/>
      <c r="H33" s="587"/>
      <c r="I33" s="588"/>
      <c r="J33" s="588"/>
      <c r="K33" s="865"/>
      <c r="L33" s="575"/>
      <c r="M33" s="777"/>
      <c r="N33" s="575"/>
      <c r="O33" s="575"/>
      <c r="P33" s="575"/>
      <c r="Q33" s="575"/>
      <c r="R33" s="575"/>
      <c r="S33" s="575"/>
      <c r="T33" s="777"/>
      <c r="U33" s="575"/>
      <c r="V33" s="575"/>
      <c r="W33" s="575"/>
      <c r="X33" s="575"/>
      <c r="Y33" s="575"/>
      <c r="Z33" s="575"/>
      <c r="AA33" s="777"/>
      <c r="AB33" s="817"/>
      <c r="AC33" s="575"/>
      <c r="AD33" s="575"/>
      <c r="AE33" s="753"/>
      <c r="AF33" s="575"/>
      <c r="AG33" s="575"/>
      <c r="AH33" s="842"/>
      <c r="AI33" s="1013">
        <f t="shared" si="1"/>
        <v>0</v>
      </c>
      <c r="AJ33" s="949">
        <v>0</v>
      </c>
      <c r="AK33" s="581">
        <f t="shared" si="4"/>
        <v>0</v>
      </c>
      <c r="AL33" s="747" t="s">
        <v>1441</v>
      </c>
      <c r="AM33" s="743">
        <f t="shared" si="5"/>
        <v>1</v>
      </c>
    </row>
    <row r="34" spans="1:39" s="560" customFormat="1">
      <c r="A34" s="606" t="s">
        <v>41</v>
      </c>
      <c r="B34" s="606" t="s">
        <v>1140</v>
      </c>
      <c r="C34" s="679"/>
      <c r="D34" s="580"/>
      <c r="E34" s="581"/>
      <c r="F34" s="778"/>
      <c r="G34" s="581"/>
      <c r="H34" s="581"/>
      <c r="I34" s="949"/>
      <c r="J34" s="949"/>
      <c r="K34" s="825"/>
      <c r="L34" s="575"/>
      <c r="M34" s="778"/>
      <c r="N34" s="575"/>
      <c r="O34" s="575"/>
      <c r="P34" s="575"/>
      <c r="Q34" s="575"/>
      <c r="R34" s="575"/>
      <c r="S34" s="575"/>
      <c r="T34" s="778"/>
      <c r="U34" s="575"/>
      <c r="V34" s="575"/>
      <c r="W34" s="575"/>
      <c r="X34" s="575"/>
      <c r="Y34" s="575"/>
      <c r="Z34" s="575"/>
      <c r="AA34" s="778"/>
      <c r="AB34" s="817"/>
      <c r="AC34" s="575"/>
      <c r="AD34" s="575"/>
      <c r="AE34" s="753"/>
      <c r="AF34" s="575"/>
      <c r="AG34" s="575"/>
      <c r="AH34" s="842"/>
      <c r="AI34" s="1013">
        <f t="shared" si="1"/>
        <v>0</v>
      </c>
      <c r="AJ34" s="949">
        <v>0</v>
      </c>
      <c r="AK34" s="581">
        <f t="shared" si="4"/>
        <v>0</v>
      </c>
      <c r="AL34" s="746"/>
      <c r="AM34" s="743">
        <f t="shared" si="5"/>
        <v>0</v>
      </c>
    </row>
    <row r="35" spans="1:39" s="579" customFormat="1">
      <c r="A35" s="492" t="s">
        <v>42</v>
      </c>
      <c r="B35" s="608" t="s">
        <v>1141</v>
      </c>
      <c r="C35" s="679"/>
      <c r="D35" s="580"/>
      <c r="E35" s="581"/>
      <c r="F35" s="778"/>
      <c r="G35" s="581"/>
      <c r="H35" s="581"/>
      <c r="I35" s="949"/>
      <c r="J35" s="949"/>
      <c r="K35" s="825"/>
      <c r="L35" s="575"/>
      <c r="M35" s="778"/>
      <c r="N35" s="575"/>
      <c r="O35" s="575"/>
      <c r="P35" s="575"/>
      <c r="Q35" s="575"/>
      <c r="R35" s="575"/>
      <c r="S35" s="575"/>
      <c r="T35" s="778"/>
      <c r="U35" s="575"/>
      <c r="V35" s="575"/>
      <c r="W35" s="575"/>
      <c r="X35" s="575"/>
      <c r="Y35" s="575"/>
      <c r="Z35" s="575"/>
      <c r="AA35" s="778"/>
      <c r="AB35" s="817"/>
      <c r="AC35" s="575"/>
      <c r="AD35" s="575"/>
      <c r="AE35" s="753"/>
      <c r="AF35" s="575"/>
      <c r="AG35" s="575"/>
      <c r="AH35" s="842"/>
      <c r="AI35" s="1013">
        <f t="shared" si="1"/>
        <v>0</v>
      </c>
      <c r="AJ35" s="949">
        <v>0</v>
      </c>
      <c r="AK35" s="581">
        <f t="shared" si="4"/>
        <v>0</v>
      </c>
      <c r="AL35" s="746"/>
      <c r="AM35" s="743">
        <f t="shared" si="5"/>
        <v>0</v>
      </c>
    </row>
    <row r="36" spans="1:39" s="579" customFormat="1">
      <c r="A36" s="607" t="s">
        <v>52</v>
      </c>
      <c r="B36" s="607" t="s">
        <v>45</v>
      </c>
      <c r="C36" s="679"/>
      <c r="D36" s="680"/>
      <c r="E36" s="581"/>
      <c r="F36" s="778"/>
      <c r="G36" s="581"/>
      <c r="H36" s="581"/>
      <c r="I36" s="949"/>
      <c r="J36" s="949"/>
      <c r="K36" s="825"/>
      <c r="L36" s="575"/>
      <c r="M36" s="778"/>
      <c r="N36" s="575"/>
      <c r="O36" s="575"/>
      <c r="P36" s="575"/>
      <c r="Q36" s="575"/>
      <c r="R36" s="575"/>
      <c r="S36" s="575"/>
      <c r="T36" s="778"/>
      <c r="U36" s="575"/>
      <c r="V36" s="575"/>
      <c r="W36" s="575"/>
      <c r="X36" s="575"/>
      <c r="Y36" s="575"/>
      <c r="Z36" s="575"/>
      <c r="AA36" s="778"/>
      <c r="AB36" s="817"/>
      <c r="AC36" s="575"/>
      <c r="AD36" s="575"/>
      <c r="AE36" s="753"/>
      <c r="AF36" s="575"/>
      <c r="AG36" s="575"/>
      <c r="AH36" s="842"/>
      <c r="AI36" s="1013">
        <f t="shared" si="1"/>
        <v>0</v>
      </c>
      <c r="AJ36" s="949"/>
      <c r="AK36" s="581"/>
      <c r="AL36" s="746"/>
      <c r="AM36" s="743"/>
    </row>
    <row r="37" spans="1:39" s="579" customFormat="1">
      <c r="A37" s="604" t="s">
        <v>544</v>
      </c>
      <c r="B37" s="604" t="s">
        <v>1142</v>
      </c>
      <c r="C37" s="530" t="s">
        <v>39</v>
      </c>
      <c r="D37" s="613"/>
      <c r="E37" s="581"/>
      <c r="F37" s="778"/>
      <c r="G37" s="581"/>
      <c r="H37" s="581"/>
      <c r="I37" s="949"/>
      <c r="J37" s="949"/>
      <c r="K37" s="825"/>
      <c r="L37" s="575"/>
      <c r="M37" s="778"/>
      <c r="N37" s="575"/>
      <c r="O37" s="575"/>
      <c r="P37" s="575"/>
      <c r="Q37" s="575"/>
      <c r="R37" s="575"/>
      <c r="S37" s="575"/>
      <c r="T37" s="778"/>
      <c r="U37" s="575"/>
      <c r="V37" s="575"/>
      <c r="W37" s="575"/>
      <c r="X37" s="575"/>
      <c r="Y37" s="575"/>
      <c r="Z37" s="575"/>
      <c r="AA37" s="778"/>
      <c r="AB37" s="817"/>
      <c r="AC37" s="575"/>
      <c r="AD37" s="575"/>
      <c r="AE37" s="753"/>
      <c r="AF37" s="575"/>
      <c r="AG37" s="575"/>
      <c r="AH37" s="842"/>
      <c r="AI37" s="1013">
        <f t="shared" si="1"/>
        <v>0</v>
      </c>
      <c r="AJ37" s="949"/>
      <c r="AK37" s="581"/>
      <c r="AL37" s="746"/>
      <c r="AM37" s="743"/>
    </row>
    <row r="38" spans="1:39" s="579" customFormat="1">
      <c r="A38" s="604" t="s">
        <v>545</v>
      </c>
      <c r="B38" s="604" t="s">
        <v>1143</v>
      </c>
      <c r="C38" s="530" t="s">
        <v>39</v>
      </c>
      <c r="D38" s="613"/>
      <c r="E38" s="581"/>
      <c r="F38" s="778"/>
      <c r="G38" s="581"/>
      <c r="H38" s="581"/>
      <c r="I38" s="949"/>
      <c r="J38" s="949"/>
      <c r="K38" s="825"/>
      <c r="L38" s="575"/>
      <c r="M38" s="778"/>
      <c r="N38" s="575"/>
      <c r="O38" s="575"/>
      <c r="P38" s="575"/>
      <c r="Q38" s="575"/>
      <c r="R38" s="575"/>
      <c r="S38" s="575"/>
      <c r="T38" s="778"/>
      <c r="U38" s="575"/>
      <c r="V38" s="575"/>
      <c r="W38" s="575"/>
      <c r="X38" s="575"/>
      <c r="Y38" s="575"/>
      <c r="Z38" s="575"/>
      <c r="AA38" s="778"/>
      <c r="AB38" s="817"/>
      <c r="AC38" s="575"/>
      <c r="AD38" s="575"/>
      <c r="AE38" s="753"/>
      <c r="AF38" s="575"/>
      <c r="AG38" s="575"/>
      <c r="AH38" s="842"/>
      <c r="AI38" s="1013">
        <f t="shared" si="1"/>
        <v>0</v>
      </c>
      <c r="AJ38" s="949"/>
      <c r="AK38" s="581"/>
      <c r="AL38" s="746"/>
      <c r="AM38" s="743"/>
    </row>
    <row r="39" spans="1:39" s="579" customFormat="1">
      <c r="A39" s="604" t="s">
        <v>546</v>
      </c>
      <c r="B39" s="604" t="s">
        <v>1144</v>
      </c>
      <c r="C39" s="530" t="s">
        <v>39</v>
      </c>
      <c r="D39" s="613"/>
      <c r="E39" s="581"/>
      <c r="F39" s="778"/>
      <c r="G39" s="581"/>
      <c r="H39" s="581"/>
      <c r="I39" s="949"/>
      <c r="J39" s="949"/>
      <c r="K39" s="825"/>
      <c r="L39" s="575"/>
      <c r="M39" s="778"/>
      <c r="N39" s="575"/>
      <c r="O39" s="575"/>
      <c r="P39" s="575"/>
      <c r="Q39" s="575"/>
      <c r="R39" s="575"/>
      <c r="S39" s="575"/>
      <c r="T39" s="778"/>
      <c r="U39" s="575"/>
      <c r="V39" s="575"/>
      <c r="W39" s="575"/>
      <c r="X39" s="575"/>
      <c r="Y39" s="575"/>
      <c r="Z39" s="575"/>
      <c r="AA39" s="778"/>
      <c r="AB39" s="817"/>
      <c r="AC39" s="575"/>
      <c r="AD39" s="575"/>
      <c r="AE39" s="753"/>
      <c r="AF39" s="575"/>
      <c r="AG39" s="575"/>
      <c r="AH39" s="842"/>
      <c r="AI39" s="1013">
        <f t="shared" si="1"/>
        <v>0</v>
      </c>
      <c r="AJ39" s="949"/>
      <c r="AK39" s="581"/>
      <c r="AL39" s="746"/>
      <c r="AM39" s="743"/>
    </row>
    <row r="40" spans="1:39" s="560" customFormat="1">
      <c r="A40" s="604" t="s">
        <v>547</v>
      </c>
      <c r="B40" s="604" t="s">
        <v>1145</v>
      </c>
      <c r="C40" s="530" t="s">
        <v>36</v>
      </c>
      <c r="D40" s="580"/>
      <c r="E40" s="581"/>
      <c r="F40" s="778"/>
      <c r="G40" s="581"/>
      <c r="H40" s="581"/>
      <c r="I40" s="949"/>
      <c r="J40" s="949"/>
      <c r="K40" s="825"/>
      <c r="L40" s="575"/>
      <c r="M40" s="778"/>
      <c r="N40" s="575"/>
      <c r="O40" s="575"/>
      <c r="P40" s="575"/>
      <c r="Q40" s="575"/>
      <c r="R40" s="575"/>
      <c r="S40" s="575"/>
      <c r="T40" s="778"/>
      <c r="U40" s="575"/>
      <c r="V40" s="575"/>
      <c r="W40" s="575"/>
      <c r="X40" s="575"/>
      <c r="Y40" s="575"/>
      <c r="Z40" s="575"/>
      <c r="AA40" s="778"/>
      <c r="AB40" s="817"/>
      <c r="AC40" s="575"/>
      <c r="AD40" s="575"/>
      <c r="AE40" s="753"/>
      <c r="AF40" s="575"/>
      <c r="AG40" s="575"/>
      <c r="AH40" s="842"/>
      <c r="AI40" s="1013">
        <f t="shared" si="1"/>
        <v>0</v>
      </c>
      <c r="AJ40" s="949">
        <v>0</v>
      </c>
      <c r="AK40" s="581">
        <f t="shared" si="4"/>
        <v>0</v>
      </c>
      <c r="AL40" s="746" t="s">
        <v>1449</v>
      </c>
      <c r="AM40" s="743">
        <f t="shared" si="5"/>
        <v>26.03</v>
      </c>
    </row>
    <row r="41" spans="1:39" s="560" customFormat="1">
      <c r="A41" s="604" t="s">
        <v>548</v>
      </c>
      <c r="B41" s="604" t="s">
        <v>1146</v>
      </c>
      <c r="C41" s="530" t="s">
        <v>39</v>
      </c>
      <c r="D41" s="586"/>
      <c r="E41" s="587"/>
      <c r="F41" s="783"/>
      <c r="G41" s="587"/>
      <c r="H41" s="587"/>
      <c r="I41" s="588"/>
      <c r="J41" s="588"/>
      <c r="K41" s="865"/>
      <c r="L41" s="575"/>
      <c r="M41" s="783"/>
      <c r="N41" s="575"/>
      <c r="O41" s="575"/>
      <c r="P41" s="575"/>
      <c r="Q41" s="575"/>
      <c r="R41" s="575"/>
      <c r="S41" s="575"/>
      <c r="T41" s="783"/>
      <c r="U41" s="575"/>
      <c r="V41" s="575"/>
      <c r="W41" s="575"/>
      <c r="X41" s="575"/>
      <c r="Y41" s="575"/>
      <c r="Z41" s="575"/>
      <c r="AA41" s="783"/>
      <c r="AB41" s="817"/>
      <c r="AC41" s="575"/>
      <c r="AD41" s="575"/>
      <c r="AE41" s="753"/>
      <c r="AF41" s="575"/>
      <c r="AG41" s="575"/>
      <c r="AH41" s="842"/>
      <c r="AI41" s="1013">
        <f t="shared" si="1"/>
        <v>0</v>
      </c>
      <c r="AJ41" s="949">
        <v>0</v>
      </c>
      <c r="AK41" s="581">
        <f t="shared" si="4"/>
        <v>0</v>
      </c>
      <c r="AL41" s="747" t="s">
        <v>1450</v>
      </c>
      <c r="AM41" s="743">
        <f t="shared" si="5"/>
        <v>27.56</v>
      </c>
    </row>
    <row r="42" spans="1:39" s="560" customFormat="1">
      <c r="A42" s="604" t="s">
        <v>549</v>
      </c>
      <c r="B42" s="604" t="s">
        <v>1147</v>
      </c>
      <c r="C42" s="614" t="s">
        <v>39</v>
      </c>
      <c r="D42" s="580"/>
      <c r="E42" s="581"/>
      <c r="F42" s="778"/>
      <c r="G42" s="581"/>
      <c r="H42" s="581"/>
      <c r="I42" s="949"/>
      <c r="J42" s="949"/>
      <c r="K42" s="825"/>
      <c r="L42" s="575"/>
      <c r="M42" s="778"/>
      <c r="N42" s="575"/>
      <c r="O42" s="575"/>
      <c r="P42" s="575"/>
      <c r="Q42" s="575"/>
      <c r="R42" s="575"/>
      <c r="S42" s="575"/>
      <c r="T42" s="778"/>
      <c r="U42" s="575"/>
      <c r="V42" s="575"/>
      <c r="W42" s="575"/>
      <c r="X42" s="575"/>
      <c r="Y42" s="575"/>
      <c r="Z42" s="575"/>
      <c r="AA42" s="778"/>
      <c r="AB42" s="817"/>
      <c r="AC42" s="575"/>
      <c r="AD42" s="575"/>
      <c r="AE42" s="753"/>
      <c r="AF42" s="575"/>
      <c r="AG42" s="575"/>
      <c r="AH42" s="842"/>
      <c r="AI42" s="1013">
        <f t="shared" si="1"/>
        <v>0</v>
      </c>
      <c r="AJ42" s="949">
        <v>0</v>
      </c>
      <c r="AK42" s="581">
        <f t="shared" si="4"/>
        <v>0</v>
      </c>
      <c r="AL42" s="746" t="s">
        <v>1450</v>
      </c>
      <c r="AM42" s="743">
        <f t="shared" si="5"/>
        <v>27.56</v>
      </c>
    </row>
    <row r="43" spans="1:39" s="560" customFormat="1">
      <c r="A43" s="607" t="s">
        <v>550</v>
      </c>
      <c r="B43" s="607" t="s">
        <v>1148</v>
      </c>
      <c r="C43" s="679"/>
      <c r="D43" s="580"/>
      <c r="E43" s="581"/>
      <c r="F43" s="778"/>
      <c r="G43" s="581"/>
      <c r="H43" s="581"/>
      <c r="I43" s="949"/>
      <c r="J43" s="949"/>
      <c r="K43" s="825"/>
      <c r="L43" s="575"/>
      <c r="M43" s="778"/>
      <c r="N43" s="575"/>
      <c r="O43" s="575"/>
      <c r="P43" s="575"/>
      <c r="Q43" s="575"/>
      <c r="R43" s="575"/>
      <c r="S43" s="575"/>
      <c r="T43" s="778"/>
      <c r="U43" s="575"/>
      <c r="V43" s="575"/>
      <c r="W43" s="575"/>
      <c r="X43" s="575"/>
      <c r="Y43" s="575"/>
      <c r="Z43" s="575"/>
      <c r="AA43" s="778"/>
      <c r="AB43" s="817"/>
      <c r="AC43" s="575"/>
      <c r="AD43" s="575"/>
      <c r="AE43" s="753"/>
      <c r="AF43" s="575"/>
      <c r="AG43" s="575"/>
      <c r="AH43" s="842"/>
      <c r="AI43" s="1013">
        <f t="shared" si="1"/>
        <v>0</v>
      </c>
      <c r="AJ43" s="949">
        <v>0</v>
      </c>
      <c r="AK43" s="581">
        <f t="shared" si="4"/>
        <v>0</v>
      </c>
      <c r="AL43" s="746"/>
      <c r="AM43" s="743">
        <f t="shared" si="5"/>
        <v>0</v>
      </c>
    </row>
    <row r="44" spans="1:39" s="560" customFormat="1">
      <c r="A44" s="604" t="s">
        <v>551</v>
      </c>
      <c r="B44" s="604" t="s">
        <v>1149</v>
      </c>
      <c r="C44" s="530" t="s">
        <v>39</v>
      </c>
      <c r="D44" s="580"/>
      <c r="E44" s="581"/>
      <c r="F44" s="778"/>
      <c r="G44" s="581"/>
      <c r="H44" s="581"/>
      <c r="I44" s="949"/>
      <c r="J44" s="949"/>
      <c r="K44" s="825"/>
      <c r="L44" s="575"/>
      <c r="M44" s="778"/>
      <c r="N44" s="575"/>
      <c r="O44" s="575"/>
      <c r="P44" s="575"/>
      <c r="Q44" s="575"/>
      <c r="R44" s="575"/>
      <c r="S44" s="575"/>
      <c r="T44" s="778"/>
      <c r="U44" s="575"/>
      <c r="V44" s="575"/>
      <c r="W44" s="575"/>
      <c r="X44" s="575"/>
      <c r="Y44" s="575"/>
      <c r="Z44" s="575"/>
      <c r="AA44" s="778"/>
      <c r="AB44" s="817"/>
      <c r="AC44" s="575"/>
      <c r="AD44" s="575"/>
      <c r="AE44" s="753"/>
      <c r="AF44" s="575"/>
      <c r="AG44" s="575"/>
      <c r="AH44" s="842"/>
      <c r="AI44" s="1013">
        <f t="shared" si="1"/>
        <v>0</v>
      </c>
      <c r="AJ44" s="949">
        <v>0</v>
      </c>
      <c r="AK44" s="581">
        <f t="shared" si="4"/>
        <v>0</v>
      </c>
      <c r="AL44" s="746" t="s">
        <v>1451</v>
      </c>
      <c r="AM44" s="743">
        <f t="shared" si="5"/>
        <v>7.7</v>
      </c>
    </row>
    <row r="45" spans="1:39" s="560" customFormat="1">
      <c r="A45" s="604" t="s">
        <v>552</v>
      </c>
      <c r="B45" s="604" t="s">
        <v>1150</v>
      </c>
      <c r="C45" s="530" t="s">
        <v>36</v>
      </c>
      <c r="D45" s="580"/>
      <c r="E45" s="581"/>
      <c r="F45" s="778"/>
      <c r="G45" s="581"/>
      <c r="H45" s="581"/>
      <c r="I45" s="949"/>
      <c r="J45" s="949"/>
      <c r="K45" s="825"/>
      <c r="L45" s="575"/>
      <c r="M45" s="778"/>
      <c r="N45" s="575"/>
      <c r="O45" s="575"/>
      <c r="P45" s="575"/>
      <c r="Q45" s="575"/>
      <c r="R45" s="575"/>
      <c r="S45" s="575"/>
      <c r="T45" s="778"/>
      <c r="U45" s="575"/>
      <c r="V45" s="575"/>
      <c r="W45" s="575"/>
      <c r="X45" s="575"/>
      <c r="Y45" s="575"/>
      <c r="Z45" s="575"/>
      <c r="AA45" s="778"/>
      <c r="AB45" s="817"/>
      <c r="AC45" s="575"/>
      <c r="AD45" s="575"/>
      <c r="AE45" s="753"/>
      <c r="AF45" s="575"/>
      <c r="AG45" s="575"/>
      <c r="AH45" s="842"/>
      <c r="AI45" s="1013">
        <f t="shared" si="1"/>
        <v>0</v>
      </c>
      <c r="AJ45" s="949">
        <v>0</v>
      </c>
      <c r="AK45" s="581">
        <f t="shared" si="4"/>
        <v>0</v>
      </c>
      <c r="AL45" s="746" t="s">
        <v>1452</v>
      </c>
      <c r="AM45" s="743">
        <f t="shared" si="5"/>
        <v>13.46</v>
      </c>
    </row>
    <row r="46" spans="1:39" s="560" customFormat="1">
      <c r="A46" s="604" t="s">
        <v>553</v>
      </c>
      <c r="B46" s="604" t="s">
        <v>1151</v>
      </c>
      <c r="C46" s="530" t="s">
        <v>39</v>
      </c>
      <c r="D46" s="580"/>
      <c r="E46" s="581"/>
      <c r="F46" s="778"/>
      <c r="G46" s="581"/>
      <c r="H46" s="581"/>
      <c r="I46" s="949"/>
      <c r="J46" s="949"/>
      <c r="K46" s="825"/>
      <c r="L46" s="575"/>
      <c r="M46" s="778"/>
      <c r="N46" s="575"/>
      <c r="O46" s="575"/>
      <c r="P46" s="575"/>
      <c r="Q46" s="575"/>
      <c r="R46" s="575"/>
      <c r="S46" s="575"/>
      <c r="T46" s="778"/>
      <c r="U46" s="575"/>
      <c r="V46" s="575"/>
      <c r="W46" s="575"/>
      <c r="X46" s="575"/>
      <c r="Y46" s="575"/>
      <c r="Z46" s="575"/>
      <c r="AA46" s="778"/>
      <c r="AB46" s="817"/>
      <c r="AC46" s="575"/>
      <c r="AD46" s="575"/>
      <c r="AE46" s="753"/>
      <c r="AF46" s="575"/>
      <c r="AG46" s="575"/>
      <c r="AH46" s="842"/>
      <c r="AI46" s="1013">
        <f t="shared" si="1"/>
        <v>0</v>
      </c>
      <c r="AJ46" s="949">
        <v>0</v>
      </c>
      <c r="AK46" s="581">
        <f t="shared" si="4"/>
        <v>0</v>
      </c>
      <c r="AL46" s="746" t="s">
        <v>1453</v>
      </c>
      <c r="AM46" s="743">
        <f t="shared" si="5"/>
        <v>2.97</v>
      </c>
    </row>
    <row r="47" spans="1:39" s="560" customFormat="1">
      <c r="A47" s="604" t="s">
        <v>554</v>
      </c>
      <c r="B47" s="604" t="s">
        <v>1152</v>
      </c>
      <c r="C47" s="530" t="s">
        <v>39</v>
      </c>
      <c r="D47" s="580"/>
      <c r="E47" s="581"/>
      <c r="F47" s="778"/>
      <c r="G47" s="581"/>
      <c r="H47" s="581"/>
      <c r="I47" s="949"/>
      <c r="J47" s="949"/>
      <c r="K47" s="825"/>
      <c r="L47" s="575"/>
      <c r="M47" s="778"/>
      <c r="N47" s="575"/>
      <c r="O47" s="575"/>
      <c r="P47" s="575"/>
      <c r="Q47" s="575"/>
      <c r="R47" s="575"/>
      <c r="S47" s="575"/>
      <c r="T47" s="778"/>
      <c r="U47" s="575"/>
      <c r="V47" s="575"/>
      <c r="W47" s="575"/>
      <c r="X47" s="575"/>
      <c r="Y47" s="575"/>
      <c r="Z47" s="575"/>
      <c r="AA47" s="778"/>
      <c r="AB47" s="817"/>
      <c r="AC47" s="575"/>
      <c r="AD47" s="575"/>
      <c r="AE47" s="753"/>
      <c r="AF47" s="575"/>
      <c r="AG47" s="575"/>
      <c r="AH47" s="842"/>
      <c r="AI47" s="1013">
        <f t="shared" si="1"/>
        <v>0</v>
      </c>
      <c r="AJ47" s="949">
        <v>0</v>
      </c>
      <c r="AK47" s="581">
        <f t="shared" si="4"/>
        <v>0</v>
      </c>
      <c r="AL47" s="746" t="s">
        <v>1454</v>
      </c>
      <c r="AM47" s="743">
        <f t="shared" si="5"/>
        <v>0.84</v>
      </c>
    </row>
    <row r="48" spans="1:39" s="560" customFormat="1">
      <c r="A48" s="604" t="s">
        <v>555</v>
      </c>
      <c r="B48" s="604" t="s">
        <v>1153</v>
      </c>
      <c r="C48" s="530" t="s">
        <v>36</v>
      </c>
      <c r="D48" s="580"/>
      <c r="E48" s="581"/>
      <c r="F48" s="778"/>
      <c r="G48" s="581"/>
      <c r="H48" s="581"/>
      <c r="I48" s="949"/>
      <c r="J48" s="949"/>
      <c r="K48" s="825"/>
      <c r="L48" s="575"/>
      <c r="M48" s="778"/>
      <c r="N48" s="575"/>
      <c r="O48" s="575"/>
      <c r="P48" s="575"/>
      <c r="Q48" s="575"/>
      <c r="R48" s="575"/>
      <c r="S48" s="575"/>
      <c r="T48" s="778"/>
      <c r="U48" s="575"/>
      <c r="V48" s="575"/>
      <c r="W48" s="575"/>
      <c r="X48" s="575"/>
      <c r="Y48" s="575"/>
      <c r="Z48" s="575"/>
      <c r="AA48" s="778"/>
      <c r="AB48" s="817"/>
      <c r="AC48" s="575"/>
      <c r="AD48" s="575"/>
      <c r="AE48" s="753"/>
      <c r="AF48" s="575"/>
      <c r="AG48" s="575"/>
      <c r="AH48" s="842"/>
      <c r="AI48" s="1013">
        <f t="shared" si="1"/>
        <v>0</v>
      </c>
      <c r="AJ48" s="949">
        <v>0</v>
      </c>
      <c r="AK48" s="581">
        <f t="shared" si="4"/>
        <v>0</v>
      </c>
      <c r="AL48" s="746" t="s">
        <v>1455</v>
      </c>
      <c r="AM48" s="743">
        <f t="shared" si="5"/>
        <v>23.65</v>
      </c>
    </row>
    <row r="49" spans="1:39" s="560" customFormat="1">
      <c r="A49" s="604" t="s">
        <v>556</v>
      </c>
      <c r="B49" s="604" t="s">
        <v>1154</v>
      </c>
      <c r="C49" s="530" t="s">
        <v>36</v>
      </c>
      <c r="D49" s="580"/>
      <c r="E49" s="581"/>
      <c r="F49" s="778"/>
      <c r="G49" s="581"/>
      <c r="H49" s="581"/>
      <c r="I49" s="949"/>
      <c r="J49" s="949"/>
      <c r="K49" s="825"/>
      <c r="L49" s="575"/>
      <c r="M49" s="778"/>
      <c r="N49" s="575"/>
      <c r="O49" s="575"/>
      <c r="P49" s="575"/>
      <c r="Q49" s="575"/>
      <c r="R49" s="575"/>
      <c r="S49" s="575"/>
      <c r="T49" s="778"/>
      <c r="U49" s="575"/>
      <c r="V49" s="575"/>
      <c r="W49" s="575"/>
      <c r="X49" s="575"/>
      <c r="Y49" s="575"/>
      <c r="Z49" s="575"/>
      <c r="AA49" s="778"/>
      <c r="AB49" s="817"/>
      <c r="AC49" s="575"/>
      <c r="AD49" s="575"/>
      <c r="AE49" s="753"/>
      <c r="AF49" s="575"/>
      <c r="AG49" s="575"/>
      <c r="AH49" s="842"/>
      <c r="AI49" s="1013">
        <f t="shared" si="1"/>
        <v>0</v>
      </c>
      <c r="AJ49" s="949">
        <v>0</v>
      </c>
      <c r="AK49" s="581">
        <f t="shared" si="4"/>
        <v>0</v>
      </c>
      <c r="AL49" s="746" t="s">
        <v>1449</v>
      </c>
      <c r="AM49" s="743">
        <f t="shared" si="5"/>
        <v>26.03</v>
      </c>
    </row>
    <row r="50" spans="1:39" s="560" customFormat="1">
      <c r="A50" s="607" t="s">
        <v>557</v>
      </c>
      <c r="B50" s="607" t="s">
        <v>1155</v>
      </c>
      <c r="C50" s="679"/>
      <c r="D50" s="580"/>
      <c r="E50" s="581"/>
      <c r="F50" s="778"/>
      <c r="G50" s="581"/>
      <c r="H50" s="581"/>
      <c r="I50" s="949"/>
      <c r="J50" s="949"/>
      <c r="K50" s="825"/>
      <c r="L50" s="575"/>
      <c r="M50" s="778"/>
      <c r="N50" s="575"/>
      <c r="O50" s="575"/>
      <c r="P50" s="575"/>
      <c r="Q50" s="575"/>
      <c r="R50" s="575"/>
      <c r="S50" s="575"/>
      <c r="T50" s="778"/>
      <c r="U50" s="575"/>
      <c r="V50" s="575"/>
      <c r="W50" s="575"/>
      <c r="X50" s="575"/>
      <c r="Y50" s="575"/>
      <c r="Z50" s="575"/>
      <c r="AA50" s="778"/>
      <c r="AB50" s="817"/>
      <c r="AC50" s="575"/>
      <c r="AD50" s="575"/>
      <c r="AE50" s="753"/>
      <c r="AF50" s="575"/>
      <c r="AG50" s="575"/>
      <c r="AH50" s="842"/>
      <c r="AI50" s="1013">
        <f t="shared" si="1"/>
        <v>0</v>
      </c>
      <c r="AJ50" s="949">
        <v>0</v>
      </c>
      <c r="AK50" s="581">
        <f t="shared" si="4"/>
        <v>0</v>
      </c>
      <c r="AL50" s="746"/>
      <c r="AM50" s="743">
        <f t="shared" si="5"/>
        <v>0</v>
      </c>
    </row>
    <row r="51" spans="1:39" s="560" customFormat="1">
      <c r="A51" s="604" t="s">
        <v>558</v>
      </c>
      <c r="B51" s="604" t="s">
        <v>1156</v>
      </c>
      <c r="C51" s="679"/>
      <c r="D51" s="580"/>
      <c r="E51" s="581"/>
      <c r="F51" s="778"/>
      <c r="G51" s="581"/>
      <c r="H51" s="581"/>
      <c r="I51" s="949"/>
      <c r="J51" s="949"/>
      <c r="K51" s="825"/>
      <c r="L51" s="575"/>
      <c r="M51" s="778"/>
      <c r="N51" s="575"/>
      <c r="O51" s="575"/>
      <c r="P51" s="575"/>
      <c r="Q51" s="575"/>
      <c r="R51" s="575"/>
      <c r="S51" s="575"/>
      <c r="T51" s="778"/>
      <c r="U51" s="575"/>
      <c r="V51" s="575"/>
      <c r="W51" s="575"/>
      <c r="X51" s="575"/>
      <c r="Y51" s="575"/>
      <c r="Z51" s="575"/>
      <c r="AA51" s="778"/>
      <c r="AB51" s="817"/>
      <c r="AC51" s="575"/>
      <c r="AD51" s="575"/>
      <c r="AE51" s="753"/>
      <c r="AF51" s="575"/>
      <c r="AG51" s="575"/>
      <c r="AH51" s="842"/>
      <c r="AI51" s="1013">
        <f t="shared" si="1"/>
        <v>0</v>
      </c>
      <c r="AJ51" s="949">
        <v>0</v>
      </c>
      <c r="AK51" s="581">
        <f t="shared" si="4"/>
        <v>0</v>
      </c>
      <c r="AL51" s="746"/>
      <c r="AM51" s="743">
        <f t="shared" si="5"/>
        <v>0</v>
      </c>
    </row>
    <row r="52" spans="1:39" s="560" customFormat="1">
      <c r="A52" s="604" t="s">
        <v>559</v>
      </c>
      <c r="B52" s="604" t="s">
        <v>1157</v>
      </c>
      <c r="C52" s="530" t="s">
        <v>39</v>
      </c>
      <c r="D52" s="580"/>
      <c r="E52" s="581"/>
      <c r="F52" s="778"/>
      <c r="G52" s="581"/>
      <c r="H52" s="581"/>
      <c r="I52" s="949"/>
      <c r="J52" s="949"/>
      <c r="K52" s="825"/>
      <c r="L52" s="575"/>
      <c r="M52" s="778"/>
      <c r="N52" s="575"/>
      <c r="O52" s="575"/>
      <c r="P52" s="575"/>
      <c r="Q52" s="575"/>
      <c r="R52" s="575"/>
      <c r="S52" s="575"/>
      <c r="T52" s="778"/>
      <c r="U52" s="575"/>
      <c r="V52" s="575"/>
      <c r="W52" s="575"/>
      <c r="X52" s="575"/>
      <c r="Y52" s="575"/>
      <c r="Z52" s="575"/>
      <c r="AA52" s="778"/>
      <c r="AB52" s="817"/>
      <c r="AC52" s="575"/>
      <c r="AD52" s="575"/>
      <c r="AE52" s="753"/>
      <c r="AF52" s="575"/>
      <c r="AG52" s="575"/>
      <c r="AH52" s="842"/>
      <c r="AI52" s="1013">
        <f t="shared" si="1"/>
        <v>0</v>
      </c>
      <c r="AJ52" s="949">
        <v>0</v>
      </c>
      <c r="AK52" s="581">
        <f t="shared" si="4"/>
        <v>0</v>
      </c>
      <c r="AL52" s="746" t="s">
        <v>1456</v>
      </c>
      <c r="AM52" s="743">
        <f t="shared" si="5"/>
        <v>4.6100000000000003</v>
      </c>
    </row>
    <row r="53" spans="1:39" s="560" customFormat="1">
      <c r="A53" s="604" t="s">
        <v>560</v>
      </c>
      <c r="B53" s="604" t="s">
        <v>1158</v>
      </c>
      <c r="C53" s="530" t="s">
        <v>47</v>
      </c>
      <c r="D53" s="580"/>
      <c r="E53" s="581"/>
      <c r="F53" s="778"/>
      <c r="G53" s="581"/>
      <c r="H53" s="581"/>
      <c r="I53" s="949"/>
      <c r="J53" s="949"/>
      <c r="K53" s="825"/>
      <c r="L53" s="575"/>
      <c r="M53" s="778"/>
      <c r="N53" s="575"/>
      <c r="O53" s="575"/>
      <c r="P53" s="575"/>
      <c r="Q53" s="575"/>
      <c r="R53" s="575"/>
      <c r="S53" s="575"/>
      <c r="T53" s="778"/>
      <c r="U53" s="575"/>
      <c r="V53" s="575"/>
      <c r="W53" s="575"/>
      <c r="X53" s="575"/>
      <c r="Y53" s="575"/>
      <c r="Z53" s="575"/>
      <c r="AA53" s="778"/>
      <c r="AB53" s="817"/>
      <c r="AC53" s="575"/>
      <c r="AD53" s="575"/>
      <c r="AE53" s="753"/>
      <c r="AF53" s="575"/>
      <c r="AG53" s="575"/>
      <c r="AH53" s="842"/>
      <c r="AI53" s="1013">
        <f t="shared" si="1"/>
        <v>0</v>
      </c>
      <c r="AJ53" s="949">
        <v>0</v>
      </c>
      <c r="AK53" s="581">
        <f t="shared" si="4"/>
        <v>0</v>
      </c>
      <c r="AL53" s="746" t="s">
        <v>1457</v>
      </c>
      <c r="AM53" s="743">
        <f t="shared" si="5"/>
        <v>192.7</v>
      </c>
    </row>
    <row r="54" spans="1:39" s="560" customFormat="1">
      <c r="A54" s="604" t="s">
        <v>561</v>
      </c>
      <c r="B54" s="604" t="s">
        <v>1159</v>
      </c>
      <c r="C54" s="679"/>
      <c r="D54" s="580"/>
      <c r="E54" s="581"/>
      <c r="F54" s="778"/>
      <c r="G54" s="581"/>
      <c r="H54" s="581"/>
      <c r="I54" s="949"/>
      <c r="J54" s="949"/>
      <c r="K54" s="825"/>
      <c r="L54" s="575"/>
      <c r="M54" s="778"/>
      <c r="N54" s="575"/>
      <c r="O54" s="575"/>
      <c r="P54" s="575"/>
      <c r="Q54" s="575"/>
      <c r="R54" s="575"/>
      <c r="S54" s="575"/>
      <c r="T54" s="778"/>
      <c r="U54" s="575"/>
      <c r="V54" s="575"/>
      <c r="W54" s="575"/>
      <c r="X54" s="575"/>
      <c r="Y54" s="575"/>
      <c r="Z54" s="575"/>
      <c r="AA54" s="778"/>
      <c r="AB54" s="817"/>
      <c r="AC54" s="575"/>
      <c r="AD54" s="575"/>
      <c r="AE54" s="753"/>
      <c r="AF54" s="575"/>
      <c r="AG54" s="575"/>
      <c r="AH54" s="842"/>
      <c r="AI54" s="1013">
        <f t="shared" si="1"/>
        <v>0</v>
      </c>
      <c r="AJ54" s="949">
        <v>0</v>
      </c>
      <c r="AK54" s="581">
        <f t="shared" si="4"/>
        <v>0</v>
      </c>
      <c r="AL54" s="746"/>
      <c r="AM54" s="743">
        <f t="shared" si="5"/>
        <v>0</v>
      </c>
    </row>
    <row r="55" spans="1:39" s="560" customFormat="1">
      <c r="A55" s="604" t="s">
        <v>562</v>
      </c>
      <c r="B55" s="604" t="s">
        <v>1160</v>
      </c>
      <c r="C55" s="530" t="s">
        <v>39</v>
      </c>
      <c r="D55" s="580"/>
      <c r="E55" s="581"/>
      <c r="F55" s="778"/>
      <c r="G55" s="581"/>
      <c r="H55" s="581"/>
      <c r="I55" s="949"/>
      <c r="J55" s="949"/>
      <c r="K55" s="825"/>
      <c r="L55" s="575"/>
      <c r="M55" s="778"/>
      <c r="N55" s="575"/>
      <c r="O55" s="575"/>
      <c r="P55" s="575"/>
      <c r="Q55" s="575"/>
      <c r="R55" s="575"/>
      <c r="S55" s="583"/>
      <c r="T55" s="778"/>
      <c r="U55" s="575"/>
      <c r="V55" s="575"/>
      <c r="W55" s="575"/>
      <c r="X55" s="575"/>
      <c r="Y55" s="575"/>
      <c r="Z55" s="575"/>
      <c r="AA55" s="778"/>
      <c r="AB55" s="817"/>
      <c r="AC55" s="575"/>
      <c r="AD55" s="575"/>
      <c r="AE55" s="753"/>
      <c r="AF55" s="575"/>
      <c r="AG55" s="575"/>
      <c r="AH55" s="842"/>
      <c r="AI55" s="1013">
        <f t="shared" si="1"/>
        <v>0</v>
      </c>
      <c r="AJ55" s="949">
        <v>0</v>
      </c>
      <c r="AK55" s="581">
        <f t="shared" si="4"/>
        <v>0</v>
      </c>
      <c r="AL55" s="746" t="s">
        <v>1458</v>
      </c>
      <c r="AM55" s="743">
        <f t="shared" si="5"/>
        <v>1.93</v>
      </c>
    </row>
    <row r="56" spans="1:39" s="560" customFormat="1">
      <c r="A56" s="604" t="s">
        <v>563</v>
      </c>
      <c r="B56" s="604" t="s">
        <v>1161</v>
      </c>
      <c r="C56" s="530" t="s">
        <v>36</v>
      </c>
      <c r="D56" s="580"/>
      <c r="E56" s="581"/>
      <c r="F56" s="778"/>
      <c r="G56" s="581"/>
      <c r="H56" s="581"/>
      <c r="I56" s="949"/>
      <c r="J56" s="949"/>
      <c r="K56" s="825"/>
      <c r="L56" s="575"/>
      <c r="M56" s="778"/>
      <c r="N56" s="575"/>
      <c r="O56" s="575"/>
      <c r="P56" s="575"/>
      <c r="Q56" s="575"/>
      <c r="R56" s="575"/>
      <c r="S56" s="583"/>
      <c r="T56" s="778"/>
      <c r="U56" s="575"/>
      <c r="V56" s="575"/>
      <c r="W56" s="575"/>
      <c r="X56" s="575"/>
      <c r="Y56" s="575"/>
      <c r="Z56" s="575"/>
      <c r="AA56" s="778"/>
      <c r="AB56" s="817"/>
      <c r="AC56" s="575"/>
      <c r="AD56" s="575"/>
      <c r="AE56" s="753"/>
      <c r="AF56" s="575"/>
      <c r="AG56" s="575"/>
      <c r="AH56" s="842"/>
      <c r="AI56" s="1013">
        <f t="shared" si="1"/>
        <v>0</v>
      </c>
      <c r="AJ56" s="949">
        <v>0</v>
      </c>
      <c r="AK56" s="581">
        <f t="shared" si="4"/>
        <v>0</v>
      </c>
      <c r="AL56" s="746" t="s">
        <v>1459</v>
      </c>
      <c r="AM56" s="743">
        <f t="shared" si="5"/>
        <v>15.42</v>
      </c>
    </row>
    <row r="57" spans="1:39" s="560" customFormat="1">
      <c r="A57" s="604" t="s">
        <v>564</v>
      </c>
      <c r="B57" s="604" t="s">
        <v>1162</v>
      </c>
      <c r="C57" s="530" t="s">
        <v>47</v>
      </c>
      <c r="D57" s="586"/>
      <c r="E57" s="587"/>
      <c r="F57" s="783"/>
      <c r="G57" s="587"/>
      <c r="H57" s="587"/>
      <c r="I57" s="588"/>
      <c r="J57" s="588"/>
      <c r="K57" s="825"/>
      <c r="L57" s="575"/>
      <c r="M57" s="783"/>
      <c r="N57" s="575"/>
      <c r="O57" s="575"/>
      <c r="P57" s="575"/>
      <c r="Q57" s="575"/>
      <c r="R57" s="575"/>
      <c r="S57" s="575"/>
      <c r="T57" s="783"/>
      <c r="U57" s="575"/>
      <c r="V57" s="575"/>
      <c r="W57" s="575"/>
      <c r="X57" s="575"/>
      <c r="Y57" s="575"/>
      <c r="Z57" s="575"/>
      <c r="AA57" s="783"/>
      <c r="AB57" s="817"/>
      <c r="AC57" s="575"/>
      <c r="AD57" s="575"/>
      <c r="AE57" s="753"/>
      <c r="AF57" s="575"/>
      <c r="AG57" s="575"/>
      <c r="AH57" s="842"/>
      <c r="AI57" s="1013">
        <f t="shared" si="1"/>
        <v>0</v>
      </c>
      <c r="AJ57" s="949">
        <v>0</v>
      </c>
      <c r="AK57" s="581">
        <f t="shared" si="4"/>
        <v>0</v>
      </c>
      <c r="AL57" s="747" t="s">
        <v>1460</v>
      </c>
      <c r="AM57" s="743">
        <f t="shared" si="5"/>
        <v>275.55</v>
      </c>
    </row>
    <row r="58" spans="1:39" s="560" customFormat="1">
      <c r="A58" s="604" t="s">
        <v>565</v>
      </c>
      <c r="B58" s="604" t="s">
        <v>1163</v>
      </c>
      <c r="C58" s="679"/>
      <c r="D58" s="586"/>
      <c r="E58" s="587"/>
      <c r="F58" s="783"/>
      <c r="G58" s="587"/>
      <c r="H58" s="587"/>
      <c r="I58" s="588"/>
      <c r="J58" s="588"/>
      <c r="K58" s="865"/>
      <c r="L58" s="575"/>
      <c r="M58" s="783"/>
      <c r="N58" s="575"/>
      <c r="O58" s="575"/>
      <c r="P58" s="575"/>
      <c r="Q58" s="575"/>
      <c r="R58" s="575"/>
      <c r="S58" s="575"/>
      <c r="T58" s="783"/>
      <c r="U58" s="575"/>
      <c r="V58" s="575"/>
      <c r="W58" s="575"/>
      <c r="X58" s="575"/>
      <c r="Y58" s="575"/>
      <c r="Z58" s="575"/>
      <c r="AA58" s="783"/>
      <c r="AB58" s="817"/>
      <c r="AC58" s="575"/>
      <c r="AD58" s="575"/>
      <c r="AE58" s="753"/>
      <c r="AF58" s="575"/>
      <c r="AG58" s="575"/>
      <c r="AH58" s="842"/>
      <c r="AI58" s="1013">
        <f t="shared" si="1"/>
        <v>0</v>
      </c>
      <c r="AJ58" s="949">
        <v>0</v>
      </c>
      <c r="AK58" s="581">
        <f t="shared" si="4"/>
        <v>0</v>
      </c>
      <c r="AL58" s="747"/>
      <c r="AM58" s="743">
        <f t="shared" si="5"/>
        <v>0</v>
      </c>
    </row>
    <row r="59" spans="1:39" s="560" customFormat="1">
      <c r="A59" s="604" t="s">
        <v>566</v>
      </c>
      <c r="B59" s="604" t="s">
        <v>1164</v>
      </c>
      <c r="C59" s="530" t="s">
        <v>39</v>
      </c>
      <c r="D59" s="580"/>
      <c r="E59" s="581"/>
      <c r="F59" s="778"/>
      <c r="G59" s="581"/>
      <c r="H59" s="581"/>
      <c r="I59" s="949"/>
      <c r="J59" s="949"/>
      <c r="K59" s="825"/>
      <c r="L59" s="575"/>
      <c r="M59" s="778"/>
      <c r="N59" s="575"/>
      <c r="O59" s="575"/>
      <c r="P59" s="575"/>
      <c r="Q59" s="575"/>
      <c r="R59" s="575"/>
      <c r="S59" s="575"/>
      <c r="T59" s="778"/>
      <c r="U59" s="575"/>
      <c r="V59" s="575"/>
      <c r="W59" s="575"/>
      <c r="X59" s="575"/>
      <c r="Y59" s="575"/>
      <c r="Z59" s="575"/>
      <c r="AA59" s="778"/>
      <c r="AB59" s="817"/>
      <c r="AC59" s="575"/>
      <c r="AD59" s="575"/>
      <c r="AE59" s="753"/>
      <c r="AF59" s="575"/>
      <c r="AG59" s="575"/>
      <c r="AH59" s="842"/>
      <c r="AI59" s="1013">
        <f t="shared" si="1"/>
        <v>0</v>
      </c>
      <c r="AJ59" s="949">
        <v>0</v>
      </c>
      <c r="AK59" s="581">
        <f t="shared" si="4"/>
        <v>0</v>
      </c>
      <c r="AL59" s="746" t="s">
        <v>1461</v>
      </c>
      <c r="AM59" s="743">
        <f t="shared" si="5"/>
        <v>2.83</v>
      </c>
    </row>
    <row r="60" spans="1:39" s="560" customFormat="1">
      <c r="A60" s="604" t="s">
        <v>567</v>
      </c>
      <c r="B60" s="604" t="s">
        <v>1165</v>
      </c>
      <c r="C60" s="530" t="s">
        <v>36</v>
      </c>
      <c r="D60" s="580"/>
      <c r="E60" s="581"/>
      <c r="F60" s="778"/>
      <c r="G60" s="581"/>
      <c r="H60" s="581"/>
      <c r="I60" s="949"/>
      <c r="J60" s="949"/>
      <c r="K60" s="825"/>
      <c r="L60" s="575"/>
      <c r="M60" s="778"/>
      <c r="N60" s="575"/>
      <c r="O60" s="575"/>
      <c r="P60" s="575"/>
      <c r="Q60" s="575"/>
      <c r="R60" s="575"/>
      <c r="S60" s="575"/>
      <c r="T60" s="778"/>
      <c r="U60" s="575"/>
      <c r="V60" s="575"/>
      <c r="W60" s="575"/>
      <c r="X60" s="575"/>
      <c r="Y60" s="575"/>
      <c r="Z60" s="575"/>
      <c r="AA60" s="778"/>
      <c r="AB60" s="817"/>
      <c r="AC60" s="575"/>
      <c r="AD60" s="575"/>
      <c r="AE60" s="753"/>
      <c r="AF60" s="575"/>
      <c r="AG60" s="575"/>
      <c r="AH60" s="842"/>
      <c r="AI60" s="1013">
        <f t="shared" si="1"/>
        <v>0</v>
      </c>
      <c r="AJ60" s="949">
        <v>0</v>
      </c>
      <c r="AK60" s="581">
        <f t="shared" si="4"/>
        <v>0</v>
      </c>
      <c r="AL60" s="746" t="s">
        <v>1462</v>
      </c>
      <c r="AM60" s="743">
        <f t="shared" si="5"/>
        <v>40.020000000000003</v>
      </c>
    </row>
    <row r="61" spans="1:39" s="560" customFormat="1">
      <c r="A61" s="604" t="s">
        <v>568</v>
      </c>
      <c r="B61" s="604" t="s">
        <v>1166</v>
      </c>
      <c r="C61" s="530" t="s">
        <v>47</v>
      </c>
      <c r="D61" s="580"/>
      <c r="E61" s="581"/>
      <c r="F61" s="778"/>
      <c r="G61" s="581"/>
      <c r="H61" s="581"/>
      <c r="I61" s="949"/>
      <c r="J61" s="949"/>
      <c r="K61" s="825"/>
      <c r="L61" s="575"/>
      <c r="M61" s="778"/>
      <c r="N61" s="575"/>
      <c r="O61" s="575"/>
      <c r="P61" s="575"/>
      <c r="Q61" s="575"/>
      <c r="R61" s="575"/>
      <c r="S61" s="575"/>
      <c r="T61" s="778"/>
      <c r="U61" s="575"/>
      <c r="V61" s="575"/>
      <c r="W61" s="575"/>
      <c r="X61" s="575"/>
      <c r="Y61" s="575"/>
      <c r="Z61" s="575"/>
      <c r="AA61" s="778"/>
      <c r="AB61" s="945"/>
      <c r="AC61" s="575"/>
      <c r="AD61" s="575"/>
      <c r="AE61" s="753"/>
      <c r="AF61" s="575"/>
      <c r="AG61" s="575"/>
      <c r="AH61" s="842"/>
      <c r="AI61" s="1013">
        <f t="shared" si="1"/>
        <v>0</v>
      </c>
      <c r="AJ61" s="949">
        <v>0</v>
      </c>
      <c r="AK61" s="581">
        <f t="shared" si="4"/>
        <v>0</v>
      </c>
      <c r="AL61" s="746" t="s">
        <v>1463</v>
      </c>
      <c r="AM61" s="743">
        <f t="shared" si="5"/>
        <v>444.48</v>
      </c>
    </row>
    <row r="62" spans="1:39" s="560" customFormat="1">
      <c r="A62" s="604" t="s">
        <v>569</v>
      </c>
      <c r="B62" s="604" t="s">
        <v>1167</v>
      </c>
      <c r="C62" s="679"/>
      <c r="D62" s="580"/>
      <c r="E62" s="581"/>
      <c r="F62" s="778"/>
      <c r="G62" s="581"/>
      <c r="H62" s="581"/>
      <c r="I62" s="949"/>
      <c r="J62" s="949"/>
      <c r="K62" s="825"/>
      <c r="L62" s="575"/>
      <c r="M62" s="778"/>
      <c r="N62" s="575"/>
      <c r="O62" s="575"/>
      <c r="P62" s="575"/>
      <c r="Q62" s="575"/>
      <c r="R62" s="575"/>
      <c r="S62" s="575"/>
      <c r="T62" s="778"/>
      <c r="U62" s="575"/>
      <c r="V62" s="575"/>
      <c r="W62" s="575"/>
      <c r="X62" s="575"/>
      <c r="Y62" s="575"/>
      <c r="Z62" s="575"/>
      <c r="AA62" s="778"/>
      <c r="AB62" s="817"/>
      <c r="AC62" s="575"/>
      <c r="AD62" s="575"/>
      <c r="AE62" s="753"/>
      <c r="AF62" s="575"/>
      <c r="AG62" s="575"/>
      <c r="AH62" s="842"/>
      <c r="AI62" s="1013">
        <f t="shared" si="1"/>
        <v>0</v>
      </c>
      <c r="AJ62" s="949">
        <v>0</v>
      </c>
      <c r="AK62" s="581">
        <f t="shared" si="4"/>
        <v>0</v>
      </c>
      <c r="AL62" s="746"/>
      <c r="AM62" s="743">
        <f t="shared" si="5"/>
        <v>0</v>
      </c>
    </row>
    <row r="63" spans="1:39" s="560" customFormat="1">
      <c r="A63" s="604" t="s">
        <v>570</v>
      </c>
      <c r="B63" s="604" t="s">
        <v>1168</v>
      </c>
      <c r="C63" s="530" t="s">
        <v>39</v>
      </c>
      <c r="D63" s="580"/>
      <c r="E63" s="581"/>
      <c r="F63" s="778"/>
      <c r="G63" s="581"/>
      <c r="H63" s="581"/>
      <c r="I63" s="949"/>
      <c r="J63" s="949"/>
      <c r="K63" s="825"/>
      <c r="L63" s="575"/>
      <c r="M63" s="778"/>
      <c r="N63" s="575"/>
      <c r="O63" s="575"/>
      <c r="P63" s="575"/>
      <c r="Q63" s="575"/>
      <c r="R63" s="575"/>
      <c r="S63" s="575"/>
      <c r="T63" s="778"/>
      <c r="U63" s="575"/>
      <c r="V63" s="575"/>
      <c r="W63" s="583"/>
      <c r="X63" s="575"/>
      <c r="Y63" s="575"/>
      <c r="Z63" s="575"/>
      <c r="AA63" s="778"/>
      <c r="AB63" s="817"/>
      <c r="AC63" s="575"/>
      <c r="AD63" s="575"/>
      <c r="AE63" s="753"/>
      <c r="AF63" s="575"/>
      <c r="AG63" s="575"/>
      <c r="AH63" s="842"/>
      <c r="AI63" s="1013">
        <f t="shared" si="1"/>
        <v>0</v>
      </c>
      <c r="AJ63" s="949">
        <v>0</v>
      </c>
      <c r="AK63" s="581">
        <f t="shared" si="4"/>
        <v>0</v>
      </c>
      <c r="AL63" s="746" t="s">
        <v>1464</v>
      </c>
      <c r="AM63" s="743">
        <f t="shared" si="5"/>
        <v>1.49</v>
      </c>
    </row>
    <row r="64" spans="1:39" s="560" customFormat="1">
      <c r="A64" s="604" t="s">
        <v>571</v>
      </c>
      <c r="B64" s="604" t="s">
        <v>1169</v>
      </c>
      <c r="C64" s="614" t="s">
        <v>36</v>
      </c>
      <c r="D64" s="580"/>
      <c r="E64" s="581"/>
      <c r="F64" s="778"/>
      <c r="G64" s="581"/>
      <c r="H64" s="581"/>
      <c r="I64" s="949"/>
      <c r="J64" s="949"/>
      <c r="K64" s="825"/>
      <c r="L64" s="575"/>
      <c r="M64" s="778"/>
      <c r="N64" s="575"/>
      <c r="O64" s="575"/>
      <c r="P64" s="575"/>
      <c r="Q64" s="575"/>
      <c r="R64" s="575"/>
      <c r="S64" s="575"/>
      <c r="T64" s="778"/>
      <c r="U64" s="575"/>
      <c r="V64" s="575"/>
      <c r="W64" s="583"/>
      <c r="X64" s="575"/>
      <c r="Y64" s="575"/>
      <c r="Z64" s="575"/>
      <c r="AA64" s="778"/>
      <c r="AB64" s="817"/>
      <c r="AC64" s="575"/>
      <c r="AD64" s="575"/>
      <c r="AE64" s="753"/>
      <c r="AF64" s="575"/>
      <c r="AG64" s="575"/>
      <c r="AH64" s="842"/>
      <c r="AI64" s="1013">
        <f t="shared" si="1"/>
        <v>0</v>
      </c>
      <c r="AJ64" s="949">
        <v>0</v>
      </c>
      <c r="AK64" s="581">
        <f t="shared" si="4"/>
        <v>0</v>
      </c>
      <c r="AL64" s="746" t="s">
        <v>1465</v>
      </c>
      <c r="AM64" s="743">
        <f t="shared" si="5"/>
        <v>19.71</v>
      </c>
    </row>
    <row r="65" spans="1:39" s="560" customFormat="1">
      <c r="A65" s="604" t="s">
        <v>572</v>
      </c>
      <c r="B65" s="604" t="s">
        <v>1170</v>
      </c>
      <c r="C65" s="530" t="s">
        <v>47</v>
      </c>
      <c r="D65" s="580"/>
      <c r="E65" s="581"/>
      <c r="F65" s="778"/>
      <c r="G65" s="581"/>
      <c r="H65" s="581"/>
      <c r="I65" s="949"/>
      <c r="J65" s="949"/>
      <c r="K65" s="825"/>
      <c r="L65" s="575"/>
      <c r="M65" s="778"/>
      <c r="N65" s="575"/>
      <c r="O65" s="575"/>
      <c r="P65" s="575"/>
      <c r="Q65" s="575"/>
      <c r="R65" s="575"/>
      <c r="S65" s="575"/>
      <c r="T65" s="778"/>
      <c r="U65" s="575"/>
      <c r="V65" s="575"/>
      <c r="W65" s="575"/>
      <c r="X65" s="575"/>
      <c r="Y65" s="575"/>
      <c r="Z65" s="575"/>
      <c r="AA65" s="778"/>
      <c r="AB65" s="817"/>
      <c r="AC65" s="575"/>
      <c r="AD65" s="575"/>
      <c r="AE65" s="753"/>
      <c r="AF65" s="575"/>
      <c r="AG65" s="575"/>
      <c r="AH65" s="842"/>
      <c r="AI65" s="1013">
        <f t="shared" si="1"/>
        <v>0</v>
      </c>
      <c r="AJ65" s="949">
        <v>0</v>
      </c>
      <c r="AK65" s="581">
        <f t="shared" si="4"/>
        <v>0</v>
      </c>
      <c r="AL65" s="746" t="s">
        <v>1466</v>
      </c>
      <c r="AM65" s="743">
        <f t="shared" si="5"/>
        <v>659.98</v>
      </c>
    </row>
    <row r="66" spans="1:39" s="560" customFormat="1">
      <c r="A66" s="604" t="s">
        <v>573</v>
      </c>
      <c r="B66" s="604" t="s">
        <v>1171</v>
      </c>
      <c r="C66" s="679"/>
      <c r="D66" s="580"/>
      <c r="E66" s="581"/>
      <c r="F66" s="778"/>
      <c r="G66" s="581"/>
      <c r="H66" s="581"/>
      <c r="I66" s="949"/>
      <c r="J66" s="949"/>
      <c r="K66" s="825"/>
      <c r="L66" s="575"/>
      <c r="M66" s="778"/>
      <c r="N66" s="575"/>
      <c r="O66" s="575"/>
      <c r="P66" s="575"/>
      <c r="Q66" s="575"/>
      <c r="R66" s="575"/>
      <c r="S66" s="575"/>
      <c r="T66" s="778"/>
      <c r="U66" s="575"/>
      <c r="V66" s="575"/>
      <c r="W66" s="575"/>
      <c r="X66" s="575"/>
      <c r="Y66" s="575"/>
      <c r="Z66" s="575"/>
      <c r="AA66" s="778"/>
      <c r="AB66" s="817"/>
      <c r="AC66" s="575"/>
      <c r="AD66" s="575"/>
      <c r="AE66" s="753"/>
      <c r="AF66" s="575"/>
      <c r="AG66" s="575"/>
      <c r="AH66" s="842"/>
      <c r="AI66" s="1013">
        <f t="shared" si="1"/>
        <v>0</v>
      </c>
      <c r="AJ66" s="949">
        <v>0</v>
      </c>
      <c r="AK66" s="581">
        <f t="shared" si="4"/>
        <v>0</v>
      </c>
      <c r="AL66" s="746"/>
      <c r="AM66" s="743">
        <f t="shared" si="5"/>
        <v>0</v>
      </c>
    </row>
    <row r="67" spans="1:39" s="560" customFormat="1">
      <c r="A67" s="604" t="s">
        <v>574</v>
      </c>
      <c r="B67" s="604" t="s">
        <v>1172</v>
      </c>
      <c r="C67" s="530" t="s">
        <v>39</v>
      </c>
      <c r="D67" s="580"/>
      <c r="E67" s="581"/>
      <c r="F67" s="778"/>
      <c r="G67" s="581"/>
      <c r="H67" s="581"/>
      <c r="I67" s="949"/>
      <c r="J67" s="949"/>
      <c r="K67" s="825"/>
      <c r="L67" s="575"/>
      <c r="M67" s="778"/>
      <c r="N67" s="575"/>
      <c r="O67" s="575"/>
      <c r="P67" s="575"/>
      <c r="Q67" s="575"/>
      <c r="R67" s="575"/>
      <c r="S67" s="575"/>
      <c r="T67" s="778"/>
      <c r="U67" s="575"/>
      <c r="V67" s="575"/>
      <c r="W67" s="575"/>
      <c r="X67" s="575"/>
      <c r="Y67" s="575"/>
      <c r="Z67" s="575"/>
      <c r="AA67" s="778"/>
      <c r="AB67" s="817"/>
      <c r="AC67" s="575"/>
      <c r="AD67" s="575"/>
      <c r="AE67" s="753"/>
      <c r="AF67" s="575"/>
      <c r="AG67" s="575"/>
      <c r="AH67" s="842"/>
      <c r="AI67" s="1013">
        <f t="shared" si="1"/>
        <v>0</v>
      </c>
      <c r="AJ67" s="949">
        <v>0</v>
      </c>
      <c r="AK67" s="581">
        <f t="shared" si="4"/>
        <v>0</v>
      </c>
      <c r="AL67" s="746" t="s">
        <v>1467</v>
      </c>
      <c r="AM67" s="743">
        <f t="shared" si="5"/>
        <v>4.54</v>
      </c>
    </row>
    <row r="68" spans="1:39" s="560" customFormat="1">
      <c r="A68" s="604" t="s">
        <v>575</v>
      </c>
      <c r="B68" s="604" t="s">
        <v>1173</v>
      </c>
      <c r="C68" s="530" t="s">
        <v>36</v>
      </c>
      <c r="D68" s="580"/>
      <c r="E68" s="581"/>
      <c r="F68" s="778"/>
      <c r="G68" s="581"/>
      <c r="H68" s="581"/>
      <c r="I68" s="949"/>
      <c r="J68" s="949"/>
      <c r="K68" s="825"/>
      <c r="L68" s="575"/>
      <c r="M68" s="778"/>
      <c r="N68" s="575"/>
      <c r="O68" s="575"/>
      <c r="P68" s="575"/>
      <c r="Q68" s="575"/>
      <c r="R68" s="575"/>
      <c r="S68" s="575"/>
      <c r="T68" s="778"/>
      <c r="U68" s="575"/>
      <c r="V68" s="575"/>
      <c r="W68" s="583"/>
      <c r="X68" s="575"/>
      <c r="Y68" s="575"/>
      <c r="Z68" s="575"/>
      <c r="AA68" s="778"/>
      <c r="AB68" s="817"/>
      <c r="AC68" s="575"/>
      <c r="AD68" s="575"/>
      <c r="AE68" s="753"/>
      <c r="AF68" s="575"/>
      <c r="AG68" s="575"/>
      <c r="AH68" s="842"/>
      <c r="AI68" s="1013">
        <f t="shared" si="1"/>
        <v>0</v>
      </c>
      <c r="AJ68" s="949">
        <v>0</v>
      </c>
      <c r="AK68" s="581">
        <f t="shared" si="4"/>
        <v>0</v>
      </c>
      <c r="AL68" s="746" t="s">
        <v>1468</v>
      </c>
      <c r="AM68" s="743">
        <f t="shared" si="5"/>
        <v>38.93</v>
      </c>
    </row>
    <row r="69" spans="1:39" s="560" customFormat="1">
      <c r="A69" s="604" t="s">
        <v>576</v>
      </c>
      <c r="B69" s="604" t="s">
        <v>1174</v>
      </c>
      <c r="C69" s="530" t="s">
        <v>47</v>
      </c>
      <c r="D69" s="580"/>
      <c r="E69" s="581"/>
      <c r="F69" s="778"/>
      <c r="G69" s="581"/>
      <c r="H69" s="581"/>
      <c r="I69" s="949"/>
      <c r="J69" s="949"/>
      <c r="K69" s="825"/>
      <c r="L69" s="575"/>
      <c r="M69" s="778"/>
      <c r="N69" s="575"/>
      <c r="O69" s="575"/>
      <c r="P69" s="575"/>
      <c r="Q69" s="575"/>
      <c r="R69" s="575"/>
      <c r="S69" s="575"/>
      <c r="T69" s="778"/>
      <c r="U69" s="575"/>
      <c r="V69" s="575"/>
      <c r="W69" s="583"/>
      <c r="X69" s="575"/>
      <c r="Y69" s="575"/>
      <c r="Z69" s="575"/>
      <c r="AA69" s="778"/>
      <c r="AB69" s="817"/>
      <c r="AC69" s="575"/>
      <c r="AD69" s="575"/>
      <c r="AE69" s="753"/>
      <c r="AF69" s="575"/>
      <c r="AG69" s="575"/>
      <c r="AH69" s="842"/>
      <c r="AI69" s="1013">
        <f t="shared" si="1"/>
        <v>0</v>
      </c>
      <c r="AJ69" s="949">
        <v>0</v>
      </c>
      <c r="AK69" s="581">
        <f t="shared" si="4"/>
        <v>0</v>
      </c>
      <c r="AL69" s="746" t="s">
        <v>1469</v>
      </c>
      <c r="AM69" s="743">
        <f t="shared" si="5"/>
        <v>563.80999999999995</v>
      </c>
    </row>
    <row r="70" spans="1:39" s="560" customFormat="1">
      <c r="A70" s="604" t="s">
        <v>577</v>
      </c>
      <c r="B70" s="604" t="s">
        <v>1175</v>
      </c>
      <c r="C70" s="679"/>
      <c r="D70" s="586"/>
      <c r="E70" s="587"/>
      <c r="F70" s="783"/>
      <c r="G70" s="587"/>
      <c r="H70" s="587"/>
      <c r="I70" s="588"/>
      <c r="J70" s="588"/>
      <c r="K70" s="865"/>
      <c r="L70" s="575"/>
      <c r="M70" s="783"/>
      <c r="N70" s="575"/>
      <c r="O70" s="575"/>
      <c r="P70" s="575"/>
      <c r="Q70" s="575"/>
      <c r="R70" s="575"/>
      <c r="S70" s="575"/>
      <c r="T70" s="783"/>
      <c r="U70" s="575"/>
      <c r="V70" s="575"/>
      <c r="W70" s="575"/>
      <c r="X70" s="575"/>
      <c r="Y70" s="575"/>
      <c r="Z70" s="575"/>
      <c r="AA70" s="783"/>
      <c r="AB70" s="817"/>
      <c r="AC70" s="575"/>
      <c r="AD70" s="575"/>
      <c r="AE70" s="753"/>
      <c r="AF70" s="575"/>
      <c r="AG70" s="575"/>
      <c r="AH70" s="842"/>
      <c r="AI70" s="1013">
        <f t="shared" si="1"/>
        <v>0</v>
      </c>
      <c r="AJ70" s="949">
        <v>0</v>
      </c>
      <c r="AK70" s="581">
        <f t="shared" si="4"/>
        <v>0</v>
      </c>
      <c r="AL70" s="747"/>
      <c r="AM70" s="743">
        <f t="shared" si="5"/>
        <v>0</v>
      </c>
    </row>
    <row r="71" spans="1:39" s="560" customFormat="1">
      <c r="A71" s="604" t="s">
        <v>578</v>
      </c>
      <c r="B71" s="604" t="s">
        <v>1176</v>
      </c>
      <c r="C71" s="530" t="s">
        <v>39</v>
      </c>
      <c r="D71" s="580"/>
      <c r="E71" s="581"/>
      <c r="F71" s="778"/>
      <c r="G71" s="581"/>
      <c r="H71" s="581"/>
      <c r="I71" s="949"/>
      <c r="J71" s="949"/>
      <c r="K71" s="825"/>
      <c r="L71" s="575"/>
      <c r="M71" s="778"/>
      <c r="N71" s="575"/>
      <c r="O71" s="575"/>
      <c r="P71" s="575"/>
      <c r="Q71" s="575"/>
      <c r="R71" s="575"/>
      <c r="S71" s="575"/>
      <c r="T71" s="778"/>
      <c r="U71" s="575"/>
      <c r="V71" s="575"/>
      <c r="W71" s="575"/>
      <c r="X71" s="575"/>
      <c r="Y71" s="575"/>
      <c r="Z71" s="575"/>
      <c r="AA71" s="778"/>
      <c r="AB71" s="945"/>
      <c r="AC71" s="575"/>
      <c r="AD71" s="575"/>
      <c r="AE71" s="753"/>
      <c r="AF71" s="575"/>
      <c r="AG71" s="575"/>
      <c r="AH71" s="842"/>
      <c r="AI71" s="1013">
        <f t="shared" si="1"/>
        <v>0</v>
      </c>
      <c r="AJ71" s="949">
        <v>0</v>
      </c>
      <c r="AK71" s="581">
        <f t="shared" si="4"/>
        <v>0</v>
      </c>
      <c r="AL71" s="746" t="s">
        <v>1470</v>
      </c>
      <c r="AM71" s="743">
        <f t="shared" si="5"/>
        <v>3.65</v>
      </c>
    </row>
    <row r="72" spans="1:39" s="560" customFormat="1">
      <c r="A72" s="604" t="s">
        <v>579</v>
      </c>
      <c r="B72" s="604" t="s">
        <v>1177</v>
      </c>
      <c r="C72" s="530" t="s">
        <v>36</v>
      </c>
      <c r="D72" s="580"/>
      <c r="E72" s="581"/>
      <c r="F72" s="778"/>
      <c r="G72" s="581"/>
      <c r="H72" s="581"/>
      <c r="I72" s="949"/>
      <c r="J72" s="949"/>
      <c r="K72" s="825"/>
      <c r="L72" s="575"/>
      <c r="M72" s="778"/>
      <c r="N72" s="575"/>
      <c r="O72" s="575"/>
      <c r="P72" s="575"/>
      <c r="Q72" s="575"/>
      <c r="R72" s="575"/>
      <c r="S72" s="575"/>
      <c r="T72" s="778"/>
      <c r="U72" s="575"/>
      <c r="V72" s="575"/>
      <c r="W72" s="575"/>
      <c r="X72" s="575"/>
      <c r="Y72" s="575"/>
      <c r="Z72" s="575"/>
      <c r="AA72" s="778"/>
      <c r="AB72" s="817"/>
      <c r="AC72" s="575"/>
      <c r="AD72" s="575"/>
      <c r="AE72" s="753"/>
      <c r="AF72" s="575"/>
      <c r="AG72" s="575"/>
      <c r="AH72" s="842"/>
      <c r="AI72" s="1013">
        <f t="shared" si="1"/>
        <v>0</v>
      </c>
      <c r="AJ72" s="949">
        <v>0</v>
      </c>
      <c r="AK72" s="581">
        <f t="shared" si="4"/>
        <v>0</v>
      </c>
      <c r="AL72" s="746" t="s">
        <v>1471</v>
      </c>
      <c r="AM72" s="743">
        <f t="shared" si="5"/>
        <v>41.77</v>
      </c>
    </row>
    <row r="73" spans="1:39" s="560" customFormat="1">
      <c r="A73" s="604" t="s">
        <v>580</v>
      </c>
      <c r="B73" s="604" t="s">
        <v>1178</v>
      </c>
      <c r="C73" s="530" t="s">
        <v>47</v>
      </c>
      <c r="D73" s="580"/>
      <c r="E73" s="581"/>
      <c r="F73" s="778"/>
      <c r="G73" s="581"/>
      <c r="H73" s="581"/>
      <c r="I73" s="949"/>
      <c r="J73" s="949"/>
      <c r="K73" s="825"/>
      <c r="L73" s="575"/>
      <c r="M73" s="778"/>
      <c r="N73" s="575"/>
      <c r="O73" s="575"/>
      <c r="P73" s="575"/>
      <c r="Q73" s="575"/>
      <c r="R73" s="575"/>
      <c r="S73" s="575"/>
      <c r="T73" s="778"/>
      <c r="U73" s="575"/>
      <c r="V73" s="575"/>
      <c r="W73" s="575"/>
      <c r="X73" s="583"/>
      <c r="Y73" s="575"/>
      <c r="Z73" s="575"/>
      <c r="AA73" s="778"/>
      <c r="AB73" s="817"/>
      <c r="AC73" s="575"/>
      <c r="AD73" s="575"/>
      <c r="AE73" s="753"/>
      <c r="AF73" s="575"/>
      <c r="AG73" s="575"/>
      <c r="AH73" s="842"/>
      <c r="AI73" s="1013">
        <f t="shared" si="1"/>
        <v>0</v>
      </c>
      <c r="AJ73" s="949">
        <v>0</v>
      </c>
      <c r="AK73" s="581">
        <f t="shared" si="4"/>
        <v>0</v>
      </c>
      <c r="AL73" s="746" t="s">
        <v>1472</v>
      </c>
      <c r="AM73" s="743">
        <f t="shared" si="5"/>
        <v>298.24</v>
      </c>
    </row>
    <row r="74" spans="1:39" s="560" customFormat="1">
      <c r="A74" s="604" t="s">
        <v>581</v>
      </c>
      <c r="B74" s="604" t="s">
        <v>1179</v>
      </c>
      <c r="C74" s="614" t="s">
        <v>1436</v>
      </c>
      <c r="D74" s="580"/>
      <c r="E74" s="581"/>
      <c r="F74" s="778"/>
      <c r="G74" s="581"/>
      <c r="H74" s="581"/>
      <c r="I74" s="949"/>
      <c r="J74" s="949"/>
      <c r="K74" s="825"/>
      <c r="L74" s="575"/>
      <c r="M74" s="778"/>
      <c r="N74" s="575"/>
      <c r="O74" s="575"/>
      <c r="P74" s="575"/>
      <c r="Q74" s="575"/>
      <c r="R74" s="575"/>
      <c r="S74" s="575"/>
      <c r="T74" s="778"/>
      <c r="U74" s="575"/>
      <c r="V74" s="575"/>
      <c r="W74" s="575"/>
      <c r="X74" s="575"/>
      <c r="Y74" s="575"/>
      <c r="Z74" s="575"/>
      <c r="AA74" s="778"/>
      <c r="AB74" s="817"/>
      <c r="AC74" s="575"/>
      <c r="AD74" s="575"/>
      <c r="AE74" s="753"/>
      <c r="AF74" s="575"/>
      <c r="AG74" s="575"/>
      <c r="AH74" s="842"/>
      <c r="AI74" s="1013">
        <f t="shared" si="1"/>
        <v>0</v>
      </c>
      <c r="AJ74" s="949">
        <v>0</v>
      </c>
      <c r="AK74" s="581">
        <f t="shared" si="4"/>
        <v>0</v>
      </c>
      <c r="AL74" s="746" t="s">
        <v>1473</v>
      </c>
      <c r="AM74" s="743">
        <f t="shared" si="5"/>
        <v>347.95</v>
      </c>
    </row>
    <row r="75" spans="1:39" s="560" customFormat="1">
      <c r="A75" s="604" t="s">
        <v>582</v>
      </c>
      <c r="B75" s="604" t="s">
        <v>1180</v>
      </c>
      <c r="C75" s="679"/>
      <c r="D75" s="580"/>
      <c r="E75" s="581"/>
      <c r="F75" s="778"/>
      <c r="G75" s="581"/>
      <c r="H75" s="581"/>
      <c r="I75" s="949"/>
      <c r="J75" s="949"/>
      <c r="K75" s="825"/>
      <c r="L75" s="575"/>
      <c r="M75" s="778"/>
      <c r="N75" s="575"/>
      <c r="O75" s="575"/>
      <c r="P75" s="575"/>
      <c r="Q75" s="575"/>
      <c r="R75" s="575"/>
      <c r="S75" s="575"/>
      <c r="T75" s="778"/>
      <c r="U75" s="575"/>
      <c r="V75" s="575"/>
      <c r="W75" s="575"/>
      <c r="X75" s="575"/>
      <c r="Y75" s="575"/>
      <c r="Z75" s="575"/>
      <c r="AA75" s="778"/>
      <c r="AB75" s="817"/>
      <c r="AC75" s="575"/>
      <c r="AD75" s="575"/>
      <c r="AE75" s="753"/>
      <c r="AF75" s="575"/>
      <c r="AG75" s="575"/>
      <c r="AH75" s="842"/>
      <c r="AI75" s="1013">
        <f t="shared" si="1"/>
        <v>0</v>
      </c>
      <c r="AJ75" s="949">
        <v>0</v>
      </c>
      <c r="AK75" s="581">
        <f t="shared" si="4"/>
        <v>0</v>
      </c>
      <c r="AL75" s="746"/>
      <c r="AM75" s="743">
        <f t="shared" si="5"/>
        <v>0</v>
      </c>
    </row>
    <row r="76" spans="1:39" s="560" customFormat="1">
      <c r="A76" s="604" t="s">
        <v>583</v>
      </c>
      <c r="B76" s="604" t="s">
        <v>1181</v>
      </c>
      <c r="C76" s="530" t="s">
        <v>39</v>
      </c>
      <c r="D76" s="580"/>
      <c r="E76" s="581"/>
      <c r="F76" s="778"/>
      <c r="G76" s="581"/>
      <c r="H76" s="581"/>
      <c r="I76" s="949"/>
      <c r="J76" s="949"/>
      <c r="K76" s="825"/>
      <c r="L76" s="575"/>
      <c r="M76" s="778"/>
      <c r="N76" s="575"/>
      <c r="O76" s="575"/>
      <c r="P76" s="575"/>
      <c r="Q76" s="575"/>
      <c r="R76" s="575"/>
      <c r="S76" s="575"/>
      <c r="T76" s="778"/>
      <c r="U76" s="575"/>
      <c r="V76" s="575"/>
      <c r="W76" s="575"/>
      <c r="X76" s="575"/>
      <c r="Y76" s="575"/>
      <c r="Z76" s="575"/>
      <c r="AA76" s="778"/>
      <c r="AB76" s="817"/>
      <c r="AC76" s="575"/>
      <c r="AD76" s="575"/>
      <c r="AE76" s="753"/>
      <c r="AF76" s="575"/>
      <c r="AG76" s="575"/>
      <c r="AH76" s="842"/>
      <c r="AI76" s="1013">
        <f t="shared" si="1"/>
        <v>0</v>
      </c>
      <c r="AJ76" s="949">
        <v>0</v>
      </c>
      <c r="AK76" s="581">
        <f t="shared" si="4"/>
        <v>0</v>
      </c>
      <c r="AL76" s="746" t="s">
        <v>1474</v>
      </c>
      <c r="AM76" s="743">
        <f t="shared" si="5"/>
        <v>1.2</v>
      </c>
    </row>
    <row r="77" spans="1:39" s="560" customFormat="1">
      <c r="A77" s="604" t="s">
        <v>584</v>
      </c>
      <c r="B77" s="604" t="s">
        <v>1182</v>
      </c>
      <c r="C77" s="530" t="s">
        <v>36</v>
      </c>
      <c r="D77" s="580"/>
      <c r="E77" s="581"/>
      <c r="F77" s="778"/>
      <c r="G77" s="581"/>
      <c r="H77" s="581"/>
      <c r="I77" s="949"/>
      <c r="J77" s="949"/>
      <c r="K77" s="825"/>
      <c r="L77" s="575"/>
      <c r="M77" s="778"/>
      <c r="N77" s="575"/>
      <c r="O77" s="575"/>
      <c r="P77" s="575"/>
      <c r="Q77" s="575"/>
      <c r="R77" s="575"/>
      <c r="S77" s="575"/>
      <c r="T77" s="778"/>
      <c r="U77" s="575"/>
      <c r="V77" s="575"/>
      <c r="W77" s="575"/>
      <c r="X77" s="575"/>
      <c r="Y77" s="575"/>
      <c r="Z77" s="575"/>
      <c r="AA77" s="778"/>
      <c r="AB77" s="817"/>
      <c r="AC77" s="575"/>
      <c r="AD77" s="575"/>
      <c r="AE77" s="753"/>
      <c r="AF77" s="575"/>
      <c r="AG77" s="575"/>
      <c r="AH77" s="842"/>
      <c r="AI77" s="1013">
        <f t="shared" si="1"/>
        <v>0</v>
      </c>
      <c r="AJ77" s="949">
        <v>0</v>
      </c>
      <c r="AK77" s="581">
        <f t="shared" si="4"/>
        <v>0</v>
      </c>
      <c r="AL77" s="746" t="s">
        <v>1475</v>
      </c>
      <c r="AM77" s="743">
        <f t="shared" si="5"/>
        <v>16</v>
      </c>
    </row>
    <row r="78" spans="1:39" s="560" customFormat="1">
      <c r="A78" s="604" t="s">
        <v>585</v>
      </c>
      <c r="B78" s="604" t="s">
        <v>1183</v>
      </c>
      <c r="C78" s="530" t="s">
        <v>47</v>
      </c>
      <c r="D78" s="580"/>
      <c r="E78" s="581"/>
      <c r="F78" s="778"/>
      <c r="G78" s="581"/>
      <c r="H78" s="581"/>
      <c r="I78" s="949"/>
      <c r="J78" s="949"/>
      <c r="K78" s="825"/>
      <c r="L78" s="575"/>
      <c r="M78" s="778"/>
      <c r="N78" s="575"/>
      <c r="O78" s="575"/>
      <c r="P78" s="575"/>
      <c r="Q78" s="575"/>
      <c r="R78" s="575"/>
      <c r="S78" s="575"/>
      <c r="T78" s="778"/>
      <c r="U78" s="575"/>
      <c r="V78" s="575"/>
      <c r="W78" s="575"/>
      <c r="X78" s="575"/>
      <c r="Y78" s="575"/>
      <c r="Z78" s="575"/>
      <c r="AA78" s="778"/>
      <c r="AB78" s="817"/>
      <c r="AC78" s="575"/>
      <c r="AD78" s="575"/>
      <c r="AE78" s="753"/>
      <c r="AF78" s="575"/>
      <c r="AG78" s="575"/>
      <c r="AH78" s="842"/>
      <c r="AI78" s="1013">
        <f t="shared" si="1"/>
        <v>0</v>
      </c>
      <c r="AJ78" s="949">
        <v>0</v>
      </c>
      <c r="AK78" s="581">
        <f t="shared" si="4"/>
        <v>0</v>
      </c>
      <c r="AL78" s="746" t="s">
        <v>1476</v>
      </c>
      <c r="AM78" s="743">
        <f t="shared" si="5"/>
        <v>124.05</v>
      </c>
    </row>
    <row r="79" spans="1:39" s="560" customFormat="1">
      <c r="A79" s="607" t="s">
        <v>586</v>
      </c>
      <c r="B79" s="607" t="s">
        <v>1184</v>
      </c>
      <c r="C79" s="679"/>
      <c r="D79" s="580"/>
      <c r="E79" s="581"/>
      <c r="F79" s="778"/>
      <c r="G79" s="581"/>
      <c r="H79" s="581"/>
      <c r="I79" s="949"/>
      <c r="J79" s="949"/>
      <c r="K79" s="825"/>
      <c r="L79" s="575"/>
      <c r="M79" s="778"/>
      <c r="N79" s="575"/>
      <c r="O79" s="575"/>
      <c r="P79" s="575"/>
      <c r="Q79" s="575"/>
      <c r="R79" s="575"/>
      <c r="S79" s="575"/>
      <c r="T79" s="778"/>
      <c r="U79" s="575"/>
      <c r="V79" s="575"/>
      <c r="W79" s="575"/>
      <c r="X79" s="575"/>
      <c r="Y79" s="575"/>
      <c r="Z79" s="575"/>
      <c r="AA79" s="778"/>
      <c r="AB79" s="817"/>
      <c r="AC79" s="575"/>
      <c r="AD79" s="575"/>
      <c r="AE79" s="753"/>
      <c r="AF79" s="575"/>
      <c r="AG79" s="575"/>
      <c r="AH79" s="842"/>
      <c r="AI79" s="1013">
        <f t="shared" ref="AI79:AI142" si="6">ROUND((SUM(D79:AH79)),2)</f>
        <v>0</v>
      </c>
      <c r="AJ79" s="949">
        <v>0</v>
      </c>
      <c r="AK79" s="581">
        <f t="shared" si="4"/>
        <v>0</v>
      </c>
      <c r="AL79" s="746"/>
      <c r="AM79" s="743">
        <f t="shared" si="5"/>
        <v>0</v>
      </c>
    </row>
    <row r="80" spans="1:39" s="560" customFormat="1">
      <c r="A80" s="604" t="s">
        <v>587</v>
      </c>
      <c r="B80" s="604" t="s">
        <v>1185</v>
      </c>
      <c r="C80" s="530" t="s">
        <v>37</v>
      </c>
      <c r="D80" s="580"/>
      <c r="E80" s="581"/>
      <c r="F80" s="778"/>
      <c r="G80" s="581"/>
      <c r="H80" s="581"/>
      <c r="I80" s="949"/>
      <c r="J80" s="949"/>
      <c r="K80" s="825"/>
      <c r="L80" s="575"/>
      <c r="M80" s="778"/>
      <c r="N80" s="575"/>
      <c r="O80" s="575"/>
      <c r="P80" s="575"/>
      <c r="Q80" s="575"/>
      <c r="R80" s="575"/>
      <c r="S80" s="575"/>
      <c r="T80" s="778"/>
      <c r="U80" s="575"/>
      <c r="V80" s="575"/>
      <c r="W80" s="575"/>
      <c r="X80" s="575"/>
      <c r="Y80" s="575"/>
      <c r="Z80" s="575"/>
      <c r="AA80" s="778"/>
      <c r="AB80" s="817"/>
      <c r="AC80" s="575"/>
      <c r="AD80" s="575"/>
      <c r="AE80" s="753"/>
      <c r="AF80" s="575"/>
      <c r="AG80" s="575"/>
      <c r="AH80" s="842"/>
      <c r="AI80" s="1013">
        <f t="shared" si="6"/>
        <v>0</v>
      </c>
      <c r="AJ80" s="949">
        <v>0</v>
      </c>
      <c r="AK80" s="581">
        <f t="shared" si="4"/>
        <v>0</v>
      </c>
      <c r="AL80" s="746" t="s">
        <v>1477</v>
      </c>
      <c r="AM80" s="743">
        <f t="shared" si="5"/>
        <v>59.04</v>
      </c>
    </row>
    <row r="81" spans="1:39" s="560" customFormat="1">
      <c r="A81" s="607" t="s">
        <v>588</v>
      </c>
      <c r="B81" s="607" t="s">
        <v>1186</v>
      </c>
      <c r="C81" s="690"/>
      <c r="D81" s="580"/>
      <c r="E81" s="581"/>
      <c r="F81" s="778"/>
      <c r="G81" s="581"/>
      <c r="H81" s="581"/>
      <c r="I81" s="949"/>
      <c r="J81" s="949"/>
      <c r="K81" s="825"/>
      <c r="L81" s="575"/>
      <c r="M81" s="778"/>
      <c r="N81" s="575"/>
      <c r="O81" s="575"/>
      <c r="P81" s="575"/>
      <c r="Q81" s="575"/>
      <c r="R81" s="575"/>
      <c r="S81" s="575"/>
      <c r="T81" s="778"/>
      <c r="U81" s="575"/>
      <c r="V81" s="575"/>
      <c r="W81" s="575"/>
      <c r="X81" s="575"/>
      <c r="Y81" s="575"/>
      <c r="Z81" s="575"/>
      <c r="AA81" s="778"/>
      <c r="AB81" s="817"/>
      <c r="AC81" s="575"/>
      <c r="AD81" s="575"/>
      <c r="AE81" s="753"/>
      <c r="AF81" s="575"/>
      <c r="AG81" s="575"/>
      <c r="AH81" s="842"/>
      <c r="AI81" s="1013">
        <f t="shared" si="6"/>
        <v>0</v>
      </c>
      <c r="AJ81" s="949">
        <v>0</v>
      </c>
      <c r="AK81" s="581">
        <f t="shared" si="4"/>
        <v>0</v>
      </c>
      <c r="AL81" s="746"/>
      <c r="AM81" s="743">
        <f t="shared" si="5"/>
        <v>0</v>
      </c>
    </row>
    <row r="82" spans="1:39" s="560" customFormat="1">
      <c r="A82" s="604" t="s">
        <v>589</v>
      </c>
      <c r="B82" s="604" t="s">
        <v>1187</v>
      </c>
      <c r="C82" s="530" t="s">
        <v>37</v>
      </c>
      <c r="D82" s="580"/>
      <c r="E82" s="581"/>
      <c r="F82" s="778"/>
      <c r="G82" s="581"/>
      <c r="H82" s="581"/>
      <c r="I82" s="949"/>
      <c r="J82" s="949"/>
      <c r="K82" s="825"/>
      <c r="L82" s="575"/>
      <c r="M82" s="778"/>
      <c r="N82" s="575"/>
      <c r="O82" s="575"/>
      <c r="P82" s="575"/>
      <c r="Q82" s="575"/>
      <c r="R82" s="575"/>
      <c r="S82" s="575"/>
      <c r="T82" s="778"/>
      <c r="U82" s="575"/>
      <c r="V82" s="575"/>
      <c r="W82" s="575"/>
      <c r="X82" s="575"/>
      <c r="Y82" s="575"/>
      <c r="Z82" s="575"/>
      <c r="AA82" s="778"/>
      <c r="AB82" s="817"/>
      <c r="AC82" s="575"/>
      <c r="AD82" s="575"/>
      <c r="AE82" s="753"/>
      <c r="AF82" s="575"/>
      <c r="AG82" s="575"/>
      <c r="AH82" s="842"/>
      <c r="AI82" s="1013">
        <f t="shared" si="6"/>
        <v>0</v>
      </c>
      <c r="AJ82" s="949">
        <v>0</v>
      </c>
      <c r="AK82" s="581">
        <f t="shared" si="4"/>
        <v>0</v>
      </c>
      <c r="AL82" s="746" t="s">
        <v>1478</v>
      </c>
      <c r="AM82" s="743">
        <f t="shared" si="5"/>
        <v>100.3</v>
      </c>
    </row>
    <row r="83" spans="1:39" s="560" customFormat="1">
      <c r="A83" s="604" t="s">
        <v>590</v>
      </c>
      <c r="B83" s="604" t="s">
        <v>224</v>
      </c>
      <c r="C83" s="530" t="s">
        <v>1436</v>
      </c>
      <c r="D83" s="586"/>
      <c r="E83" s="587"/>
      <c r="F83" s="783"/>
      <c r="G83" s="587"/>
      <c r="H83" s="587"/>
      <c r="I83" s="588"/>
      <c r="J83" s="588"/>
      <c r="K83" s="865"/>
      <c r="L83" s="575"/>
      <c r="M83" s="783"/>
      <c r="N83" s="575"/>
      <c r="O83" s="575"/>
      <c r="P83" s="575"/>
      <c r="Q83" s="575"/>
      <c r="R83" s="575"/>
      <c r="S83" s="575"/>
      <c r="T83" s="783"/>
      <c r="U83" s="575"/>
      <c r="V83" s="575"/>
      <c r="W83" s="575"/>
      <c r="X83" s="575"/>
      <c r="Y83" s="575"/>
      <c r="Z83" s="575"/>
      <c r="AA83" s="783"/>
      <c r="AB83" s="817"/>
      <c r="AC83" s="575"/>
      <c r="AD83" s="575"/>
      <c r="AE83" s="753"/>
      <c r="AF83" s="575"/>
      <c r="AG83" s="575"/>
      <c r="AH83" s="842"/>
      <c r="AI83" s="1013">
        <f t="shared" si="6"/>
        <v>0</v>
      </c>
      <c r="AJ83" s="949">
        <v>0</v>
      </c>
      <c r="AK83" s="581">
        <f t="shared" si="4"/>
        <v>0</v>
      </c>
      <c r="AL83" s="747" t="s">
        <v>1479</v>
      </c>
      <c r="AM83" s="743">
        <f t="shared" si="5"/>
        <v>15</v>
      </c>
    </row>
    <row r="84" spans="1:39" s="560" customFormat="1">
      <c r="A84" s="492" t="s">
        <v>43</v>
      </c>
      <c r="B84" s="608" t="s">
        <v>1188</v>
      </c>
      <c r="C84" s="679"/>
      <c r="D84" s="580"/>
      <c r="E84" s="581"/>
      <c r="F84" s="778"/>
      <c r="G84" s="581"/>
      <c r="H84" s="581"/>
      <c r="I84" s="949"/>
      <c r="J84" s="949"/>
      <c r="K84" s="825"/>
      <c r="L84" s="575"/>
      <c r="M84" s="778"/>
      <c r="N84" s="575"/>
      <c r="O84" s="575"/>
      <c r="P84" s="575"/>
      <c r="Q84" s="575"/>
      <c r="R84" s="575"/>
      <c r="S84" s="575"/>
      <c r="T84" s="778"/>
      <c r="U84" s="575"/>
      <c r="V84" s="575"/>
      <c r="W84" s="575"/>
      <c r="X84" s="575"/>
      <c r="Y84" s="575"/>
      <c r="Z84" s="575"/>
      <c r="AA84" s="778"/>
      <c r="AB84" s="817"/>
      <c r="AC84" s="575"/>
      <c r="AD84" s="575"/>
      <c r="AE84" s="753"/>
      <c r="AF84" s="575"/>
      <c r="AG84" s="575"/>
      <c r="AH84" s="842"/>
      <c r="AI84" s="1013">
        <f t="shared" si="6"/>
        <v>0</v>
      </c>
      <c r="AJ84" s="949">
        <v>0</v>
      </c>
      <c r="AK84" s="581">
        <f t="shared" ref="AK84:AK147" si="7">AI84+AJ84</f>
        <v>0</v>
      </c>
      <c r="AL84" s="746"/>
      <c r="AM84" s="743">
        <f t="shared" ref="AM84:AM147" si="8">AL84-AK84</f>
        <v>0</v>
      </c>
    </row>
    <row r="85" spans="1:39" s="560" customFormat="1">
      <c r="A85" s="607" t="s">
        <v>53</v>
      </c>
      <c r="B85" s="607" t="s">
        <v>45</v>
      </c>
      <c r="C85" s="679"/>
      <c r="D85" s="580"/>
      <c r="E85" s="581"/>
      <c r="F85" s="778"/>
      <c r="G85" s="581"/>
      <c r="H85" s="581"/>
      <c r="I85" s="949"/>
      <c r="J85" s="949"/>
      <c r="K85" s="825"/>
      <c r="L85" s="575"/>
      <c r="M85" s="778"/>
      <c r="N85" s="575"/>
      <c r="O85" s="575"/>
      <c r="P85" s="575"/>
      <c r="Q85" s="575"/>
      <c r="R85" s="575"/>
      <c r="S85" s="575"/>
      <c r="T85" s="778"/>
      <c r="U85" s="575"/>
      <c r="V85" s="575"/>
      <c r="W85" s="575"/>
      <c r="X85" s="575"/>
      <c r="Y85" s="575"/>
      <c r="Z85" s="575"/>
      <c r="AA85" s="778"/>
      <c r="AB85" s="817"/>
      <c r="AC85" s="575"/>
      <c r="AD85" s="575"/>
      <c r="AE85" s="753"/>
      <c r="AF85" s="575"/>
      <c r="AG85" s="575"/>
      <c r="AH85" s="842"/>
      <c r="AI85" s="1013">
        <f t="shared" si="6"/>
        <v>0</v>
      </c>
      <c r="AJ85" s="949">
        <v>0</v>
      </c>
      <c r="AK85" s="581">
        <f t="shared" si="7"/>
        <v>0</v>
      </c>
      <c r="AL85" s="746"/>
      <c r="AM85" s="743">
        <f t="shared" si="8"/>
        <v>0</v>
      </c>
    </row>
    <row r="86" spans="1:39" s="560" customFormat="1">
      <c r="A86" s="604" t="s">
        <v>591</v>
      </c>
      <c r="B86" s="604" t="s">
        <v>1142</v>
      </c>
      <c r="C86" s="530" t="s">
        <v>39</v>
      </c>
      <c r="D86" s="580"/>
      <c r="E86" s="581"/>
      <c r="F86" s="778"/>
      <c r="G86" s="581"/>
      <c r="H86" s="581"/>
      <c r="I86" s="949"/>
      <c r="J86" s="949"/>
      <c r="K86" s="825"/>
      <c r="L86" s="575"/>
      <c r="M86" s="778"/>
      <c r="N86" s="575"/>
      <c r="O86" s="575"/>
      <c r="P86" s="575"/>
      <c r="Q86" s="575"/>
      <c r="R86" s="575"/>
      <c r="S86" s="575"/>
      <c r="T86" s="778"/>
      <c r="U86" s="575"/>
      <c r="V86" s="575"/>
      <c r="W86" s="575"/>
      <c r="X86" s="575"/>
      <c r="Y86" s="575"/>
      <c r="Z86" s="575"/>
      <c r="AA86" s="778"/>
      <c r="AB86" s="817"/>
      <c r="AC86" s="575"/>
      <c r="AD86" s="575"/>
      <c r="AE86" s="753"/>
      <c r="AF86" s="575"/>
      <c r="AG86" s="575"/>
      <c r="AH86" s="842"/>
      <c r="AI86" s="1013">
        <f t="shared" si="6"/>
        <v>0</v>
      </c>
      <c r="AJ86" s="949">
        <v>0</v>
      </c>
      <c r="AK86" s="581">
        <f t="shared" si="7"/>
        <v>0</v>
      </c>
      <c r="AL86" s="746" t="s">
        <v>1480</v>
      </c>
      <c r="AM86" s="743">
        <f t="shared" si="8"/>
        <v>34.270000000000003</v>
      </c>
    </row>
    <row r="87" spans="1:39" s="560" customFormat="1">
      <c r="A87" s="604" t="s">
        <v>592</v>
      </c>
      <c r="B87" s="604" t="s">
        <v>1143</v>
      </c>
      <c r="C87" s="530" t="s">
        <v>39</v>
      </c>
      <c r="D87" s="580"/>
      <c r="E87" s="581"/>
      <c r="F87" s="778"/>
      <c r="G87" s="581"/>
      <c r="H87" s="581"/>
      <c r="I87" s="949"/>
      <c r="J87" s="949"/>
      <c r="K87" s="825"/>
      <c r="L87" s="575"/>
      <c r="M87" s="778"/>
      <c r="N87" s="575"/>
      <c r="O87" s="575"/>
      <c r="P87" s="575"/>
      <c r="Q87" s="575"/>
      <c r="R87" s="575"/>
      <c r="S87" s="575"/>
      <c r="T87" s="778"/>
      <c r="U87" s="575"/>
      <c r="V87" s="575"/>
      <c r="W87" s="575"/>
      <c r="X87" s="575"/>
      <c r="Y87" s="575"/>
      <c r="Z87" s="575"/>
      <c r="AA87" s="778"/>
      <c r="AB87" s="817"/>
      <c r="AC87" s="575"/>
      <c r="AD87" s="575"/>
      <c r="AE87" s="753"/>
      <c r="AF87" s="575"/>
      <c r="AG87" s="575"/>
      <c r="AH87" s="842"/>
      <c r="AI87" s="1013">
        <f t="shared" si="6"/>
        <v>0</v>
      </c>
      <c r="AJ87" s="949">
        <v>0</v>
      </c>
      <c r="AK87" s="581">
        <f t="shared" si="7"/>
        <v>0</v>
      </c>
      <c r="AL87" s="746" t="s">
        <v>1481</v>
      </c>
      <c r="AM87" s="743">
        <f t="shared" si="8"/>
        <v>16.989999999999998</v>
      </c>
    </row>
    <row r="88" spans="1:39" s="560" customFormat="1">
      <c r="A88" s="604" t="s">
        <v>593</v>
      </c>
      <c r="B88" s="604" t="s">
        <v>1144</v>
      </c>
      <c r="C88" s="614" t="s">
        <v>39</v>
      </c>
      <c r="D88" s="580"/>
      <c r="E88" s="581"/>
      <c r="F88" s="778"/>
      <c r="G88" s="581"/>
      <c r="H88" s="581"/>
      <c r="I88" s="949"/>
      <c r="J88" s="949"/>
      <c r="K88" s="825"/>
      <c r="L88" s="575"/>
      <c r="M88" s="778"/>
      <c r="N88" s="575"/>
      <c r="O88" s="575"/>
      <c r="P88" s="575"/>
      <c r="Q88" s="575"/>
      <c r="R88" s="575"/>
      <c r="S88" s="575"/>
      <c r="T88" s="778"/>
      <c r="U88" s="575"/>
      <c r="V88" s="575"/>
      <c r="W88" s="575"/>
      <c r="X88" s="575"/>
      <c r="Y88" s="575"/>
      <c r="Z88" s="575"/>
      <c r="AA88" s="778"/>
      <c r="AB88" s="817"/>
      <c r="AC88" s="575"/>
      <c r="AD88" s="575"/>
      <c r="AE88" s="753"/>
      <c r="AF88" s="575"/>
      <c r="AG88" s="575"/>
      <c r="AH88" s="842"/>
      <c r="AI88" s="1013">
        <f t="shared" si="6"/>
        <v>0</v>
      </c>
      <c r="AJ88" s="949">
        <v>0</v>
      </c>
      <c r="AK88" s="581">
        <f t="shared" si="7"/>
        <v>0</v>
      </c>
      <c r="AL88" s="746" t="s">
        <v>1482</v>
      </c>
      <c r="AM88" s="743">
        <f t="shared" si="8"/>
        <v>28.37</v>
      </c>
    </row>
    <row r="89" spans="1:39" s="560" customFormat="1">
      <c r="A89" s="604" t="s">
        <v>594</v>
      </c>
      <c r="B89" s="604" t="s">
        <v>1145</v>
      </c>
      <c r="C89" s="530" t="s">
        <v>36</v>
      </c>
      <c r="D89" s="580"/>
      <c r="E89" s="581"/>
      <c r="F89" s="778"/>
      <c r="G89" s="581"/>
      <c r="H89" s="581"/>
      <c r="I89" s="949"/>
      <c r="J89" s="949"/>
      <c r="K89" s="825"/>
      <c r="L89" s="575"/>
      <c r="M89" s="778"/>
      <c r="N89" s="575"/>
      <c r="O89" s="575"/>
      <c r="P89" s="575"/>
      <c r="Q89" s="575"/>
      <c r="R89" s="575"/>
      <c r="S89" s="575"/>
      <c r="T89" s="778"/>
      <c r="U89" s="575"/>
      <c r="V89" s="575"/>
      <c r="W89" s="575"/>
      <c r="X89" s="575"/>
      <c r="Y89" s="575"/>
      <c r="Z89" s="575"/>
      <c r="AA89" s="778"/>
      <c r="AB89" s="817"/>
      <c r="AC89" s="575"/>
      <c r="AD89" s="575"/>
      <c r="AE89" s="753"/>
      <c r="AF89" s="575"/>
      <c r="AG89" s="575"/>
      <c r="AH89" s="842"/>
      <c r="AI89" s="1013">
        <f t="shared" si="6"/>
        <v>0</v>
      </c>
      <c r="AJ89" s="949">
        <v>0</v>
      </c>
      <c r="AK89" s="581">
        <f t="shared" si="7"/>
        <v>0</v>
      </c>
      <c r="AL89" s="746" t="s">
        <v>1483</v>
      </c>
      <c r="AM89" s="743">
        <f t="shared" si="8"/>
        <v>57.19</v>
      </c>
    </row>
    <row r="90" spans="1:39" s="560" customFormat="1">
      <c r="A90" s="604" t="s">
        <v>595</v>
      </c>
      <c r="B90" s="604" t="s">
        <v>1146</v>
      </c>
      <c r="C90" s="530" t="s">
        <v>39</v>
      </c>
      <c r="D90" s="580"/>
      <c r="E90" s="581"/>
      <c r="F90" s="778"/>
      <c r="G90" s="581"/>
      <c r="H90" s="581"/>
      <c r="I90" s="949"/>
      <c r="J90" s="949"/>
      <c r="K90" s="825"/>
      <c r="L90" s="575"/>
      <c r="M90" s="778"/>
      <c r="N90" s="575"/>
      <c r="O90" s="575"/>
      <c r="P90" s="575"/>
      <c r="Q90" s="575"/>
      <c r="R90" s="575"/>
      <c r="S90" s="575"/>
      <c r="T90" s="778"/>
      <c r="U90" s="575"/>
      <c r="V90" s="575"/>
      <c r="W90" s="575"/>
      <c r="X90" s="575"/>
      <c r="Y90" s="575"/>
      <c r="Z90" s="575"/>
      <c r="AA90" s="778"/>
      <c r="AB90" s="817"/>
      <c r="AC90" s="575"/>
      <c r="AD90" s="575"/>
      <c r="AE90" s="753"/>
      <c r="AF90" s="575"/>
      <c r="AG90" s="575"/>
      <c r="AH90" s="842"/>
      <c r="AI90" s="1013">
        <f t="shared" si="6"/>
        <v>0</v>
      </c>
      <c r="AJ90" s="949">
        <v>0</v>
      </c>
      <c r="AK90" s="581">
        <f t="shared" si="7"/>
        <v>0</v>
      </c>
      <c r="AL90" s="746" t="s">
        <v>1484</v>
      </c>
      <c r="AM90" s="743">
        <f t="shared" si="8"/>
        <v>28.61</v>
      </c>
    </row>
    <row r="91" spans="1:39" s="560" customFormat="1">
      <c r="A91" s="604" t="s">
        <v>596</v>
      </c>
      <c r="B91" s="604" t="s">
        <v>1147</v>
      </c>
      <c r="C91" s="530" t="s">
        <v>39</v>
      </c>
      <c r="D91" s="580"/>
      <c r="E91" s="581"/>
      <c r="F91" s="778"/>
      <c r="G91" s="581"/>
      <c r="H91" s="581"/>
      <c r="I91" s="949"/>
      <c r="J91" s="949"/>
      <c r="K91" s="825"/>
      <c r="L91" s="575"/>
      <c r="M91" s="778"/>
      <c r="N91" s="575"/>
      <c r="O91" s="575"/>
      <c r="P91" s="575"/>
      <c r="Q91" s="575"/>
      <c r="R91" s="575"/>
      <c r="S91" s="575"/>
      <c r="T91" s="778"/>
      <c r="U91" s="575"/>
      <c r="V91" s="575"/>
      <c r="W91" s="575"/>
      <c r="X91" s="575"/>
      <c r="Y91" s="575"/>
      <c r="Z91" s="575"/>
      <c r="AA91" s="778"/>
      <c r="AB91" s="817"/>
      <c r="AC91" s="575"/>
      <c r="AD91" s="575"/>
      <c r="AE91" s="753"/>
      <c r="AF91" s="575"/>
      <c r="AG91" s="575"/>
      <c r="AH91" s="842"/>
      <c r="AI91" s="1013">
        <f t="shared" si="6"/>
        <v>0</v>
      </c>
      <c r="AJ91" s="949">
        <v>0</v>
      </c>
      <c r="AK91" s="581">
        <f t="shared" si="7"/>
        <v>0</v>
      </c>
      <c r="AL91" s="746" t="s">
        <v>1484</v>
      </c>
      <c r="AM91" s="743">
        <f t="shared" si="8"/>
        <v>28.61</v>
      </c>
    </row>
    <row r="92" spans="1:39" s="560" customFormat="1">
      <c r="A92" s="607" t="s">
        <v>54</v>
      </c>
      <c r="B92" s="607" t="s">
        <v>1148</v>
      </c>
      <c r="C92" s="679"/>
      <c r="D92" s="580"/>
      <c r="E92" s="581"/>
      <c r="F92" s="778"/>
      <c r="G92" s="581"/>
      <c r="H92" s="581"/>
      <c r="I92" s="949"/>
      <c r="J92" s="949"/>
      <c r="K92" s="825"/>
      <c r="L92" s="575"/>
      <c r="M92" s="778"/>
      <c r="N92" s="575"/>
      <c r="O92" s="575"/>
      <c r="P92" s="575"/>
      <c r="Q92" s="575"/>
      <c r="R92" s="575"/>
      <c r="S92" s="575"/>
      <c r="T92" s="778"/>
      <c r="U92" s="575"/>
      <c r="V92" s="575"/>
      <c r="W92" s="575"/>
      <c r="X92" s="575"/>
      <c r="Y92" s="575"/>
      <c r="Z92" s="575"/>
      <c r="AA92" s="778"/>
      <c r="AB92" s="817"/>
      <c r="AC92" s="575"/>
      <c r="AD92" s="575"/>
      <c r="AE92" s="753"/>
      <c r="AF92" s="575"/>
      <c r="AG92" s="575"/>
      <c r="AH92" s="842"/>
      <c r="AI92" s="1013">
        <f t="shared" si="6"/>
        <v>0</v>
      </c>
      <c r="AJ92" s="949">
        <v>0</v>
      </c>
      <c r="AK92" s="581">
        <f t="shared" si="7"/>
        <v>0</v>
      </c>
      <c r="AL92" s="746"/>
      <c r="AM92" s="743">
        <f t="shared" si="8"/>
        <v>0</v>
      </c>
    </row>
    <row r="93" spans="1:39" s="560" customFormat="1">
      <c r="A93" s="604" t="s">
        <v>597</v>
      </c>
      <c r="B93" s="604" t="s">
        <v>1189</v>
      </c>
      <c r="C93" s="530" t="s">
        <v>36</v>
      </c>
      <c r="D93" s="580"/>
      <c r="E93" s="581"/>
      <c r="F93" s="778"/>
      <c r="G93" s="581"/>
      <c r="H93" s="581"/>
      <c r="I93" s="949"/>
      <c r="J93" s="949"/>
      <c r="K93" s="825"/>
      <c r="L93" s="575"/>
      <c r="M93" s="778"/>
      <c r="N93" s="575"/>
      <c r="O93" s="575"/>
      <c r="R93" s="575"/>
      <c r="S93" s="575"/>
      <c r="T93" s="778"/>
      <c r="U93" s="575"/>
      <c r="V93" s="741"/>
      <c r="W93" s="741"/>
      <c r="X93" s="741"/>
      <c r="Y93" s="741"/>
      <c r="Z93" s="746"/>
      <c r="AA93" s="778"/>
      <c r="AB93" s="934"/>
      <c r="AD93" s="741"/>
      <c r="AE93" s="753"/>
      <c r="AF93" s="575"/>
      <c r="AG93" s="575"/>
      <c r="AH93" s="842"/>
      <c r="AI93" s="1013">
        <f t="shared" si="6"/>
        <v>0</v>
      </c>
      <c r="AJ93" s="949">
        <v>0</v>
      </c>
      <c r="AK93" s="581">
        <f t="shared" si="7"/>
        <v>0</v>
      </c>
      <c r="AL93" s="746" t="s">
        <v>1485</v>
      </c>
      <c r="AM93" s="743">
        <f t="shared" si="8"/>
        <v>26.55</v>
      </c>
    </row>
    <row r="94" spans="1:39" s="897" customFormat="1">
      <c r="A94" s="886" t="s">
        <v>598</v>
      </c>
      <c r="B94" s="886" t="s">
        <v>1190</v>
      </c>
      <c r="C94" s="887" t="s">
        <v>39</v>
      </c>
      <c r="D94" s="580"/>
      <c r="E94" s="581"/>
      <c r="F94" s="778"/>
      <c r="G94" s="581"/>
      <c r="H94" s="581"/>
      <c r="I94" s="949"/>
      <c r="J94" s="949"/>
      <c r="K94" s="825"/>
      <c r="L94" s="575"/>
      <c r="M94" s="778"/>
      <c r="N94" s="575"/>
      <c r="O94" s="575"/>
      <c r="P94" s="575"/>
      <c r="Q94" s="575"/>
      <c r="R94" s="575"/>
      <c r="S94" s="575"/>
      <c r="T94" s="778"/>
      <c r="U94" s="575"/>
      <c r="V94" s="575"/>
      <c r="W94" s="575"/>
      <c r="X94" s="575"/>
      <c r="Y94" s="575"/>
      <c r="Z94" s="575"/>
      <c r="AA94" s="778"/>
      <c r="AB94" s="817"/>
      <c r="AC94" s="575"/>
      <c r="AD94" s="575"/>
      <c r="AE94" s="753"/>
      <c r="AF94" s="575"/>
      <c r="AG94" s="575"/>
      <c r="AH94" s="842"/>
      <c r="AI94" s="1013">
        <f t="shared" si="6"/>
        <v>0</v>
      </c>
      <c r="AJ94" s="949">
        <v>0</v>
      </c>
      <c r="AK94" s="581">
        <f t="shared" si="7"/>
        <v>0</v>
      </c>
      <c r="AL94" s="895" t="s">
        <v>1486</v>
      </c>
      <c r="AM94" s="896">
        <f t="shared" si="8"/>
        <v>12.87</v>
      </c>
    </row>
    <row r="95" spans="1:39" s="897" customFormat="1">
      <c r="A95" s="886" t="s">
        <v>599</v>
      </c>
      <c r="B95" s="886" t="s">
        <v>1191</v>
      </c>
      <c r="C95" s="887" t="s">
        <v>39</v>
      </c>
      <c r="D95" s="580"/>
      <c r="E95" s="581"/>
      <c r="F95" s="778"/>
      <c r="G95" s="581"/>
      <c r="H95" s="581"/>
      <c r="I95" s="949"/>
      <c r="J95" s="949"/>
      <c r="K95" s="825"/>
      <c r="L95" s="575"/>
      <c r="M95" s="778"/>
      <c r="N95" s="575"/>
      <c r="O95" s="575"/>
      <c r="P95" s="575"/>
      <c r="Q95" s="575"/>
      <c r="R95" s="575"/>
      <c r="S95" s="575"/>
      <c r="T95" s="778"/>
      <c r="U95" s="575"/>
      <c r="V95" s="575"/>
      <c r="W95" s="575"/>
      <c r="X95" s="575"/>
      <c r="Y95" s="575"/>
      <c r="Z95" s="575"/>
      <c r="AA95" s="778"/>
      <c r="AB95" s="817"/>
      <c r="AC95" s="575"/>
      <c r="AD95" s="575"/>
      <c r="AE95" s="753"/>
      <c r="AF95" s="575"/>
      <c r="AG95" s="575"/>
      <c r="AH95" s="842"/>
      <c r="AI95" s="1013">
        <f t="shared" si="6"/>
        <v>0</v>
      </c>
      <c r="AJ95" s="949">
        <v>0</v>
      </c>
      <c r="AK95" s="581">
        <f t="shared" si="7"/>
        <v>0</v>
      </c>
      <c r="AL95" s="895" t="s">
        <v>1487</v>
      </c>
      <c r="AM95" s="896">
        <f t="shared" si="8"/>
        <v>2.68</v>
      </c>
    </row>
    <row r="96" spans="1:39" s="897" customFormat="1">
      <c r="A96" s="886" t="s">
        <v>600</v>
      </c>
      <c r="B96" s="886" t="s">
        <v>1153</v>
      </c>
      <c r="C96" s="900" t="s">
        <v>36</v>
      </c>
      <c r="D96" s="580"/>
      <c r="E96" s="581"/>
      <c r="F96" s="778"/>
      <c r="G96" s="581"/>
      <c r="H96" s="581"/>
      <c r="I96" s="949"/>
      <c r="J96" s="949"/>
      <c r="K96" s="825"/>
      <c r="L96" s="575"/>
      <c r="M96" s="778"/>
      <c r="N96" s="575"/>
      <c r="O96" s="575"/>
      <c r="P96" s="575"/>
      <c r="Q96" s="575"/>
      <c r="R96" s="575"/>
      <c r="S96" s="575"/>
      <c r="T96" s="778"/>
      <c r="U96" s="575"/>
      <c r="V96" s="575"/>
      <c r="W96" s="575"/>
      <c r="X96" s="575"/>
      <c r="Y96" s="575"/>
      <c r="Z96" s="575"/>
      <c r="AA96" s="778"/>
      <c r="AB96" s="817"/>
      <c r="AC96" s="575"/>
      <c r="AD96" s="575"/>
      <c r="AE96" s="753"/>
      <c r="AF96" s="575"/>
      <c r="AG96" s="575"/>
      <c r="AH96" s="842"/>
      <c r="AI96" s="1013">
        <f t="shared" si="6"/>
        <v>0</v>
      </c>
      <c r="AJ96" s="949">
        <v>0</v>
      </c>
      <c r="AK96" s="581">
        <f t="shared" si="7"/>
        <v>0</v>
      </c>
      <c r="AL96" s="895" t="s">
        <v>1488</v>
      </c>
      <c r="AM96" s="896">
        <f t="shared" si="8"/>
        <v>96.66</v>
      </c>
    </row>
    <row r="97" spans="1:39" s="560" customFormat="1">
      <c r="A97" s="604" t="s">
        <v>601</v>
      </c>
      <c r="B97" s="604" t="s">
        <v>1154</v>
      </c>
      <c r="C97" s="530" t="s">
        <v>36</v>
      </c>
      <c r="D97" s="580"/>
      <c r="E97" s="581"/>
      <c r="F97" s="778"/>
      <c r="G97" s="581"/>
      <c r="H97" s="581"/>
      <c r="I97" s="949"/>
      <c r="J97" s="949"/>
      <c r="K97" s="825"/>
      <c r="L97" s="575"/>
      <c r="M97" s="778"/>
      <c r="N97" s="575"/>
      <c r="O97" s="575"/>
      <c r="P97" s="575"/>
      <c r="Q97" s="575"/>
      <c r="R97" s="575"/>
      <c r="S97" s="575"/>
      <c r="T97" s="778"/>
      <c r="U97" s="575"/>
      <c r="V97" s="575"/>
      <c r="W97" s="575"/>
      <c r="X97" s="575"/>
      <c r="Y97" s="575"/>
      <c r="Z97" s="575"/>
      <c r="AA97" s="778"/>
      <c r="AB97" s="817"/>
      <c r="AC97" s="575"/>
      <c r="AD97" s="575"/>
      <c r="AE97" s="753"/>
      <c r="AF97" s="575"/>
      <c r="AG97" s="575"/>
      <c r="AH97" s="842"/>
      <c r="AI97" s="1013">
        <f t="shared" si="6"/>
        <v>0</v>
      </c>
      <c r="AJ97" s="949">
        <v>0</v>
      </c>
      <c r="AK97" s="581">
        <f t="shared" si="7"/>
        <v>0</v>
      </c>
      <c r="AL97" s="746" t="s">
        <v>1483</v>
      </c>
      <c r="AM97" s="743">
        <f t="shared" si="8"/>
        <v>57.19</v>
      </c>
    </row>
    <row r="98" spans="1:39" s="560" customFormat="1">
      <c r="A98" s="607" t="s">
        <v>602</v>
      </c>
      <c r="B98" s="607" t="s">
        <v>1155</v>
      </c>
      <c r="C98" s="679"/>
      <c r="D98" s="580"/>
      <c r="E98" s="581"/>
      <c r="F98" s="778"/>
      <c r="G98" s="581"/>
      <c r="H98" s="581"/>
      <c r="I98" s="949"/>
      <c r="J98" s="949"/>
      <c r="K98" s="825"/>
      <c r="L98" s="575"/>
      <c r="M98" s="778"/>
      <c r="N98" s="575"/>
      <c r="O98" s="575"/>
      <c r="P98" s="575"/>
      <c r="Q98" s="575"/>
      <c r="R98" s="575"/>
      <c r="S98" s="575"/>
      <c r="T98" s="778"/>
      <c r="U98" s="575"/>
      <c r="V98" s="575"/>
      <c r="W98" s="575"/>
      <c r="X98" s="575"/>
      <c r="Y98" s="575"/>
      <c r="Z98" s="575"/>
      <c r="AA98" s="778"/>
      <c r="AB98" s="817"/>
      <c r="AC98" s="575"/>
      <c r="AD98" s="575"/>
      <c r="AE98" s="753"/>
      <c r="AF98" s="575"/>
      <c r="AG98" s="575"/>
      <c r="AH98" s="842"/>
      <c r="AI98" s="1013">
        <f t="shared" si="6"/>
        <v>0</v>
      </c>
      <c r="AJ98" s="949">
        <v>0</v>
      </c>
      <c r="AK98" s="581">
        <f t="shared" si="7"/>
        <v>0</v>
      </c>
      <c r="AL98" s="746"/>
      <c r="AM98" s="743">
        <f t="shared" si="8"/>
        <v>0</v>
      </c>
    </row>
    <row r="99" spans="1:39" s="560" customFormat="1">
      <c r="A99" s="604" t="s">
        <v>603</v>
      </c>
      <c r="B99" s="604" t="s">
        <v>1156</v>
      </c>
      <c r="C99" s="679"/>
      <c r="D99" s="580"/>
      <c r="E99" s="581"/>
      <c r="F99" s="778"/>
      <c r="G99" s="581"/>
      <c r="H99" s="581"/>
      <c r="I99" s="949"/>
      <c r="J99" s="949"/>
      <c r="K99" s="825"/>
      <c r="L99" s="575"/>
      <c r="M99" s="778"/>
      <c r="N99" s="575"/>
      <c r="O99" s="575"/>
      <c r="P99" s="575"/>
      <c r="Q99" s="575"/>
      <c r="R99" s="575"/>
      <c r="S99" s="575"/>
      <c r="T99" s="778"/>
      <c r="U99" s="575"/>
      <c r="V99" s="575"/>
      <c r="W99" s="575"/>
      <c r="X99" s="575"/>
      <c r="Y99" s="575"/>
      <c r="Z99" s="575"/>
      <c r="AA99" s="778"/>
      <c r="AB99" s="817"/>
      <c r="AC99" s="575"/>
      <c r="AD99" s="575"/>
      <c r="AE99" s="753"/>
      <c r="AF99" s="575"/>
      <c r="AG99" s="575"/>
      <c r="AH99" s="842"/>
      <c r="AI99" s="1013">
        <f t="shared" si="6"/>
        <v>0</v>
      </c>
      <c r="AJ99" s="949">
        <v>0</v>
      </c>
      <c r="AK99" s="581">
        <f t="shared" si="7"/>
        <v>0</v>
      </c>
      <c r="AL99" s="746"/>
      <c r="AM99" s="743">
        <f t="shared" si="8"/>
        <v>0</v>
      </c>
    </row>
    <row r="100" spans="1:39" s="560" customFormat="1">
      <c r="A100" s="604" t="s">
        <v>604</v>
      </c>
      <c r="B100" s="604" t="s">
        <v>1192</v>
      </c>
      <c r="C100" s="530" t="s">
        <v>39</v>
      </c>
      <c r="D100" s="580"/>
      <c r="E100" s="581"/>
      <c r="F100" s="778"/>
      <c r="G100" s="581"/>
      <c r="H100" s="581"/>
      <c r="I100" s="949"/>
      <c r="J100" s="949"/>
      <c r="K100" s="825"/>
      <c r="L100" s="575"/>
      <c r="M100" s="778"/>
      <c r="N100" s="575"/>
      <c r="O100" s="575"/>
      <c r="P100" s="575"/>
      <c r="Q100" s="575"/>
      <c r="R100" s="575"/>
      <c r="S100" s="575"/>
      <c r="T100" s="778"/>
      <c r="U100" s="575"/>
      <c r="V100" s="575"/>
      <c r="W100" s="575"/>
      <c r="X100" s="575"/>
      <c r="Y100" s="575"/>
      <c r="Z100" s="575"/>
      <c r="AA100" s="778"/>
      <c r="AB100" s="817"/>
      <c r="AC100" s="575"/>
      <c r="AD100" s="949"/>
      <c r="AE100" s="927"/>
      <c r="AF100" s="575"/>
      <c r="AG100" s="575"/>
      <c r="AH100" s="842"/>
      <c r="AI100" s="1013">
        <f t="shared" si="6"/>
        <v>0</v>
      </c>
      <c r="AJ100" s="949">
        <v>0</v>
      </c>
      <c r="AK100" s="581">
        <f t="shared" si="7"/>
        <v>0</v>
      </c>
      <c r="AL100" s="746" t="s">
        <v>1489</v>
      </c>
      <c r="AM100" s="743">
        <f t="shared" si="8"/>
        <v>8.06</v>
      </c>
    </row>
    <row r="101" spans="1:39" s="560" customFormat="1">
      <c r="A101" s="604" t="s">
        <v>605</v>
      </c>
      <c r="B101" s="604" t="s">
        <v>1158</v>
      </c>
      <c r="C101" s="530" t="s">
        <v>47</v>
      </c>
      <c r="D101" s="580"/>
      <c r="E101" s="581"/>
      <c r="F101" s="778"/>
      <c r="G101" s="581"/>
      <c r="H101" s="581"/>
      <c r="I101" s="949"/>
      <c r="J101" s="949"/>
      <c r="K101" s="825"/>
      <c r="L101" s="575"/>
      <c r="M101" s="778"/>
      <c r="N101" s="575"/>
      <c r="O101" s="575"/>
      <c r="P101" s="575"/>
      <c r="Q101" s="575"/>
      <c r="R101" s="575"/>
      <c r="S101" s="575"/>
      <c r="T101" s="778"/>
      <c r="U101" s="575"/>
      <c r="V101" s="575"/>
      <c r="W101" s="575"/>
      <c r="X101" s="575"/>
      <c r="Y101" s="575"/>
      <c r="Z101" s="575"/>
      <c r="AA101" s="778"/>
      <c r="AB101" s="817"/>
      <c r="AC101" s="813"/>
      <c r="AD101" s="741"/>
      <c r="AE101" s="753"/>
      <c r="AF101" s="575"/>
      <c r="AG101" s="575"/>
      <c r="AH101" s="842"/>
      <c r="AI101" s="1013">
        <f t="shared" si="6"/>
        <v>0</v>
      </c>
      <c r="AJ101" s="949">
        <v>0</v>
      </c>
      <c r="AK101" s="581">
        <f t="shared" si="7"/>
        <v>0</v>
      </c>
      <c r="AL101" s="746" t="s">
        <v>1490</v>
      </c>
      <c r="AM101" s="743">
        <f t="shared" si="8"/>
        <v>337.22</v>
      </c>
    </row>
    <row r="102" spans="1:39" s="560" customFormat="1">
      <c r="A102" s="604" t="s">
        <v>606</v>
      </c>
      <c r="B102" s="604" t="s">
        <v>1159</v>
      </c>
      <c r="C102" s="679"/>
      <c r="D102" s="580"/>
      <c r="E102" s="581"/>
      <c r="F102" s="778"/>
      <c r="G102" s="581"/>
      <c r="H102" s="581"/>
      <c r="I102" s="949"/>
      <c r="J102" s="949"/>
      <c r="K102" s="825"/>
      <c r="L102" s="575"/>
      <c r="M102" s="778"/>
      <c r="N102" s="575"/>
      <c r="O102" s="575"/>
      <c r="P102" s="575"/>
      <c r="Q102" s="575"/>
      <c r="R102" s="575"/>
      <c r="S102" s="575"/>
      <c r="T102" s="778"/>
      <c r="U102" s="575"/>
      <c r="V102" s="575"/>
      <c r="W102" s="575"/>
      <c r="X102" s="575"/>
      <c r="Y102" s="575"/>
      <c r="Z102" s="575"/>
      <c r="AA102" s="778"/>
      <c r="AB102" s="817"/>
      <c r="AC102" s="575"/>
      <c r="AD102" s="575"/>
      <c r="AE102" s="753"/>
      <c r="AF102" s="575"/>
      <c r="AG102" s="575"/>
      <c r="AH102" s="842"/>
      <c r="AI102" s="1013">
        <f t="shared" si="6"/>
        <v>0</v>
      </c>
      <c r="AJ102" s="949">
        <v>0</v>
      </c>
      <c r="AK102" s="581">
        <f t="shared" si="7"/>
        <v>0</v>
      </c>
      <c r="AL102" s="746"/>
      <c r="AM102" s="743">
        <f t="shared" si="8"/>
        <v>0</v>
      </c>
    </row>
    <row r="103" spans="1:39" s="560" customFormat="1">
      <c r="A103" s="604" t="s">
        <v>607</v>
      </c>
      <c r="B103" s="604" t="s">
        <v>1193</v>
      </c>
      <c r="C103" s="530" t="s">
        <v>39</v>
      </c>
      <c r="D103" s="580"/>
      <c r="E103" s="581"/>
      <c r="F103" s="778"/>
      <c r="G103" s="581"/>
      <c r="H103" s="581"/>
      <c r="I103" s="581"/>
      <c r="J103" s="949"/>
      <c r="K103" s="825"/>
      <c r="L103" s="575"/>
      <c r="M103" s="778"/>
      <c r="N103" s="575"/>
      <c r="O103" s="575"/>
      <c r="P103" s="575"/>
      <c r="Q103" s="575"/>
      <c r="R103" s="575"/>
      <c r="S103" s="575"/>
      <c r="T103" s="778"/>
      <c r="U103" s="575"/>
      <c r="V103" s="575"/>
      <c r="W103" s="575"/>
      <c r="X103" s="575"/>
      <c r="Y103" s="575"/>
      <c r="Z103" s="575"/>
      <c r="AA103" s="778"/>
      <c r="AB103" s="817"/>
      <c r="AC103" s="575"/>
      <c r="AD103" s="575"/>
      <c r="AE103" s="753"/>
      <c r="AF103" s="575"/>
      <c r="AG103" s="575"/>
      <c r="AH103" s="842"/>
      <c r="AI103" s="1013">
        <f t="shared" si="6"/>
        <v>0</v>
      </c>
      <c r="AJ103" s="949">
        <v>0</v>
      </c>
      <c r="AK103" s="581">
        <f t="shared" si="7"/>
        <v>0</v>
      </c>
      <c r="AL103" s="746" t="s">
        <v>1491</v>
      </c>
      <c r="AM103" s="743">
        <f t="shared" si="8"/>
        <v>3.81</v>
      </c>
    </row>
    <row r="104" spans="1:39" s="560" customFormat="1">
      <c r="A104" s="604" t="s">
        <v>608</v>
      </c>
      <c r="B104" s="604" t="s">
        <v>1161</v>
      </c>
      <c r="C104" s="614" t="s">
        <v>36</v>
      </c>
      <c r="D104" s="580"/>
      <c r="E104" s="581"/>
      <c r="F104" s="778"/>
      <c r="G104" s="581"/>
      <c r="H104" s="581"/>
      <c r="I104" s="581"/>
      <c r="J104" s="949"/>
      <c r="K104" s="825"/>
      <c r="L104" s="575"/>
      <c r="M104" s="778"/>
      <c r="N104" s="575"/>
      <c r="O104" s="575"/>
      <c r="P104" s="575"/>
      <c r="Q104" s="575"/>
      <c r="R104" s="575"/>
      <c r="S104" s="575"/>
      <c r="T104" s="778"/>
      <c r="U104" s="575"/>
      <c r="V104" s="575"/>
      <c r="W104" s="575"/>
      <c r="X104" s="575"/>
      <c r="Y104" s="575"/>
      <c r="Z104" s="575"/>
      <c r="AA104" s="778"/>
      <c r="AB104" s="817"/>
      <c r="AC104" s="575"/>
      <c r="AD104" s="575"/>
      <c r="AE104" s="753"/>
      <c r="AF104" s="575"/>
      <c r="AG104" s="575"/>
      <c r="AH104" s="842"/>
      <c r="AI104" s="1013">
        <f t="shared" si="6"/>
        <v>0</v>
      </c>
      <c r="AJ104" s="949">
        <v>0</v>
      </c>
      <c r="AK104" s="581">
        <f t="shared" si="7"/>
        <v>0</v>
      </c>
      <c r="AL104" s="746" t="s">
        <v>1492</v>
      </c>
      <c r="AM104" s="743">
        <f t="shared" si="8"/>
        <v>30.45</v>
      </c>
    </row>
    <row r="105" spans="1:39" s="560" customFormat="1">
      <c r="A105" s="604" t="s">
        <v>609</v>
      </c>
      <c r="B105" s="604" t="s">
        <v>1162</v>
      </c>
      <c r="C105" s="530" t="s">
        <v>47</v>
      </c>
      <c r="D105" s="580"/>
      <c r="E105" s="581"/>
      <c r="F105" s="778"/>
      <c r="G105" s="581"/>
      <c r="H105" s="741"/>
      <c r="I105" s="741"/>
      <c r="J105" s="949"/>
      <c r="K105" s="825"/>
      <c r="L105" s="575"/>
      <c r="M105" s="778"/>
      <c r="N105" s="575"/>
      <c r="O105" s="575"/>
      <c r="P105" s="575"/>
      <c r="Q105" s="575"/>
      <c r="R105" s="575"/>
      <c r="S105" s="575"/>
      <c r="T105" s="778"/>
      <c r="U105" s="575"/>
      <c r="V105" s="575"/>
      <c r="W105" s="575"/>
      <c r="X105" s="575"/>
      <c r="Y105" s="575"/>
      <c r="Z105" s="575"/>
      <c r="AA105" s="778"/>
      <c r="AB105" s="817"/>
      <c r="AC105" s="575"/>
      <c r="AD105" s="575"/>
      <c r="AE105" s="753"/>
      <c r="AF105" s="575"/>
      <c r="AG105" s="583"/>
      <c r="AH105" s="843"/>
      <c r="AI105" s="1013">
        <f t="shared" si="6"/>
        <v>0</v>
      </c>
      <c r="AJ105" s="949">
        <v>0</v>
      </c>
      <c r="AK105" s="581">
        <f t="shared" si="7"/>
        <v>0</v>
      </c>
      <c r="AL105" s="746" t="s">
        <v>1493</v>
      </c>
      <c r="AM105" s="743">
        <f t="shared" si="8"/>
        <v>322.07</v>
      </c>
    </row>
    <row r="106" spans="1:39" s="560" customFormat="1">
      <c r="A106" s="604" t="s">
        <v>610</v>
      </c>
      <c r="B106" s="604" t="s">
        <v>1163</v>
      </c>
      <c r="C106" s="679"/>
      <c r="D106" s="580"/>
      <c r="E106" s="581"/>
      <c r="F106" s="778"/>
      <c r="G106" s="581"/>
      <c r="H106" s="581"/>
      <c r="I106" s="949"/>
      <c r="J106" s="949"/>
      <c r="K106" s="825"/>
      <c r="L106" s="575"/>
      <c r="M106" s="778"/>
      <c r="N106" s="575"/>
      <c r="O106" s="575"/>
      <c r="P106" s="575"/>
      <c r="Q106" s="575"/>
      <c r="R106" s="575"/>
      <c r="S106" s="575"/>
      <c r="T106" s="778"/>
      <c r="U106" s="575"/>
      <c r="V106" s="575"/>
      <c r="W106" s="575"/>
      <c r="X106" s="575"/>
      <c r="Y106" s="575"/>
      <c r="Z106" s="575"/>
      <c r="AA106" s="778"/>
      <c r="AB106" s="817"/>
      <c r="AC106" s="575"/>
      <c r="AD106" s="575"/>
      <c r="AE106" s="753"/>
      <c r="AF106" s="575"/>
      <c r="AG106" s="575"/>
      <c r="AH106" s="842"/>
      <c r="AI106" s="1013">
        <f t="shared" si="6"/>
        <v>0</v>
      </c>
      <c r="AJ106" s="949">
        <v>0</v>
      </c>
      <c r="AK106" s="581">
        <f t="shared" si="7"/>
        <v>0</v>
      </c>
      <c r="AL106" s="746"/>
      <c r="AM106" s="743">
        <f t="shared" si="8"/>
        <v>0</v>
      </c>
    </row>
    <row r="107" spans="1:39" s="560" customFormat="1">
      <c r="A107" s="604" t="s">
        <v>611</v>
      </c>
      <c r="B107" s="604" t="s">
        <v>1194</v>
      </c>
      <c r="C107" s="530" t="s">
        <v>39</v>
      </c>
      <c r="D107" s="580"/>
      <c r="E107" s="581"/>
      <c r="F107" s="778"/>
      <c r="G107" s="581"/>
      <c r="H107" s="581"/>
      <c r="I107" s="949"/>
      <c r="J107" s="949"/>
      <c r="K107" s="825"/>
      <c r="L107" s="575"/>
      <c r="M107" s="778"/>
      <c r="N107" s="575"/>
      <c r="O107" s="575"/>
      <c r="P107" s="575"/>
      <c r="Q107" s="583"/>
      <c r="R107" s="583"/>
      <c r="S107" s="575"/>
      <c r="T107" s="778"/>
      <c r="U107" s="575"/>
      <c r="V107" s="575"/>
      <c r="W107" s="575"/>
      <c r="X107" s="575"/>
      <c r="Y107" s="575"/>
      <c r="Z107" s="575"/>
      <c r="AA107" s="778"/>
      <c r="AB107" s="817"/>
      <c r="AC107" s="575"/>
      <c r="AD107" s="575"/>
      <c r="AE107" s="753"/>
      <c r="AF107" s="575"/>
      <c r="AG107" s="575"/>
      <c r="AH107" s="842"/>
      <c r="AI107" s="1013">
        <f t="shared" si="6"/>
        <v>0</v>
      </c>
      <c r="AJ107" s="949">
        <v>0</v>
      </c>
      <c r="AK107" s="581">
        <f t="shared" si="7"/>
        <v>0</v>
      </c>
      <c r="AL107" s="746" t="s">
        <v>1494</v>
      </c>
      <c r="AM107" s="743">
        <f t="shared" si="8"/>
        <v>5.95</v>
      </c>
    </row>
    <row r="108" spans="1:39" s="560" customFormat="1">
      <c r="A108" s="604" t="s">
        <v>612</v>
      </c>
      <c r="B108" s="604" t="s">
        <v>1165</v>
      </c>
      <c r="C108" s="530" t="s">
        <v>36</v>
      </c>
      <c r="D108" s="586"/>
      <c r="E108" s="587"/>
      <c r="F108" s="783"/>
      <c r="G108" s="587"/>
      <c r="H108" s="587"/>
      <c r="I108" s="588"/>
      <c r="J108" s="588"/>
      <c r="K108" s="865"/>
      <c r="L108" s="575"/>
      <c r="M108" s="783"/>
      <c r="N108" s="575"/>
      <c r="O108" s="575"/>
      <c r="P108" s="575"/>
      <c r="Q108" s="575"/>
      <c r="R108" s="575"/>
      <c r="S108" s="575"/>
      <c r="T108" s="783"/>
      <c r="U108" s="575"/>
      <c r="V108" s="575"/>
      <c r="W108" s="575"/>
      <c r="X108" s="575"/>
      <c r="Y108" s="575"/>
      <c r="Z108" s="575"/>
      <c r="AA108" s="783"/>
      <c r="AB108" s="817"/>
      <c r="AC108" s="575"/>
      <c r="AD108" s="575"/>
      <c r="AE108" s="753"/>
      <c r="AF108" s="810"/>
      <c r="AG108" s="575"/>
      <c r="AH108" s="842"/>
      <c r="AI108" s="1013">
        <f t="shared" si="6"/>
        <v>0</v>
      </c>
      <c r="AJ108" s="949">
        <v>0</v>
      </c>
      <c r="AK108" s="581">
        <f t="shared" si="7"/>
        <v>0</v>
      </c>
      <c r="AL108" s="747" t="s">
        <v>1495</v>
      </c>
      <c r="AM108" s="743">
        <f t="shared" si="8"/>
        <v>77.91</v>
      </c>
    </row>
    <row r="109" spans="1:39" s="560" customFormat="1">
      <c r="A109" s="604" t="s">
        <v>613</v>
      </c>
      <c r="B109" s="604" t="s">
        <v>1166</v>
      </c>
      <c r="C109" s="530" t="s">
        <v>47</v>
      </c>
      <c r="D109" s="580"/>
      <c r="E109" s="581"/>
      <c r="F109" s="778"/>
      <c r="G109" s="581"/>
      <c r="H109" s="581"/>
      <c r="I109" s="949"/>
      <c r="J109" s="949"/>
      <c r="K109" s="825"/>
      <c r="L109" s="575"/>
      <c r="M109" s="778"/>
      <c r="N109" s="575"/>
      <c r="O109" s="575"/>
      <c r="P109" s="575"/>
      <c r="Q109" s="575"/>
      <c r="R109" s="575"/>
      <c r="S109" s="575"/>
      <c r="T109" s="778"/>
      <c r="U109" s="575"/>
      <c r="V109" s="575"/>
      <c r="W109" s="575"/>
      <c r="X109" s="575"/>
      <c r="Y109" s="575"/>
      <c r="Z109" s="575"/>
      <c r="AA109" s="778"/>
      <c r="AB109" s="817"/>
      <c r="AC109" s="575"/>
      <c r="AE109" s="928"/>
      <c r="AF109" s="810"/>
      <c r="AG109" s="575"/>
      <c r="AH109" s="842"/>
      <c r="AI109" s="1013">
        <f t="shared" si="6"/>
        <v>0</v>
      </c>
      <c r="AJ109" s="949">
        <v>0</v>
      </c>
      <c r="AK109" s="581">
        <f t="shared" si="7"/>
        <v>0</v>
      </c>
      <c r="AL109" s="746" t="s">
        <v>1496</v>
      </c>
      <c r="AM109" s="743">
        <f t="shared" si="8"/>
        <v>2582.91</v>
      </c>
    </row>
    <row r="110" spans="1:39" s="560" customFormat="1">
      <c r="A110" s="604" t="s">
        <v>614</v>
      </c>
      <c r="B110" s="604" t="s">
        <v>1167</v>
      </c>
      <c r="C110" s="679"/>
      <c r="D110" s="580"/>
      <c r="E110" s="581"/>
      <c r="F110" s="778"/>
      <c r="G110" s="581"/>
      <c r="H110" s="581"/>
      <c r="I110" s="949"/>
      <c r="J110" s="949"/>
      <c r="K110" s="825"/>
      <c r="L110" s="575"/>
      <c r="M110" s="778"/>
      <c r="N110" s="575"/>
      <c r="O110" s="575"/>
      <c r="P110" s="575"/>
      <c r="Q110" s="575"/>
      <c r="R110" s="575"/>
      <c r="S110" s="575"/>
      <c r="T110" s="778"/>
      <c r="U110" s="575"/>
      <c r="V110" s="575"/>
      <c r="W110" s="575"/>
      <c r="X110" s="575"/>
      <c r="Y110" s="575"/>
      <c r="Z110" s="575"/>
      <c r="AA110" s="778"/>
      <c r="AB110" s="817"/>
      <c r="AC110" s="575"/>
      <c r="AD110" s="575"/>
      <c r="AE110" s="753"/>
      <c r="AF110" s="575"/>
      <c r="AG110" s="575"/>
      <c r="AH110" s="842"/>
      <c r="AI110" s="1013">
        <f t="shared" si="6"/>
        <v>0</v>
      </c>
      <c r="AJ110" s="949">
        <v>0</v>
      </c>
      <c r="AK110" s="581">
        <f t="shared" si="7"/>
        <v>0</v>
      </c>
      <c r="AL110" s="746"/>
      <c r="AM110" s="743">
        <f t="shared" si="8"/>
        <v>0</v>
      </c>
    </row>
    <row r="111" spans="1:39" s="560" customFormat="1">
      <c r="A111" s="604" t="s">
        <v>615</v>
      </c>
      <c r="B111" s="604" t="s">
        <v>1168</v>
      </c>
      <c r="C111" s="530" t="s">
        <v>39</v>
      </c>
      <c r="D111" s="580"/>
      <c r="E111" s="581"/>
      <c r="F111" s="778"/>
      <c r="G111" s="581"/>
      <c r="H111" s="581"/>
      <c r="I111" s="949"/>
      <c r="J111" s="949"/>
      <c r="K111" s="825"/>
      <c r="L111" s="575"/>
      <c r="M111" s="778"/>
      <c r="N111" s="575"/>
      <c r="O111" s="575"/>
      <c r="P111" s="575"/>
      <c r="Q111" s="575"/>
      <c r="R111" s="575"/>
      <c r="S111" s="575"/>
      <c r="T111" s="778"/>
      <c r="U111" s="575"/>
      <c r="V111" s="575"/>
      <c r="W111" s="575"/>
      <c r="X111" s="575"/>
      <c r="Y111" s="575"/>
      <c r="Z111" s="575"/>
      <c r="AA111" s="778"/>
      <c r="AB111" s="863"/>
      <c r="AC111" s="575"/>
      <c r="AD111" s="583"/>
      <c r="AE111" s="753"/>
      <c r="AF111" s="575"/>
      <c r="AG111" s="575"/>
      <c r="AH111" s="842"/>
      <c r="AI111" s="1013">
        <f t="shared" si="6"/>
        <v>0</v>
      </c>
      <c r="AJ111" s="949">
        <v>0</v>
      </c>
      <c r="AK111" s="581">
        <f t="shared" si="7"/>
        <v>0</v>
      </c>
      <c r="AL111" s="746" t="s">
        <v>1497</v>
      </c>
      <c r="AM111" s="743">
        <f t="shared" si="8"/>
        <v>2.82</v>
      </c>
    </row>
    <row r="112" spans="1:39" s="560" customFormat="1">
      <c r="A112" s="604" t="s">
        <v>616</v>
      </c>
      <c r="B112" s="604" t="s">
        <v>1169</v>
      </c>
      <c r="C112" s="614" t="s">
        <v>36</v>
      </c>
      <c r="D112" s="580"/>
      <c r="E112" s="581"/>
      <c r="F112" s="778"/>
      <c r="G112" s="581"/>
      <c r="H112" s="581"/>
      <c r="I112" s="949"/>
      <c r="J112" s="949"/>
      <c r="K112" s="825"/>
      <c r="L112" s="575"/>
      <c r="M112" s="778"/>
      <c r="N112" s="575"/>
      <c r="O112" s="575"/>
      <c r="P112" s="575"/>
      <c r="Q112" s="575"/>
      <c r="R112" s="575"/>
      <c r="S112" s="575"/>
      <c r="T112" s="778"/>
      <c r="U112" s="575"/>
      <c r="V112" s="575"/>
      <c r="W112" s="575"/>
      <c r="X112" s="575"/>
      <c r="Y112" s="575"/>
      <c r="Z112" s="575"/>
      <c r="AA112" s="778"/>
      <c r="AB112" s="817"/>
      <c r="AC112" s="575"/>
      <c r="AD112" s="575"/>
      <c r="AE112" s="753"/>
      <c r="AF112" s="575"/>
      <c r="AG112" s="575"/>
      <c r="AH112" s="842"/>
      <c r="AI112" s="1013">
        <f t="shared" si="6"/>
        <v>0</v>
      </c>
      <c r="AJ112" s="949">
        <v>0</v>
      </c>
      <c r="AK112" s="581">
        <f t="shared" si="7"/>
        <v>0</v>
      </c>
      <c r="AL112" s="746" t="s">
        <v>1498</v>
      </c>
      <c r="AM112" s="743">
        <f t="shared" si="8"/>
        <v>35.44</v>
      </c>
    </row>
    <row r="113" spans="1:39" s="560" customFormat="1">
      <c r="A113" s="604" t="s">
        <v>617</v>
      </c>
      <c r="B113" s="604" t="s">
        <v>1170</v>
      </c>
      <c r="C113" s="530" t="s">
        <v>47</v>
      </c>
      <c r="D113" s="580"/>
      <c r="E113" s="581"/>
      <c r="F113" s="778"/>
      <c r="G113" s="581"/>
      <c r="H113" s="581"/>
      <c r="I113" s="949"/>
      <c r="J113" s="949"/>
      <c r="K113" s="825"/>
      <c r="L113" s="575"/>
      <c r="M113" s="778"/>
      <c r="N113" s="575"/>
      <c r="O113" s="575"/>
      <c r="P113" s="575"/>
      <c r="Q113" s="575"/>
      <c r="R113" s="575"/>
      <c r="S113" s="575"/>
      <c r="T113" s="778"/>
      <c r="U113" s="575"/>
      <c r="V113" s="575"/>
      <c r="W113" s="575"/>
      <c r="X113" s="575"/>
      <c r="Y113" s="575"/>
      <c r="Z113" s="575"/>
      <c r="AA113" s="778"/>
      <c r="AB113" s="817"/>
      <c r="AC113" s="575"/>
      <c r="AD113" s="575"/>
      <c r="AE113" s="753"/>
      <c r="AF113" s="575"/>
      <c r="AG113" s="575"/>
      <c r="AH113" s="842"/>
      <c r="AI113" s="1013">
        <f t="shared" si="6"/>
        <v>0</v>
      </c>
      <c r="AJ113" s="949">
        <v>0</v>
      </c>
      <c r="AK113" s="581">
        <f t="shared" si="7"/>
        <v>0</v>
      </c>
      <c r="AL113" s="746" t="s">
        <v>1499</v>
      </c>
      <c r="AM113" s="743">
        <f t="shared" si="8"/>
        <v>536.94000000000005</v>
      </c>
    </row>
    <row r="114" spans="1:39" s="560" customFormat="1">
      <c r="A114" s="604" t="s">
        <v>618</v>
      </c>
      <c r="B114" s="604" t="s">
        <v>1171</v>
      </c>
      <c r="C114" s="679"/>
      <c r="D114" s="580"/>
      <c r="E114" s="581"/>
      <c r="F114" s="778"/>
      <c r="G114" s="581"/>
      <c r="H114" s="581"/>
      <c r="I114" s="949"/>
      <c r="J114" s="949"/>
      <c r="K114" s="825"/>
      <c r="L114" s="575"/>
      <c r="M114" s="778"/>
      <c r="N114" s="575"/>
      <c r="O114" s="575"/>
      <c r="P114" s="575"/>
      <c r="Q114" s="575"/>
      <c r="R114" s="575"/>
      <c r="S114" s="575"/>
      <c r="T114" s="778"/>
      <c r="U114" s="575"/>
      <c r="V114" s="575"/>
      <c r="W114" s="575"/>
      <c r="X114" s="575"/>
      <c r="Y114" s="575"/>
      <c r="Z114" s="575"/>
      <c r="AA114" s="778"/>
      <c r="AB114" s="817"/>
      <c r="AC114" s="575"/>
      <c r="AD114" s="575"/>
      <c r="AE114" s="753"/>
      <c r="AF114" s="575"/>
      <c r="AG114" s="575"/>
      <c r="AH114" s="842"/>
      <c r="AI114" s="1013">
        <f t="shared" si="6"/>
        <v>0</v>
      </c>
      <c r="AJ114" s="949">
        <v>0</v>
      </c>
      <c r="AK114" s="581">
        <f t="shared" si="7"/>
        <v>0</v>
      </c>
      <c r="AL114" s="746"/>
      <c r="AM114" s="743">
        <f t="shared" si="8"/>
        <v>0</v>
      </c>
    </row>
    <row r="115" spans="1:39" s="560" customFormat="1">
      <c r="A115" s="604" t="s">
        <v>619</v>
      </c>
      <c r="B115" s="604" t="s">
        <v>1172</v>
      </c>
      <c r="C115" s="530" t="s">
        <v>39</v>
      </c>
      <c r="D115" s="580"/>
      <c r="E115" s="581"/>
      <c r="F115" s="778"/>
      <c r="G115" s="581"/>
      <c r="H115" s="581"/>
      <c r="I115" s="949"/>
      <c r="J115" s="949"/>
      <c r="K115" s="825"/>
      <c r="L115" s="575"/>
      <c r="M115" s="778"/>
      <c r="N115" s="575"/>
      <c r="O115" s="575"/>
      <c r="P115" s="575"/>
      <c r="Q115" s="575"/>
      <c r="R115" s="575"/>
      <c r="S115" s="575"/>
      <c r="T115" s="778"/>
      <c r="U115" s="575"/>
      <c r="V115" s="575"/>
      <c r="W115" s="575"/>
      <c r="X115" s="575"/>
      <c r="Y115" s="575"/>
      <c r="Z115" s="575"/>
      <c r="AA115" s="778"/>
      <c r="AB115" s="817"/>
      <c r="AC115" s="575"/>
      <c r="AD115" s="575"/>
      <c r="AE115" s="753"/>
      <c r="AF115" s="575"/>
      <c r="AG115" s="575"/>
      <c r="AH115" s="842"/>
      <c r="AI115" s="1013">
        <f t="shared" si="6"/>
        <v>0</v>
      </c>
      <c r="AJ115" s="949">
        <v>0</v>
      </c>
      <c r="AK115" s="581">
        <f t="shared" si="7"/>
        <v>0</v>
      </c>
      <c r="AL115" s="746" t="s">
        <v>1500</v>
      </c>
      <c r="AM115" s="743">
        <f t="shared" si="8"/>
        <v>10.33</v>
      </c>
    </row>
    <row r="116" spans="1:39" s="560" customFormat="1">
      <c r="A116" s="604" t="s">
        <v>620</v>
      </c>
      <c r="B116" s="604" t="s">
        <v>1173</v>
      </c>
      <c r="C116" s="530" t="s">
        <v>36</v>
      </c>
      <c r="D116" s="580"/>
      <c r="E116" s="581"/>
      <c r="F116" s="778"/>
      <c r="G116" s="581"/>
      <c r="H116" s="581"/>
      <c r="I116" s="949"/>
      <c r="J116" s="949"/>
      <c r="K116" s="825"/>
      <c r="L116" s="575"/>
      <c r="M116" s="778"/>
      <c r="N116" s="575"/>
      <c r="O116" s="575"/>
      <c r="P116" s="575"/>
      <c r="Q116" s="575"/>
      <c r="R116" s="575"/>
      <c r="S116" s="575"/>
      <c r="T116" s="778"/>
      <c r="U116" s="575"/>
      <c r="V116" s="575"/>
      <c r="W116" s="575"/>
      <c r="X116" s="575"/>
      <c r="Y116" s="575"/>
      <c r="Z116" s="575"/>
      <c r="AA116" s="778"/>
      <c r="AB116" s="817"/>
      <c r="AC116" s="575"/>
      <c r="AD116" s="575"/>
      <c r="AE116" s="753"/>
      <c r="AF116" s="575"/>
      <c r="AG116" s="575"/>
      <c r="AH116" s="842"/>
      <c r="AI116" s="1013">
        <f t="shared" si="6"/>
        <v>0</v>
      </c>
      <c r="AJ116" s="949">
        <v>0</v>
      </c>
      <c r="AK116" s="581">
        <f t="shared" si="7"/>
        <v>0</v>
      </c>
      <c r="AL116" s="746" t="s">
        <v>1501</v>
      </c>
      <c r="AM116" s="743">
        <f t="shared" si="8"/>
        <v>116.46</v>
      </c>
    </row>
    <row r="117" spans="1:39" s="560" customFormat="1">
      <c r="A117" s="604" t="s">
        <v>621</v>
      </c>
      <c r="B117" s="604" t="s">
        <v>1174</v>
      </c>
      <c r="C117" s="530" t="s">
        <v>47</v>
      </c>
      <c r="D117" s="580"/>
      <c r="E117" s="581"/>
      <c r="F117" s="778"/>
      <c r="G117" s="581"/>
      <c r="H117" s="581"/>
      <c r="I117" s="949"/>
      <c r="J117" s="949"/>
      <c r="K117" s="825"/>
      <c r="L117" s="575"/>
      <c r="M117" s="778"/>
      <c r="N117" s="575"/>
      <c r="O117" s="575"/>
      <c r="P117" s="575"/>
      <c r="Q117" s="575"/>
      <c r="R117" s="575"/>
      <c r="S117" s="575"/>
      <c r="T117" s="778"/>
      <c r="U117" s="575"/>
      <c r="V117" s="575"/>
      <c r="W117" s="575"/>
      <c r="X117" s="575"/>
      <c r="Y117" s="575"/>
      <c r="Z117" s="575"/>
      <c r="AA117" s="778"/>
      <c r="AB117" s="817"/>
      <c r="AC117" s="575"/>
      <c r="AD117" s="575"/>
      <c r="AE117" s="753"/>
      <c r="AF117" s="575"/>
      <c r="AG117" s="575"/>
      <c r="AH117" s="842"/>
      <c r="AI117" s="1013">
        <f t="shared" si="6"/>
        <v>0</v>
      </c>
      <c r="AJ117" s="949">
        <v>0</v>
      </c>
      <c r="AK117" s="581">
        <f t="shared" si="7"/>
        <v>0</v>
      </c>
      <c r="AL117" s="746" t="s">
        <v>1502</v>
      </c>
      <c r="AM117" s="743">
        <f t="shared" si="8"/>
        <v>1452.85</v>
      </c>
    </row>
    <row r="118" spans="1:39" s="560" customFormat="1">
      <c r="A118" s="604" t="s">
        <v>622</v>
      </c>
      <c r="B118" s="604" t="s">
        <v>1175</v>
      </c>
      <c r="C118" s="530"/>
      <c r="D118" s="580"/>
      <c r="E118" s="581"/>
      <c r="F118" s="778"/>
      <c r="G118" s="581"/>
      <c r="H118" s="581"/>
      <c r="I118" s="949"/>
      <c r="J118" s="949"/>
      <c r="K118" s="825"/>
      <c r="L118" s="575"/>
      <c r="M118" s="778"/>
      <c r="N118" s="575"/>
      <c r="O118" s="575"/>
      <c r="P118" s="575"/>
      <c r="Q118" s="575"/>
      <c r="R118" s="575"/>
      <c r="S118" s="575"/>
      <c r="T118" s="778"/>
      <c r="U118" s="575"/>
      <c r="V118" s="575"/>
      <c r="W118" s="575"/>
      <c r="X118" s="575"/>
      <c r="Y118" s="575"/>
      <c r="Z118" s="575"/>
      <c r="AA118" s="778"/>
      <c r="AB118" s="817"/>
      <c r="AC118" s="575"/>
      <c r="AD118" s="575"/>
      <c r="AE118" s="753"/>
      <c r="AF118" s="575"/>
      <c r="AG118" s="575"/>
      <c r="AH118" s="842"/>
      <c r="AI118" s="1013">
        <f t="shared" si="6"/>
        <v>0</v>
      </c>
      <c r="AJ118" s="949">
        <v>0</v>
      </c>
      <c r="AK118" s="581">
        <f t="shared" si="7"/>
        <v>0</v>
      </c>
      <c r="AL118" s="746"/>
      <c r="AM118" s="743">
        <f t="shared" si="8"/>
        <v>0</v>
      </c>
    </row>
    <row r="119" spans="1:39" s="560" customFormat="1">
      <c r="A119" s="604" t="s">
        <v>623</v>
      </c>
      <c r="B119" s="604" t="s">
        <v>1176</v>
      </c>
      <c r="C119" s="530" t="s">
        <v>39</v>
      </c>
      <c r="D119" s="580"/>
      <c r="E119" s="581"/>
      <c r="F119" s="778"/>
      <c r="G119" s="581"/>
      <c r="H119" s="581"/>
      <c r="I119" s="949"/>
      <c r="J119" s="949"/>
      <c r="K119" s="825"/>
      <c r="L119" s="575"/>
      <c r="M119" s="778"/>
      <c r="N119" s="575"/>
      <c r="O119" s="575"/>
      <c r="P119" s="575"/>
      <c r="Q119" s="575"/>
      <c r="R119" s="575"/>
      <c r="S119" s="575"/>
      <c r="T119" s="778"/>
      <c r="U119" s="575"/>
      <c r="V119" s="575"/>
      <c r="W119" s="575"/>
      <c r="X119" s="575"/>
      <c r="Y119" s="575"/>
      <c r="Z119" s="575"/>
      <c r="AA119" s="778"/>
      <c r="AB119" s="817"/>
      <c r="AC119" s="575"/>
      <c r="AD119" s="575"/>
      <c r="AE119" s="753"/>
      <c r="AF119" s="575"/>
      <c r="AG119" s="575"/>
      <c r="AH119" s="842"/>
      <c r="AI119" s="1013">
        <f t="shared" si="6"/>
        <v>0</v>
      </c>
      <c r="AJ119" s="949">
        <v>0</v>
      </c>
      <c r="AK119" s="581">
        <f t="shared" si="7"/>
        <v>0</v>
      </c>
      <c r="AL119" s="746" t="s">
        <v>1503</v>
      </c>
      <c r="AM119" s="743">
        <f t="shared" si="8"/>
        <v>8.94</v>
      </c>
    </row>
    <row r="120" spans="1:39" s="560" customFormat="1">
      <c r="A120" s="604" t="s">
        <v>624</v>
      </c>
      <c r="B120" s="604" t="s">
        <v>1177</v>
      </c>
      <c r="C120" s="530" t="s">
        <v>36</v>
      </c>
      <c r="D120" s="580"/>
      <c r="E120" s="581"/>
      <c r="F120" s="778"/>
      <c r="G120" s="581"/>
      <c r="H120" s="581"/>
      <c r="I120" s="949"/>
      <c r="J120" s="949"/>
      <c r="K120" s="825"/>
      <c r="L120" s="575"/>
      <c r="M120" s="778"/>
      <c r="N120" s="575"/>
      <c r="O120" s="575"/>
      <c r="P120" s="575"/>
      <c r="Q120" s="575"/>
      <c r="R120" s="575"/>
      <c r="S120" s="575"/>
      <c r="T120" s="778"/>
      <c r="U120" s="575"/>
      <c r="V120" s="575"/>
      <c r="W120" s="575"/>
      <c r="X120" s="575"/>
      <c r="Y120" s="575"/>
      <c r="Z120" s="575"/>
      <c r="AA120" s="778"/>
      <c r="AB120" s="817"/>
      <c r="AC120" s="575"/>
      <c r="AD120" s="575"/>
      <c r="AE120" s="753"/>
      <c r="AF120" s="575"/>
      <c r="AG120" s="575"/>
      <c r="AH120" s="842"/>
      <c r="AI120" s="1013">
        <f t="shared" si="6"/>
        <v>0</v>
      </c>
      <c r="AJ120" s="949">
        <v>0</v>
      </c>
      <c r="AK120" s="581">
        <f t="shared" si="7"/>
        <v>0</v>
      </c>
      <c r="AL120" s="746" t="s">
        <v>1504</v>
      </c>
      <c r="AM120" s="743">
        <f t="shared" si="8"/>
        <v>102.17</v>
      </c>
    </row>
    <row r="121" spans="1:39" s="560" customFormat="1">
      <c r="A121" s="604" t="s">
        <v>625</v>
      </c>
      <c r="B121" s="604" t="s">
        <v>1178</v>
      </c>
      <c r="C121" s="530" t="s">
        <v>47</v>
      </c>
      <c r="D121" s="580"/>
      <c r="E121" s="581"/>
      <c r="F121" s="778"/>
      <c r="G121" s="581"/>
      <c r="H121" s="581"/>
      <c r="I121" s="949"/>
      <c r="J121" s="949"/>
      <c r="K121" s="825"/>
      <c r="L121" s="575"/>
      <c r="M121" s="778"/>
      <c r="N121" s="575"/>
      <c r="O121" s="575"/>
      <c r="P121" s="575"/>
      <c r="Q121" s="575"/>
      <c r="R121" s="575"/>
      <c r="S121" s="575"/>
      <c r="T121" s="778"/>
      <c r="U121" s="575"/>
      <c r="V121" s="575"/>
      <c r="W121" s="575"/>
      <c r="X121" s="575"/>
      <c r="Y121" s="575"/>
      <c r="Z121" s="575"/>
      <c r="AA121" s="778"/>
      <c r="AB121" s="817"/>
      <c r="AC121" s="575"/>
      <c r="AD121" s="575"/>
      <c r="AE121" s="753"/>
      <c r="AF121" s="575"/>
      <c r="AG121" s="575"/>
      <c r="AH121" s="842"/>
      <c r="AI121" s="1013">
        <f t="shared" si="6"/>
        <v>0</v>
      </c>
      <c r="AJ121" s="949">
        <v>0</v>
      </c>
      <c r="AK121" s="581">
        <f t="shared" si="7"/>
        <v>0</v>
      </c>
      <c r="AL121" s="746" t="s">
        <v>1505</v>
      </c>
      <c r="AM121" s="743">
        <f t="shared" si="8"/>
        <v>1062.45</v>
      </c>
    </row>
    <row r="122" spans="1:39" s="560" customFormat="1">
      <c r="A122" s="604" t="s">
        <v>626</v>
      </c>
      <c r="B122" s="604" t="s">
        <v>1179</v>
      </c>
      <c r="C122" s="530" t="s">
        <v>1436</v>
      </c>
      <c r="D122" s="580"/>
      <c r="E122" s="581"/>
      <c r="F122" s="778"/>
      <c r="G122" s="581"/>
      <c r="H122" s="581"/>
      <c r="I122" s="949"/>
      <c r="J122" s="949"/>
      <c r="K122" s="825"/>
      <c r="L122" s="575"/>
      <c r="M122" s="778"/>
      <c r="N122" s="575"/>
      <c r="O122" s="575"/>
      <c r="P122" s="575"/>
      <c r="Q122" s="575"/>
      <c r="R122" s="575"/>
      <c r="S122" s="575"/>
      <c r="T122" s="778"/>
      <c r="U122" s="575"/>
      <c r="V122" s="575"/>
      <c r="W122" s="575"/>
      <c r="X122" s="575"/>
      <c r="Y122" s="575"/>
      <c r="Z122" s="575"/>
      <c r="AA122" s="778"/>
      <c r="AB122" s="817"/>
      <c r="AC122" s="575"/>
      <c r="AD122" s="575"/>
      <c r="AE122" s="753"/>
      <c r="AF122" s="575"/>
      <c r="AG122" s="575"/>
      <c r="AH122" s="842"/>
      <c r="AI122" s="1013">
        <f t="shared" si="6"/>
        <v>0</v>
      </c>
      <c r="AJ122" s="949">
        <v>0</v>
      </c>
      <c r="AK122" s="581">
        <f t="shared" si="7"/>
        <v>0</v>
      </c>
      <c r="AL122" s="746" t="s">
        <v>1506</v>
      </c>
      <c r="AM122" s="743">
        <f t="shared" si="8"/>
        <v>851.11</v>
      </c>
    </row>
    <row r="123" spans="1:39" s="560" customFormat="1">
      <c r="A123" s="604" t="s">
        <v>627</v>
      </c>
      <c r="B123" s="604" t="s">
        <v>1180</v>
      </c>
      <c r="C123" s="679"/>
      <c r="D123" s="580"/>
      <c r="E123" s="581"/>
      <c r="F123" s="778"/>
      <c r="G123" s="581"/>
      <c r="H123" s="581"/>
      <c r="I123" s="949"/>
      <c r="J123" s="949"/>
      <c r="K123" s="825"/>
      <c r="L123" s="575"/>
      <c r="M123" s="778"/>
      <c r="N123" s="575"/>
      <c r="O123" s="575"/>
      <c r="P123" s="575"/>
      <c r="Q123" s="575"/>
      <c r="R123" s="575"/>
      <c r="S123" s="575"/>
      <c r="T123" s="778"/>
      <c r="U123" s="575"/>
      <c r="V123" s="575"/>
      <c r="W123" s="575"/>
      <c r="X123" s="575"/>
      <c r="Y123" s="575"/>
      <c r="Z123" s="575"/>
      <c r="AA123" s="778"/>
      <c r="AB123" s="817"/>
      <c r="AC123" s="575"/>
      <c r="AD123" s="575"/>
      <c r="AE123" s="753"/>
      <c r="AF123" s="575"/>
      <c r="AG123" s="575"/>
      <c r="AH123" s="842"/>
      <c r="AI123" s="1013">
        <f t="shared" si="6"/>
        <v>0</v>
      </c>
      <c r="AJ123" s="949">
        <v>0</v>
      </c>
      <c r="AK123" s="581">
        <f t="shared" si="7"/>
        <v>0</v>
      </c>
      <c r="AL123" s="746"/>
      <c r="AM123" s="743">
        <f t="shared" si="8"/>
        <v>0</v>
      </c>
    </row>
    <row r="124" spans="1:39" s="560" customFormat="1">
      <c r="A124" s="604" t="s">
        <v>628</v>
      </c>
      <c r="B124" s="604" t="s">
        <v>1181</v>
      </c>
      <c r="C124" s="530" t="s">
        <v>39</v>
      </c>
      <c r="D124" s="580"/>
      <c r="E124" s="581"/>
      <c r="F124" s="778"/>
      <c r="G124" s="581"/>
      <c r="H124" s="581"/>
      <c r="I124" s="949"/>
      <c r="J124" s="949"/>
      <c r="K124" s="825"/>
      <c r="L124" s="575"/>
      <c r="M124" s="778"/>
      <c r="N124" s="575"/>
      <c r="O124" s="575"/>
      <c r="P124" s="575"/>
      <c r="Q124" s="575"/>
      <c r="R124" s="575"/>
      <c r="S124" s="575"/>
      <c r="T124" s="778"/>
      <c r="U124" s="575"/>
      <c r="V124" s="575"/>
      <c r="W124" s="575"/>
      <c r="X124" s="575"/>
      <c r="Y124" s="575"/>
      <c r="Z124" s="575"/>
      <c r="AA124" s="778"/>
      <c r="AB124" s="817"/>
      <c r="AC124" s="575"/>
      <c r="AD124" s="575"/>
      <c r="AE124" s="753"/>
      <c r="AF124" s="575"/>
      <c r="AG124" s="575"/>
      <c r="AH124" s="842"/>
      <c r="AI124" s="1013">
        <f t="shared" si="6"/>
        <v>0</v>
      </c>
      <c r="AJ124" s="949">
        <v>0</v>
      </c>
      <c r="AK124" s="581">
        <f t="shared" si="7"/>
        <v>0</v>
      </c>
      <c r="AL124" s="746" t="s">
        <v>1507</v>
      </c>
      <c r="AM124" s="743">
        <f t="shared" si="8"/>
        <v>2.66</v>
      </c>
    </row>
    <row r="125" spans="1:39" s="560" customFormat="1">
      <c r="A125" s="604" t="s">
        <v>629</v>
      </c>
      <c r="B125" s="604" t="s">
        <v>1182</v>
      </c>
      <c r="C125" s="530" t="s">
        <v>36</v>
      </c>
      <c r="D125" s="580"/>
      <c r="E125" s="581"/>
      <c r="F125" s="778"/>
      <c r="G125" s="581"/>
      <c r="H125" s="581"/>
      <c r="I125" s="949"/>
      <c r="J125" s="949"/>
      <c r="K125" s="825"/>
      <c r="L125" s="575"/>
      <c r="M125" s="778"/>
      <c r="N125" s="575"/>
      <c r="O125" s="575"/>
      <c r="P125" s="575"/>
      <c r="Q125" s="575"/>
      <c r="R125" s="575"/>
      <c r="S125" s="575"/>
      <c r="T125" s="778"/>
      <c r="U125" s="575"/>
      <c r="V125" s="575"/>
      <c r="W125" s="575"/>
      <c r="X125" s="575"/>
      <c r="Y125" s="575"/>
      <c r="Z125" s="575"/>
      <c r="AA125" s="778"/>
      <c r="AB125" s="817"/>
      <c r="AC125" s="575"/>
      <c r="AD125" s="575"/>
      <c r="AE125" s="753"/>
      <c r="AF125" s="575"/>
      <c r="AG125" s="575"/>
      <c r="AH125" s="842"/>
      <c r="AI125" s="1013">
        <f t="shared" si="6"/>
        <v>0</v>
      </c>
      <c r="AJ125" s="949">
        <v>0</v>
      </c>
      <c r="AK125" s="581">
        <f t="shared" si="7"/>
        <v>0</v>
      </c>
      <c r="AL125" s="746" t="s">
        <v>1498</v>
      </c>
      <c r="AM125" s="743">
        <f t="shared" si="8"/>
        <v>35.44</v>
      </c>
    </row>
    <row r="126" spans="1:39" s="560" customFormat="1">
      <c r="A126" s="604" t="s">
        <v>630</v>
      </c>
      <c r="B126" s="604" t="s">
        <v>1183</v>
      </c>
      <c r="C126" s="530" t="s">
        <v>47</v>
      </c>
      <c r="D126" s="580"/>
      <c r="E126" s="581"/>
      <c r="F126" s="778"/>
      <c r="G126" s="581"/>
      <c r="H126" s="581"/>
      <c r="I126" s="949"/>
      <c r="J126" s="949"/>
      <c r="K126" s="825"/>
      <c r="L126" s="575"/>
      <c r="M126" s="778"/>
      <c r="N126" s="575"/>
      <c r="O126" s="575"/>
      <c r="P126" s="575"/>
      <c r="Q126" s="575"/>
      <c r="R126" s="575"/>
      <c r="S126" s="575"/>
      <c r="T126" s="778"/>
      <c r="U126" s="575"/>
      <c r="V126" s="575"/>
      <c r="W126" s="575"/>
      <c r="X126" s="575"/>
      <c r="Y126" s="575"/>
      <c r="Z126" s="575"/>
      <c r="AA126" s="778"/>
      <c r="AB126" s="817"/>
      <c r="AC126" s="575"/>
      <c r="AD126" s="575"/>
      <c r="AE126" s="753"/>
      <c r="AF126" s="575"/>
      <c r="AG126" s="575"/>
      <c r="AH126" s="842"/>
      <c r="AI126" s="1013">
        <f t="shared" si="6"/>
        <v>0</v>
      </c>
      <c r="AJ126" s="949">
        <v>0</v>
      </c>
      <c r="AK126" s="581">
        <f t="shared" si="7"/>
        <v>0</v>
      </c>
      <c r="AL126" s="746" t="s">
        <v>1508</v>
      </c>
      <c r="AM126" s="743">
        <f t="shared" si="8"/>
        <v>179.59</v>
      </c>
    </row>
    <row r="127" spans="1:39" s="560" customFormat="1">
      <c r="A127" s="607" t="s">
        <v>631</v>
      </c>
      <c r="B127" s="607" t="s">
        <v>1184</v>
      </c>
      <c r="C127" s="679"/>
      <c r="D127" s="580"/>
      <c r="E127" s="581"/>
      <c r="F127" s="778"/>
      <c r="G127" s="581"/>
      <c r="H127" s="581"/>
      <c r="I127" s="949"/>
      <c r="J127" s="949"/>
      <c r="K127" s="825"/>
      <c r="L127" s="575"/>
      <c r="M127" s="778"/>
      <c r="N127" s="575"/>
      <c r="O127" s="575"/>
      <c r="P127" s="575"/>
      <c r="Q127" s="575"/>
      <c r="R127" s="575"/>
      <c r="S127" s="575"/>
      <c r="T127" s="778"/>
      <c r="U127" s="575"/>
      <c r="V127" s="575"/>
      <c r="W127" s="575"/>
      <c r="X127" s="575"/>
      <c r="Y127" s="575"/>
      <c r="Z127" s="575"/>
      <c r="AA127" s="778"/>
      <c r="AB127" s="817"/>
      <c r="AC127" s="575"/>
      <c r="AD127" s="575"/>
      <c r="AE127" s="753"/>
      <c r="AF127" s="575"/>
      <c r="AG127" s="575"/>
      <c r="AH127" s="842"/>
      <c r="AI127" s="1013">
        <f t="shared" si="6"/>
        <v>0</v>
      </c>
      <c r="AJ127" s="949">
        <v>0</v>
      </c>
      <c r="AK127" s="581">
        <f t="shared" si="7"/>
        <v>0</v>
      </c>
      <c r="AL127" s="746"/>
      <c r="AM127" s="743">
        <f t="shared" si="8"/>
        <v>0</v>
      </c>
    </row>
    <row r="128" spans="1:39" s="560" customFormat="1">
      <c r="A128" s="604" t="s">
        <v>632</v>
      </c>
      <c r="B128" s="604" t="s">
        <v>1185</v>
      </c>
      <c r="C128" s="530" t="s">
        <v>37</v>
      </c>
      <c r="D128" s="580"/>
      <c r="E128" s="581"/>
      <c r="F128" s="778"/>
      <c r="G128" s="581"/>
      <c r="H128" s="581"/>
      <c r="I128" s="949"/>
      <c r="J128" s="949"/>
      <c r="K128" s="825"/>
      <c r="L128" s="575"/>
      <c r="M128" s="778"/>
      <c r="N128" s="575"/>
      <c r="O128" s="575"/>
      <c r="P128" s="575"/>
      <c r="Q128" s="575"/>
      <c r="R128" s="575"/>
      <c r="S128" s="575"/>
      <c r="T128" s="778"/>
      <c r="U128" s="575"/>
      <c r="V128" s="575"/>
      <c r="W128" s="575"/>
      <c r="X128" s="575"/>
      <c r="Y128" s="575"/>
      <c r="Z128" s="575"/>
      <c r="AA128" s="778"/>
      <c r="AB128" s="817"/>
      <c r="AC128" s="575"/>
      <c r="AD128" s="575"/>
      <c r="AE128" s="753"/>
      <c r="AF128" s="575"/>
      <c r="AG128" s="575"/>
      <c r="AH128" s="842"/>
      <c r="AI128" s="1013">
        <f t="shared" si="6"/>
        <v>0</v>
      </c>
      <c r="AJ128" s="949">
        <v>0</v>
      </c>
      <c r="AK128" s="581">
        <f t="shared" si="7"/>
        <v>0</v>
      </c>
      <c r="AL128" s="746" t="s">
        <v>1509</v>
      </c>
      <c r="AM128" s="743">
        <f t="shared" si="8"/>
        <v>158.4</v>
      </c>
    </row>
    <row r="129" spans="1:39" s="560" customFormat="1">
      <c r="A129" s="607" t="s">
        <v>633</v>
      </c>
      <c r="B129" s="607" t="s">
        <v>1186</v>
      </c>
      <c r="C129" s="690"/>
      <c r="D129" s="586"/>
      <c r="E129" s="587"/>
      <c r="F129" s="783"/>
      <c r="G129" s="587"/>
      <c r="H129" s="587"/>
      <c r="I129" s="588"/>
      <c r="J129" s="588"/>
      <c r="K129" s="865"/>
      <c r="L129" s="575"/>
      <c r="M129" s="783"/>
      <c r="N129" s="575"/>
      <c r="O129" s="575"/>
      <c r="P129" s="575"/>
      <c r="Q129" s="575"/>
      <c r="R129" s="575"/>
      <c r="S129" s="575"/>
      <c r="T129" s="783"/>
      <c r="U129" s="575"/>
      <c r="V129" s="575"/>
      <c r="W129" s="575"/>
      <c r="X129" s="575"/>
      <c r="Y129" s="575"/>
      <c r="Z129" s="575"/>
      <c r="AA129" s="783"/>
      <c r="AB129" s="817"/>
      <c r="AC129" s="575"/>
      <c r="AD129" s="575"/>
      <c r="AE129" s="753"/>
      <c r="AF129" s="575"/>
      <c r="AG129" s="575"/>
      <c r="AH129" s="842"/>
      <c r="AI129" s="1013">
        <f t="shared" si="6"/>
        <v>0</v>
      </c>
      <c r="AJ129" s="949">
        <v>0</v>
      </c>
      <c r="AK129" s="581">
        <f t="shared" si="7"/>
        <v>0</v>
      </c>
      <c r="AL129" s="747"/>
      <c r="AM129" s="743">
        <f t="shared" si="8"/>
        <v>0</v>
      </c>
    </row>
    <row r="130" spans="1:39" s="560" customFormat="1">
      <c r="A130" s="604" t="s">
        <v>634</v>
      </c>
      <c r="B130" s="604" t="s">
        <v>1187</v>
      </c>
      <c r="C130" s="530" t="s">
        <v>37</v>
      </c>
      <c r="D130" s="586"/>
      <c r="E130" s="587"/>
      <c r="F130" s="783"/>
      <c r="G130" s="587"/>
      <c r="H130" s="587"/>
      <c r="I130" s="588"/>
      <c r="J130" s="588"/>
      <c r="K130" s="865"/>
      <c r="L130" s="575"/>
      <c r="M130" s="783"/>
      <c r="N130" s="575"/>
      <c r="O130" s="575"/>
      <c r="P130" s="575"/>
      <c r="Q130" s="575"/>
      <c r="R130" s="575"/>
      <c r="S130" s="575"/>
      <c r="T130" s="783"/>
      <c r="U130" s="575"/>
      <c r="V130" s="575"/>
      <c r="W130" s="575"/>
      <c r="X130" s="575"/>
      <c r="Y130" s="575"/>
      <c r="Z130" s="575"/>
      <c r="AA130" s="783"/>
      <c r="AB130" s="817"/>
      <c r="AC130" s="575"/>
      <c r="AD130" s="575"/>
      <c r="AE130" s="753"/>
      <c r="AF130" s="575"/>
      <c r="AG130" s="575"/>
      <c r="AH130" s="842"/>
      <c r="AI130" s="1013">
        <f t="shared" si="6"/>
        <v>0</v>
      </c>
      <c r="AJ130" s="949">
        <v>0</v>
      </c>
      <c r="AK130" s="581">
        <f t="shared" si="7"/>
        <v>0</v>
      </c>
      <c r="AL130" s="747" t="s">
        <v>1510</v>
      </c>
      <c r="AM130" s="743">
        <f t="shared" si="8"/>
        <v>83.2</v>
      </c>
    </row>
    <row r="131" spans="1:39" s="560" customFormat="1">
      <c r="A131" s="604" t="s">
        <v>635</v>
      </c>
      <c r="B131" s="604" t="s">
        <v>224</v>
      </c>
      <c r="C131" s="530" t="s">
        <v>1436</v>
      </c>
      <c r="D131" s="580"/>
      <c r="E131" s="581"/>
      <c r="F131" s="778"/>
      <c r="G131" s="581"/>
      <c r="H131" s="581"/>
      <c r="I131" s="949"/>
      <c r="J131" s="949"/>
      <c r="K131" s="825"/>
      <c r="L131" s="575"/>
      <c r="M131" s="778"/>
      <c r="N131" s="575"/>
      <c r="O131" s="575"/>
      <c r="P131" s="575"/>
      <c r="Q131" s="575"/>
      <c r="R131" s="575"/>
      <c r="S131" s="575"/>
      <c r="T131" s="778"/>
      <c r="U131" s="575"/>
      <c r="V131" s="575"/>
      <c r="W131" s="575"/>
      <c r="X131" s="575"/>
      <c r="Y131" s="575"/>
      <c r="Z131" s="575"/>
      <c r="AA131" s="778"/>
      <c r="AB131" s="817"/>
      <c r="AC131" s="575"/>
      <c r="AD131" s="575"/>
      <c r="AE131" s="753"/>
      <c r="AF131" s="575"/>
      <c r="AG131" s="575"/>
      <c r="AH131" s="842"/>
      <c r="AI131" s="1013">
        <f t="shared" si="6"/>
        <v>0</v>
      </c>
      <c r="AJ131" s="949">
        <v>0</v>
      </c>
      <c r="AK131" s="581">
        <f t="shared" si="7"/>
        <v>0</v>
      </c>
      <c r="AL131" s="746" t="s">
        <v>1479</v>
      </c>
      <c r="AM131" s="743">
        <f t="shared" si="8"/>
        <v>15</v>
      </c>
    </row>
    <row r="132" spans="1:39" s="560" customFormat="1">
      <c r="A132" s="492" t="s">
        <v>51</v>
      </c>
      <c r="B132" s="608" t="s">
        <v>1195</v>
      </c>
      <c r="C132" s="679"/>
      <c r="D132" s="580"/>
      <c r="E132" s="581"/>
      <c r="F132" s="778"/>
      <c r="G132" s="581"/>
      <c r="H132" s="581"/>
      <c r="I132" s="949"/>
      <c r="J132" s="949"/>
      <c r="K132" s="825"/>
      <c r="L132" s="575"/>
      <c r="M132" s="778"/>
      <c r="N132" s="575"/>
      <c r="O132" s="575"/>
      <c r="P132" s="575"/>
      <c r="Q132" s="575"/>
      <c r="R132" s="575"/>
      <c r="S132" s="575"/>
      <c r="T132" s="778"/>
      <c r="U132" s="575"/>
      <c r="V132" s="575"/>
      <c r="W132" s="575"/>
      <c r="X132" s="575"/>
      <c r="Y132" s="575"/>
      <c r="Z132" s="575"/>
      <c r="AA132" s="778"/>
      <c r="AB132" s="817"/>
      <c r="AC132" s="575"/>
      <c r="AD132" s="575"/>
      <c r="AE132" s="753"/>
      <c r="AF132" s="575"/>
      <c r="AG132" s="575"/>
      <c r="AH132" s="842"/>
      <c r="AI132" s="1013">
        <f t="shared" si="6"/>
        <v>0</v>
      </c>
      <c r="AJ132" s="949">
        <v>0</v>
      </c>
      <c r="AK132" s="581">
        <f t="shared" si="7"/>
        <v>0</v>
      </c>
      <c r="AL132" s="746"/>
      <c r="AM132" s="743">
        <f t="shared" si="8"/>
        <v>0</v>
      </c>
    </row>
    <row r="133" spans="1:39" s="560" customFormat="1">
      <c r="A133" s="607" t="s">
        <v>55</v>
      </c>
      <c r="B133" s="607" t="s">
        <v>45</v>
      </c>
      <c r="C133" s="690"/>
      <c r="D133" s="580"/>
      <c r="E133" s="581"/>
      <c r="F133" s="778"/>
      <c r="G133" s="581"/>
      <c r="H133" s="581"/>
      <c r="I133" s="949"/>
      <c r="J133" s="949"/>
      <c r="K133" s="825"/>
      <c r="L133" s="583"/>
      <c r="M133" s="778"/>
      <c r="N133" s="583"/>
      <c r="O133" s="583"/>
      <c r="P133" s="583"/>
      <c r="Q133" s="583"/>
      <c r="R133" s="583"/>
      <c r="S133" s="583"/>
      <c r="T133" s="778"/>
      <c r="U133" s="583"/>
      <c r="V133" s="583"/>
      <c r="W133" s="583"/>
      <c r="X133" s="583"/>
      <c r="Y133" s="583"/>
      <c r="Z133" s="583"/>
      <c r="AA133" s="778"/>
      <c r="AB133" s="945"/>
      <c r="AC133" s="583"/>
      <c r="AD133" s="583"/>
      <c r="AE133" s="753"/>
      <c r="AF133" s="583"/>
      <c r="AG133" s="583"/>
      <c r="AH133" s="843"/>
      <c r="AI133" s="1013">
        <f t="shared" si="6"/>
        <v>0</v>
      </c>
      <c r="AJ133" s="949">
        <v>0</v>
      </c>
      <c r="AK133" s="581">
        <f t="shared" si="7"/>
        <v>0</v>
      </c>
      <c r="AL133" s="746" t="s">
        <v>1511</v>
      </c>
      <c r="AM133" s="743">
        <f t="shared" si="8"/>
        <v>28.51</v>
      </c>
    </row>
    <row r="134" spans="1:39" s="560" customFormat="1">
      <c r="A134" s="604" t="s">
        <v>636</v>
      </c>
      <c r="B134" s="604" t="s">
        <v>1142</v>
      </c>
      <c r="C134" s="614" t="s">
        <v>39</v>
      </c>
      <c r="D134" s="580"/>
      <c r="E134" s="581"/>
      <c r="F134" s="778"/>
      <c r="G134" s="581"/>
      <c r="H134" s="581"/>
      <c r="I134" s="949"/>
      <c r="J134" s="949"/>
      <c r="K134" s="825"/>
      <c r="L134" s="583"/>
      <c r="M134" s="778"/>
      <c r="N134" s="583"/>
      <c r="O134" s="583"/>
      <c r="P134" s="583"/>
      <c r="Q134" s="583"/>
      <c r="R134" s="583"/>
      <c r="S134" s="583"/>
      <c r="T134" s="778"/>
      <c r="U134" s="583"/>
      <c r="V134" s="583"/>
      <c r="W134" s="583"/>
      <c r="X134" s="583"/>
      <c r="Y134" s="583"/>
      <c r="Z134" s="583"/>
      <c r="AA134" s="778"/>
      <c r="AB134" s="945"/>
      <c r="AC134" s="583"/>
      <c r="AD134" s="583"/>
      <c r="AE134" s="753"/>
      <c r="AF134" s="583"/>
      <c r="AG134" s="583"/>
      <c r="AH134" s="843"/>
      <c r="AI134" s="1013">
        <f t="shared" si="6"/>
        <v>0</v>
      </c>
      <c r="AJ134" s="949">
        <v>0</v>
      </c>
      <c r="AK134" s="581">
        <f t="shared" si="7"/>
        <v>0</v>
      </c>
      <c r="AL134" s="746" t="s">
        <v>1512</v>
      </c>
      <c r="AM134" s="743">
        <f t="shared" si="8"/>
        <v>19.8</v>
      </c>
    </row>
    <row r="135" spans="1:39" s="560" customFormat="1">
      <c r="A135" s="604" t="s">
        <v>637</v>
      </c>
      <c r="B135" s="604" t="s">
        <v>1143</v>
      </c>
      <c r="C135" s="614" t="s">
        <v>39</v>
      </c>
      <c r="D135" s="586"/>
      <c r="E135" s="587"/>
      <c r="F135" s="783"/>
      <c r="G135" s="587"/>
      <c r="H135" s="587"/>
      <c r="I135" s="588"/>
      <c r="J135" s="588"/>
      <c r="K135" s="865"/>
      <c r="L135" s="583"/>
      <c r="M135" s="783"/>
      <c r="N135" s="583"/>
      <c r="O135" s="583"/>
      <c r="P135" s="583"/>
      <c r="Q135" s="583"/>
      <c r="R135" s="583"/>
      <c r="S135" s="583"/>
      <c r="T135" s="783"/>
      <c r="U135" s="583"/>
      <c r="V135" s="583"/>
      <c r="W135" s="583"/>
      <c r="X135" s="583"/>
      <c r="Y135" s="583"/>
      <c r="Z135" s="583"/>
      <c r="AA135" s="783"/>
      <c r="AB135" s="945"/>
      <c r="AC135" s="583"/>
      <c r="AD135" s="583"/>
      <c r="AE135" s="753"/>
      <c r="AF135" s="583"/>
      <c r="AG135" s="583"/>
      <c r="AH135" s="843"/>
      <c r="AI135" s="1013">
        <f t="shared" si="6"/>
        <v>0</v>
      </c>
      <c r="AJ135" s="949">
        <v>0</v>
      </c>
      <c r="AK135" s="581">
        <f t="shared" si="7"/>
        <v>0</v>
      </c>
      <c r="AL135" s="747" t="s">
        <v>1513</v>
      </c>
      <c r="AM135" s="743">
        <f t="shared" si="8"/>
        <v>34.56</v>
      </c>
    </row>
    <row r="136" spans="1:39" s="560" customFormat="1">
      <c r="A136" s="604" t="s">
        <v>638</v>
      </c>
      <c r="B136" s="604" t="s">
        <v>1144</v>
      </c>
      <c r="C136" s="614" t="s">
        <v>39</v>
      </c>
      <c r="D136" s="580"/>
      <c r="E136" s="581"/>
      <c r="F136" s="778"/>
      <c r="G136" s="581"/>
      <c r="H136" s="581"/>
      <c r="I136" s="949"/>
      <c r="J136" s="949"/>
      <c r="K136" s="825"/>
      <c r="L136" s="583"/>
      <c r="M136" s="778"/>
      <c r="N136" s="583"/>
      <c r="O136" s="583"/>
      <c r="P136" s="583"/>
      <c r="Q136" s="583"/>
      <c r="R136" s="583"/>
      <c r="S136" s="583"/>
      <c r="T136" s="778"/>
      <c r="U136" s="583"/>
      <c r="V136" s="583"/>
      <c r="W136" s="583"/>
      <c r="X136" s="583"/>
      <c r="Y136" s="583"/>
      <c r="Z136" s="583"/>
      <c r="AA136" s="778"/>
      <c r="AB136" s="945"/>
      <c r="AC136" s="583"/>
      <c r="AD136" s="583"/>
      <c r="AE136" s="753"/>
      <c r="AF136" s="583"/>
      <c r="AG136" s="949"/>
      <c r="AH136" s="843"/>
      <c r="AI136" s="1013">
        <f t="shared" si="6"/>
        <v>0</v>
      </c>
      <c r="AJ136" s="949">
        <v>0</v>
      </c>
      <c r="AK136" s="581">
        <f t="shared" si="7"/>
        <v>0</v>
      </c>
      <c r="AL136" s="746" t="s">
        <v>1514</v>
      </c>
      <c r="AM136" s="743">
        <f t="shared" si="8"/>
        <v>72.33</v>
      </c>
    </row>
    <row r="137" spans="1:39" s="560" customFormat="1">
      <c r="A137" s="604" t="s">
        <v>639</v>
      </c>
      <c r="B137" s="604" t="s">
        <v>1145</v>
      </c>
      <c r="C137" s="614" t="s">
        <v>36</v>
      </c>
      <c r="D137" s="580"/>
      <c r="E137" s="581"/>
      <c r="F137" s="778"/>
      <c r="G137" s="581"/>
      <c r="H137" s="581"/>
      <c r="I137" s="949"/>
      <c r="J137" s="949"/>
      <c r="K137" s="825"/>
      <c r="L137" s="583"/>
      <c r="M137" s="778"/>
      <c r="N137" s="583"/>
      <c r="O137" s="583"/>
      <c r="P137" s="583"/>
      <c r="Q137" s="583"/>
      <c r="R137" s="583"/>
      <c r="S137" s="583"/>
      <c r="T137" s="778"/>
      <c r="U137" s="583"/>
      <c r="V137" s="583"/>
      <c r="W137" s="583"/>
      <c r="X137" s="583"/>
      <c r="Y137" s="583"/>
      <c r="Z137" s="583"/>
      <c r="AA137" s="778"/>
      <c r="AB137" s="945"/>
      <c r="AC137" s="583"/>
      <c r="AD137" s="583"/>
      <c r="AE137" s="753"/>
      <c r="AF137" s="583"/>
      <c r="AG137" s="583"/>
      <c r="AH137" s="843"/>
      <c r="AI137" s="1013">
        <f t="shared" si="6"/>
        <v>0</v>
      </c>
      <c r="AJ137" s="949">
        <v>0</v>
      </c>
      <c r="AK137" s="581">
        <f t="shared" si="7"/>
        <v>0</v>
      </c>
      <c r="AL137" s="746" t="s">
        <v>1515</v>
      </c>
      <c r="AM137" s="743">
        <f t="shared" si="8"/>
        <v>17.190000000000001</v>
      </c>
    </row>
    <row r="138" spans="1:39" s="560" customFormat="1">
      <c r="A138" s="604" t="s">
        <v>640</v>
      </c>
      <c r="B138" s="604" t="s">
        <v>1146</v>
      </c>
      <c r="C138" s="614" t="s">
        <v>39</v>
      </c>
      <c r="D138" s="580"/>
      <c r="E138" s="581"/>
      <c r="F138" s="778"/>
      <c r="G138" s="581"/>
      <c r="H138" s="581"/>
      <c r="I138" s="949"/>
      <c r="J138" s="949"/>
      <c r="K138" s="825"/>
      <c r="L138" s="575"/>
      <c r="M138" s="778"/>
      <c r="N138" s="575"/>
      <c r="O138" s="583"/>
      <c r="P138" s="575"/>
      <c r="Q138" s="575"/>
      <c r="R138" s="575"/>
      <c r="S138" s="575"/>
      <c r="T138" s="778"/>
      <c r="U138" s="575"/>
      <c r="V138" s="575"/>
      <c r="W138" s="575"/>
      <c r="X138" s="575"/>
      <c r="Y138" s="575"/>
      <c r="Z138" s="575"/>
      <c r="AA138" s="778"/>
      <c r="AB138" s="817"/>
      <c r="AC138" s="575"/>
      <c r="AD138" s="575"/>
      <c r="AE138" s="753"/>
      <c r="AF138" s="575"/>
      <c r="AG138" s="575"/>
      <c r="AH138" s="842"/>
      <c r="AI138" s="1013">
        <f t="shared" si="6"/>
        <v>0</v>
      </c>
      <c r="AJ138" s="949">
        <v>0</v>
      </c>
      <c r="AK138" s="581">
        <f t="shared" si="7"/>
        <v>0</v>
      </c>
      <c r="AL138" s="746" t="s">
        <v>1515</v>
      </c>
      <c r="AM138" s="743">
        <f t="shared" si="8"/>
        <v>17.190000000000001</v>
      </c>
    </row>
    <row r="139" spans="1:39" s="560" customFormat="1">
      <c r="A139" s="604" t="s">
        <v>641</v>
      </c>
      <c r="B139" s="604" t="s">
        <v>1147</v>
      </c>
      <c r="C139" s="614" t="s">
        <v>39</v>
      </c>
      <c r="D139" s="580"/>
      <c r="E139" s="581"/>
      <c r="F139" s="778"/>
      <c r="G139" s="581"/>
      <c r="H139" s="581"/>
      <c r="I139" s="949"/>
      <c r="J139" s="949"/>
      <c r="K139" s="825"/>
      <c r="L139" s="575"/>
      <c r="M139" s="778"/>
      <c r="N139" s="575"/>
      <c r="O139" s="575"/>
      <c r="P139" s="575"/>
      <c r="Q139" s="575"/>
      <c r="R139" s="575"/>
      <c r="S139" s="575"/>
      <c r="T139" s="778"/>
      <c r="U139" s="575"/>
      <c r="V139" s="575"/>
      <c r="W139" s="575"/>
      <c r="X139" s="575"/>
      <c r="Y139" s="575"/>
      <c r="Z139" s="575"/>
      <c r="AA139" s="778"/>
      <c r="AB139" s="817"/>
      <c r="AC139" s="575"/>
      <c r="AD139" s="575"/>
      <c r="AE139" s="753"/>
      <c r="AF139" s="575"/>
      <c r="AG139" s="575"/>
      <c r="AH139" s="842"/>
      <c r="AI139" s="1013">
        <f t="shared" si="6"/>
        <v>0</v>
      </c>
      <c r="AJ139" s="949">
        <v>0</v>
      </c>
      <c r="AK139" s="581">
        <f t="shared" si="7"/>
        <v>0</v>
      </c>
      <c r="AL139" s="746"/>
      <c r="AM139" s="743">
        <f t="shared" si="8"/>
        <v>0</v>
      </c>
    </row>
    <row r="140" spans="1:39" s="560" customFormat="1">
      <c r="A140" s="607" t="s">
        <v>56</v>
      </c>
      <c r="B140" s="607" t="s">
        <v>1148</v>
      </c>
      <c r="C140" s="690"/>
      <c r="D140" s="586"/>
      <c r="E140" s="587"/>
      <c r="F140" s="783"/>
      <c r="G140" s="587"/>
      <c r="H140" s="587"/>
      <c r="I140" s="588"/>
      <c r="J140" s="588"/>
      <c r="K140" s="865"/>
      <c r="L140" s="575"/>
      <c r="M140" s="783"/>
      <c r="N140" s="575"/>
      <c r="O140" s="575"/>
      <c r="P140" s="575"/>
      <c r="Q140" s="575"/>
      <c r="R140" s="575"/>
      <c r="S140" s="575"/>
      <c r="T140" s="783"/>
      <c r="U140" s="575"/>
      <c r="V140" s="575"/>
      <c r="W140" s="575"/>
      <c r="X140" s="575"/>
      <c r="Y140" s="575"/>
      <c r="Z140" s="575"/>
      <c r="AA140" s="783"/>
      <c r="AB140" s="817"/>
      <c r="AC140" s="575"/>
      <c r="AD140" s="810"/>
      <c r="AE140" s="753"/>
      <c r="AF140" s="575"/>
      <c r="AG140" s="575"/>
      <c r="AH140" s="842"/>
      <c r="AI140" s="1013">
        <f t="shared" si="6"/>
        <v>0</v>
      </c>
      <c r="AJ140" s="949">
        <v>0</v>
      </c>
      <c r="AK140" s="581">
        <f t="shared" si="7"/>
        <v>0</v>
      </c>
      <c r="AL140" s="747" t="s">
        <v>1516</v>
      </c>
      <c r="AM140" s="743">
        <f t="shared" si="8"/>
        <v>23.07</v>
      </c>
    </row>
    <row r="141" spans="1:39" s="560" customFormat="1">
      <c r="A141" s="604" t="s">
        <v>642</v>
      </c>
      <c r="B141" s="604" t="s">
        <v>1189</v>
      </c>
      <c r="C141" s="614" t="s">
        <v>36</v>
      </c>
      <c r="D141" s="580"/>
      <c r="E141" s="581"/>
      <c r="F141" s="778"/>
      <c r="G141" s="581"/>
      <c r="H141" s="581"/>
      <c r="I141" s="949"/>
      <c r="J141" s="949"/>
      <c r="K141" s="825"/>
      <c r="L141" s="575"/>
      <c r="M141" s="778"/>
      <c r="N141" s="575"/>
      <c r="O141" s="575"/>
      <c r="P141" s="575"/>
      <c r="Q141" s="575"/>
      <c r="R141" s="575"/>
      <c r="S141" s="575"/>
      <c r="T141" s="778"/>
      <c r="U141" s="575"/>
      <c r="V141" s="575"/>
      <c r="W141" s="575"/>
      <c r="X141" s="575"/>
      <c r="Y141" s="575"/>
      <c r="Z141" s="575"/>
      <c r="AA141" s="778"/>
      <c r="AB141" s="817"/>
      <c r="AC141" s="575"/>
      <c r="AD141" s="583"/>
      <c r="AE141" s="753"/>
      <c r="AF141" s="575"/>
      <c r="AG141" s="575"/>
      <c r="AH141" s="842"/>
      <c r="AI141" s="1013">
        <f t="shared" si="6"/>
        <v>0</v>
      </c>
      <c r="AJ141" s="949">
        <v>0</v>
      </c>
      <c r="AK141" s="581">
        <f t="shared" si="7"/>
        <v>0</v>
      </c>
      <c r="AL141" s="746" t="s">
        <v>1517</v>
      </c>
      <c r="AM141" s="743">
        <f t="shared" si="8"/>
        <v>10.4</v>
      </c>
    </row>
    <row r="142" spans="1:39" s="897" customFormat="1">
      <c r="A142" s="886" t="s">
        <v>643</v>
      </c>
      <c r="B142" s="886" t="s">
        <v>1190</v>
      </c>
      <c r="C142" s="900" t="s">
        <v>39</v>
      </c>
      <c r="D142" s="580"/>
      <c r="E142" s="581"/>
      <c r="F142" s="778"/>
      <c r="G142" s="581"/>
      <c r="H142" s="581"/>
      <c r="I142" s="949"/>
      <c r="J142" s="949"/>
      <c r="K142" s="825"/>
      <c r="L142" s="575"/>
      <c r="M142" s="778"/>
      <c r="N142" s="575"/>
      <c r="O142" s="575"/>
      <c r="P142" s="575"/>
      <c r="Q142" s="575"/>
      <c r="R142" s="575"/>
      <c r="S142" s="575"/>
      <c r="T142" s="778"/>
      <c r="U142" s="575"/>
      <c r="V142" s="575"/>
      <c r="W142" s="575"/>
      <c r="X142" s="575"/>
      <c r="Y142" s="575"/>
      <c r="Z142" s="575"/>
      <c r="AA142" s="778"/>
      <c r="AB142" s="817"/>
      <c r="AC142" s="575"/>
      <c r="AD142" s="575"/>
      <c r="AE142" s="753"/>
      <c r="AF142" s="575"/>
      <c r="AG142" s="575"/>
      <c r="AH142" s="842"/>
      <c r="AI142" s="1013">
        <f t="shared" si="6"/>
        <v>0</v>
      </c>
      <c r="AJ142" s="949">
        <v>0</v>
      </c>
      <c r="AK142" s="581">
        <f t="shared" si="7"/>
        <v>0</v>
      </c>
      <c r="AL142" s="895" t="s">
        <v>1518</v>
      </c>
      <c r="AM142" s="896">
        <f t="shared" si="8"/>
        <v>2.1800000000000002</v>
      </c>
    </row>
    <row r="143" spans="1:39" s="897" customFormat="1">
      <c r="A143" s="886" t="s">
        <v>644</v>
      </c>
      <c r="B143" s="886" t="s">
        <v>1191</v>
      </c>
      <c r="C143" s="900" t="s">
        <v>39</v>
      </c>
      <c r="D143" s="580"/>
      <c r="E143" s="581"/>
      <c r="F143" s="778"/>
      <c r="G143" s="581"/>
      <c r="H143" s="581"/>
      <c r="I143" s="949"/>
      <c r="J143" s="949"/>
      <c r="K143" s="825"/>
      <c r="L143" s="575"/>
      <c r="M143" s="778"/>
      <c r="N143" s="575"/>
      <c r="O143" s="575"/>
      <c r="P143" s="575"/>
      <c r="Q143" s="575"/>
      <c r="R143" s="575"/>
      <c r="S143" s="575"/>
      <c r="T143" s="778"/>
      <c r="U143" s="575"/>
      <c r="V143" s="575"/>
      <c r="W143" s="575"/>
      <c r="X143" s="575"/>
      <c r="Y143" s="575"/>
      <c r="Z143" s="575"/>
      <c r="AA143" s="778"/>
      <c r="AB143" s="817"/>
      <c r="AC143" s="575"/>
      <c r="AD143" s="575"/>
      <c r="AE143" s="753"/>
      <c r="AF143" s="575"/>
      <c r="AG143" s="575"/>
      <c r="AH143" s="842"/>
      <c r="AI143" s="1013">
        <f t="shared" ref="AI143:AI206" si="9">ROUND((SUM(D143:AH143)),2)</f>
        <v>0</v>
      </c>
      <c r="AJ143" s="949">
        <v>0</v>
      </c>
      <c r="AK143" s="581">
        <f t="shared" si="7"/>
        <v>0</v>
      </c>
      <c r="AL143" s="895" t="s">
        <v>1519</v>
      </c>
      <c r="AM143" s="896">
        <f t="shared" si="8"/>
        <v>29.03</v>
      </c>
    </row>
    <row r="144" spans="1:39" s="560" customFormat="1">
      <c r="A144" s="604" t="s">
        <v>645</v>
      </c>
      <c r="B144" s="604" t="s">
        <v>1153</v>
      </c>
      <c r="C144" s="614" t="s">
        <v>36</v>
      </c>
      <c r="D144" s="580"/>
      <c r="E144" s="581"/>
      <c r="F144" s="778"/>
      <c r="G144" s="581"/>
      <c r="H144" s="581"/>
      <c r="I144" s="949"/>
      <c r="J144" s="949"/>
      <c r="K144" s="825"/>
      <c r="L144" s="575"/>
      <c r="M144" s="778"/>
      <c r="N144" s="575"/>
      <c r="O144" s="575"/>
      <c r="P144" s="575"/>
      <c r="Q144" s="575"/>
      <c r="R144" s="575"/>
      <c r="S144" s="575"/>
      <c r="T144" s="778"/>
      <c r="U144" s="575"/>
      <c r="V144" s="575"/>
      <c r="W144" s="575"/>
      <c r="X144" s="575"/>
      <c r="Y144" s="575"/>
      <c r="Z144" s="575"/>
      <c r="AA144" s="778"/>
      <c r="AB144" s="817"/>
      <c r="AC144" s="575"/>
      <c r="AD144" s="575"/>
      <c r="AE144" s="753"/>
      <c r="AF144" s="575"/>
      <c r="AG144" s="575"/>
      <c r="AH144" s="842"/>
      <c r="AI144" s="1013">
        <f t="shared" si="9"/>
        <v>0</v>
      </c>
      <c r="AJ144" s="949">
        <v>0</v>
      </c>
      <c r="AK144" s="581">
        <f t="shared" si="7"/>
        <v>0</v>
      </c>
      <c r="AL144" s="746" t="s">
        <v>1514</v>
      </c>
      <c r="AM144" s="743">
        <f t="shared" si="8"/>
        <v>72.33</v>
      </c>
    </row>
    <row r="145" spans="1:39" s="560" customFormat="1">
      <c r="A145" s="604" t="s">
        <v>646</v>
      </c>
      <c r="B145" s="604" t="s">
        <v>1154</v>
      </c>
      <c r="C145" s="614" t="s">
        <v>36</v>
      </c>
      <c r="D145" s="580"/>
      <c r="E145" s="581"/>
      <c r="F145" s="778"/>
      <c r="G145" s="581"/>
      <c r="H145" s="581"/>
      <c r="I145" s="949"/>
      <c r="J145" s="949"/>
      <c r="K145" s="825"/>
      <c r="L145" s="575"/>
      <c r="M145" s="778"/>
      <c r="N145" s="575"/>
      <c r="O145" s="575"/>
      <c r="P145" s="575"/>
      <c r="Q145" s="575"/>
      <c r="R145" s="575"/>
      <c r="S145" s="575"/>
      <c r="T145" s="778"/>
      <c r="U145" s="575"/>
      <c r="V145" s="575"/>
      <c r="W145" s="575"/>
      <c r="X145" s="575"/>
      <c r="Y145" s="575"/>
      <c r="Z145" s="575"/>
      <c r="AA145" s="778"/>
      <c r="AB145" s="817"/>
      <c r="AC145" s="575"/>
      <c r="AD145" s="575"/>
      <c r="AE145" s="753"/>
      <c r="AF145" s="575"/>
      <c r="AG145" s="575"/>
      <c r="AH145" s="842"/>
      <c r="AI145" s="1013">
        <f t="shared" si="9"/>
        <v>0</v>
      </c>
      <c r="AJ145" s="949">
        <v>0</v>
      </c>
      <c r="AK145" s="581">
        <f t="shared" si="7"/>
        <v>0</v>
      </c>
      <c r="AL145" s="746"/>
      <c r="AM145" s="743">
        <f t="shared" si="8"/>
        <v>0</v>
      </c>
    </row>
    <row r="146" spans="1:39" s="560" customFormat="1">
      <c r="A146" s="607" t="s">
        <v>647</v>
      </c>
      <c r="B146" s="607" t="s">
        <v>1155</v>
      </c>
      <c r="C146" s="690"/>
      <c r="D146" s="580"/>
      <c r="E146" s="581"/>
      <c r="F146" s="778"/>
      <c r="G146" s="581"/>
      <c r="H146" s="581"/>
      <c r="I146" s="949"/>
      <c r="J146" s="949"/>
      <c r="K146" s="825"/>
      <c r="L146" s="575"/>
      <c r="M146" s="778"/>
      <c r="N146" s="575"/>
      <c r="O146" s="575"/>
      <c r="P146" s="575"/>
      <c r="Q146" s="575"/>
      <c r="R146" s="575"/>
      <c r="S146" s="575"/>
      <c r="T146" s="778"/>
      <c r="U146" s="575"/>
      <c r="V146" s="575"/>
      <c r="W146" s="575"/>
      <c r="X146" s="575"/>
      <c r="Y146" s="575"/>
      <c r="Z146" s="575"/>
      <c r="AA146" s="778"/>
      <c r="AB146" s="817"/>
      <c r="AC146" s="575"/>
      <c r="AD146" s="575"/>
      <c r="AE146" s="753"/>
      <c r="AF146" s="575"/>
      <c r="AG146" s="575"/>
      <c r="AH146" s="842"/>
      <c r="AI146" s="1013">
        <f t="shared" si="9"/>
        <v>0</v>
      </c>
      <c r="AJ146" s="949">
        <v>0</v>
      </c>
      <c r="AK146" s="581">
        <f t="shared" si="7"/>
        <v>0</v>
      </c>
      <c r="AL146" s="746"/>
      <c r="AM146" s="743">
        <f t="shared" si="8"/>
        <v>0</v>
      </c>
    </row>
    <row r="147" spans="1:39" s="560" customFormat="1">
      <c r="A147" s="604" t="s">
        <v>648</v>
      </c>
      <c r="B147" s="604" t="s">
        <v>1156</v>
      </c>
      <c r="C147" s="690"/>
      <c r="D147" s="580"/>
      <c r="E147" s="581"/>
      <c r="F147" s="778"/>
      <c r="G147" s="581"/>
      <c r="H147" s="581"/>
      <c r="I147" s="949"/>
      <c r="J147" s="949"/>
      <c r="K147" s="825"/>
      <c r="L147" s="575"/>
      <c r="M147" s="778"/>
      <c r="N147" s="575"/>
      <c r="O147" s="575"/>
      <c r="P147" s="575"/>
      <c r="Q147" s="575"/>
      <c r="R147" s="575"/>
      <c r="S147" s="575"/>
      <c r="T147" s="778"/>
      <c r="U147" s="575"/>
      <c r="V147" s="575"/>
      <c r="W147" s="575"/>
      <c r="X147" s="575"/>
      <c r="Y147" s="575"/>
      <c r="Z147" s="575"/>
      <c r="AA147" s="778"/>
      <c r="AB147" s="817"/>
      <c r="AC147" s="583"/>
      <c r="AD147" s="575"/>
      <c r="AE147" s="753"/>
      <c r="AF147" s="575"/>
      <c r="AG147" s="575"/>
      <c r="AH147" s="842"/>
      <c r="AI147" s="1013">
        <f t="shared" si="9"/>
        <v>0</v>
      </c>
      <c r="AJ147" s="949">
        <v>0</v>
      </c>
      <c r="AK147" s="581">
        <f t="shared" si="7"/>
        <v>0</v>
      </c>
      <c r="AL147" s="746" t="s">
        <v>1520</v>
      </c>
      <c r="AM147" s="743">
        <f t="shared" si="8"/>
        <v>6.34</v>
      </c>
    </row>
    <row r="148" spans="1:39" s="560" customFormat="1">
      <c r="A148" s="604" t="s">
        <v>649</v>
      </c>
      <c r="B148" s="604" t="s">
        <v>1192</v>
      </c>
      <c r="C148" s="614" t="s">
        <v>39</v>
      </c>
      <c r="D148" s="580"/>
      <c r="E148" s="581"/>
      <c r="F148" s="778"/>
      <c r="G148" s="581"/>
      <c r="H148" s="581"/>
      <c r="I148" s="949"/>
      <c r="J148" s="949"/>
      <c r="K148" s="825"/>
      <c r="L148" s="575"/>
      <c r="M148" s="778"/>
      <c r="N148" s="575"/>
      <c r="O148" s="575"/>
      <c r="P148" s="575"/>
      <c r="Q148" s="575"/>
      <c r="R148" s="575"/>
      <c r="S148" s="575"/>
      <c r="T148" s="778"/>
      <c r="U148" s="575"/>
      <c r="V148" s="575"/>
      <c r="W148" s="575"/>
      <c r="X148" s="575"/>
      <c r="Y148" s="575"/>
      <c r="Z148" s="810"/>
      <c r="AA148" s="778"/>
      <c r="AB148" s="817"/>
      <c r="AC148" s="575"/>
      <c r="AD148" s="575"/>
      <c r="AE148" s="753"/>
      <c r="AF148" s="575"/>
      <c r="AG148" s="575"/>
      <c r="AH148" s="842"/>
      <c r="AI148" s="1013">
        <f t="shared" si="9"/>
        <v>0</v>
      </c>
      <c r="AJ148" s="949">
        <v>0</v>
      </c>
      <c r="AK148" s="581">
        <f t="shared" ref="AK148:AK211" si="10">AI148+AJ148</f>
        <v>0</v>
      </c>
      <c r="AL148" s="746" t="s">
        <v>1521</v>
      </c>
      <c r="AM148" s="743">
        <f t="shared" ref="AM148:AM211" si="11">AL148-AK148</f>
        <v>264.95999999999998</v>
      </c>
    </row>
    <row r="149" spans="1:39" s="560" customFormat="1">
      <c r="A149" s="604" t="s">
        <v>650</v>
      </c>
      <c r="B149" s="604" t="s">
        <v>1158</v>
      </c>
      <c r="C149" s="614" t="s">
        <v>47</v>
      </c>
      <c r="D149" s="580"/>
      <c r="E149" s="581"/>
      <c r="F149" s="778"/>
      <c r="G149" s="581"/>
      <c r="H149" s="581"/>
      <c r="I149" s="949"/>
      <c r="J149" s="949"/>
      <c r="K149" s="825"/>
      <c r="L149" s="575"/>
      <c r="M149" s="778"/>
      <c r="N149" s="575"/>
      <c r="O149" s="575"/>
      <c r="P149" s="575"/>
      <c r="Q149" s="575"/>
      <c r="R149" s="575"/>
      <c r="S149" s="575"/>
      <c r="T149" s="778"/>
      <c r="U149" s="575"/>
      <c r="V149" s="575"/>
      <c r="W149" s="575"/>
      <c r="X149" s="575"/>
      <c r="Y149" s="575"/>
      <c r="Z149" s="575"/>
      <c r="AA149" s="778"/>
      <c r="AB149" s="817"/>
      <c r="AC149" s="575"/>
      <c r="AD149" s="575"/>
      <c r="AE149" s="753"/>
      <c r="AF149" s="575"/>
      <c r="AG149" s="575"/>
      <c r="AH149" s="842"/>
      <c r="AI149" s="1013">
        <f t="shared" si="9"/>
        <v>0</v>
      </c>
      <c r="AJ149" s="949">
        <v>0</v>
      </c>
      <c r="AK149" s="581">
        <f t="shared" si="10"/>
        <v>0</v>
      </c>
      <c r="AL149" s="746"/>
      <c r="AM149" s="743">
        <f t="shared" si="11"/>
        <v>0</v>
      </c>
    </row>
    <row r="150" spans="1:39" s="560" customFormat="1">
      <c r="A150" s="604" t="s">
        <v>651</v>
      </c>
      <c r="B150" s="604" t="s">
        <v>1159</v>
      </c>
      <c r="C150" s="690"/>
      <c r="D150" s="580"/>
      <c r="E150" s="581"/>
      <c r="F150" s="778"/>
      <c r="G150" s="581"/>
      <c r="H150" s="581"/>
      <c r="I150" s="949"/>
      <c r="J150" s="949"/>
      <c r="K150" s="825"/>
      <c r="L150" s="575"/>
      <c r="M150" s="778"/>
      <c r="N150" s="575"/>
      <c r="O150" s="575"/>
      <c r="P150" s="575"/>
      <c r="Q150" s="575"/>
      <c r="R150" s="575"/>
      <c r="S150" s="575"/>
      <c r="T150" s="778"/>
      <c r="U150" s="575"/>
      <c r="V150" s="575"/>
      <c r="W150" s="575"/>
      <c r="X150" s="575"/>
      <c r="Y150" s="575"/>
      <c r="Z150" s="575"/>
      <c r="AA150" s="778"/>
      <c r="AB150" s="817"/>
      <c r="AC150" s="575"/>
      <c r="AD150" s="575"/>
      <c r="AE150" s="753"/>
      <c r="AF150" s="575"/>
      <c r="AG150" s="575"/>
      <c r="AH150" s="842"/>
      <c r="AI150" s="1013">
        <f t="shared" si="9"/>
        <v>0</v>
      </c>
      <c r="AJ150" s="949">
        <v>0</v>
      </c>
      <c r="AK150" s="581">
        <f t="shared" si="10"/>
        <v>0</v>
      </c>
      <c r="AL150" s="746" t="s">
        <v>1522</v>
      </c>
      <c r="AM150" s="743">
        <f t="shared" si="11"/>
        <v>3.77</v>
      </c>
    </row>
    <row r="151" spans="1:39" s="560" customFormat="1">
      <c r="A151" s="604" t="s">
        <v>652</v>
      </c>
      <c r="B151" s="604" t="s">
        <v>1193</v>
      </c>
      <c r="C151" s="614" t="s">
        <v>39</v>
      </c>
      <c r="D151" s="580"/>
      <c r="E151" s="581"/>
      <c r="F151" s="782"/>
      <c r="G151" s="581"/>
      <c r="H151" s="581"/>
      <c r="I151" s="949"/>
      <c r="J151" s="949"/>
      <c r="K151" s="825"/>
      <c r="L151" s="575"/>
      <c r="M151" s="782"/>
      <c r="N151" s="575"/>
      <c r="O151" s="575"/>
      <c r="P151" s="575"/>
      <c r="Q151" s="575"/>
      <c r="R151" s="575"/>
      <c r="S151" s="575"/>
      <c r="T151" s="782"/>
      <c r="U151" s="575"/>
      <c r="V151" s="575"/>
      <c r="W151" s="575"/>
      <c r="X151" s="575"/>
      <c r="Y151" s="575"/>
      <c r="Z151" s="575"/>
      <c r="AA151" s="782"/>
      <c r="AB151" s="817"/>
      <c r="AC151" s="575"/>
      <c r="AD151" s="575"/>
      <c r="AE151" s="753"/>
      <c r="AF151" s="575"/>
      <c r="AG151" s="575"/>
      <c r="AH151" s="842"/>
      <c r="AI151" s="1013">
        <f t="shared" si="9"/>
        <v>0</v>
      </c>
      <c r="AJ151" s="949">
        <v>0</v>
      </c>
      <c r="AK151" s="581">
        <f t="shared" si="10"/>
        <v>0</v>
      </c>
      <c r="AL151" s="746" t="s">
        <v>1523</v>
      </c>
      <c r="AM151" s="743">
        <f t="shared" si="11"/>
        <v>30.18</v>
      </c>
    </row>
    <row r="152" spans="1:39" s="560" customFormat="1">
      <c r="A152" s="604" t="s">
        <v>653</v>
      </c>
      <c r="B152" s="604" t="s">
        <v>1161</v>
      </c>
      <c r="C152" s="614" t="s">
        <v>36</v>
      </c>
      <c r="D152" s="580"/>
      <c r="E152" s="581"/>
      <c r="F152" s="778"/>
      <c r="G152" s="581"/>
      <c r="H152" s="581"/>
      <c r="I152" s="949"/>
      <c r="J152" s="949"/>
      <c r="K152" s="825"/>
      <c r="L152" s="575"/>
      <c r="M152" s="778"/>
      <c r="N152" s="575"/>
      <c r="O152" s="575"/>
      <c r="P152" s="575"/>
      <c r="Q152" s="575"/>
      <c r="R152" s="575"/>
      <c r="S152" s="575"/>
      <c r="T152" s="778"/>
      <c r="U152" s="575"/>
      <c r="V152" s="575"/>
      <c r="W152" s="575"/>
      <c r="X152" s="575"/>
      <c r="Y152" s="575"/>
      <c r="Z152" s="575"/>
      <c r="AA152" s="778"/>
      <c r="AB152" s="817"/>
      <c r="AC152" s="588"/>
      <c r="AD152" s="741"/>
      <c r="AE152" s="753"/>
      <c r="AF152" s="575"/>
      <c r="AG152" s="575"/>
      <c r="AH152" s="842"/>
      <c r="AI152" s="1013">
        <f t="shared" si="9"/>
        <v>0</v>
      </c>
      <c r="AJ152" s="949">
        <v>0</v>
      </c>
      <c r="AK152" s="581">
        <f t="shared" si="10"/>
        <v>0</v>
      </c>
      <c r="AL152" s="746" t="s">
        <v>1524</v>
      </c>
      <c r="AM152" s="743">
        <f t="shared" si="11"/>
        <v>365.33</v>
      </c>
    </row>
    <row r="153" spans="1:39" s="560" customFormat="1" ht="13.2" customHeight="1">
      <c r="A153" s="604" t="s">
        <v>654</v>
      </c>
      <c r="B153" s="604" t="s">
        <v>1162</v>
      </c>
      <c r="C153" s="614" t="s">
        <v>47</v>
      </c>
      <c r="D153" s="580"/>
      <c r="E153" s="581"/>
      <c r="F153" s="778"/>
      <c r="G153" s="581"/>
      <c r="H153" s="581"/>
      <c r="I153" s="949"/>
      <c r="J153" s="949"/>
      <c r="K153" s="825"/>
      <c r="L153" s="575"/>
      <c r="M153" s="778"/>
      <c r="N153" s="575"/>
      <c r="O153" s="575"/>
      <c r="P153" s="575"/>
      <c r="Q153" s="575"/>
      <c r="R153" s="575"/>
      <c r="S153" s="575"/>
      <c r="T153" s="778"/>
      <c r="U153" s="575"/>
      <c r="V153" s="575"/>
      <c r="W153" s="575"/>
      <c r="X153" s="575"/>
      <c r="Y153" s="575"/>
      <c r="Z153" s="575"/>
      <c r="AA153" s="778"/>
      <c r="AB153" s="817"/>
      <c r="AC153" s="575"/>
      <c r="AD153" s="575"/>
      <c r="AE153" s="753"/>
      <c r="AF153" s="575"/>
      <c r="AG153" s="575"/>
      <c r="AH153" s="842"/>
      <c r="AI153" s="1013">
        <f t="shared" si="9"/>
        <v>0</v>
      </c>
      <c r="AJ153" s="949">
        <v>0</v>
      </c>
      <c r="AK153" s="581">
        <f t="shared" si="10"/>
        <v>0</v>
      </c>
      <c r="AL153" s="746"/>
      <c r="AM153" s="743">
        <f t="shared" si="11"/>
        <v>0</v>
      </c>
    </row>
    <row r="154" spans="1:39" s="560" customFormat="1" ht="13.2" customHeight="1">
      <c r="A154" s="604" t="s">
        <v>655</v>
      </c>
      <c r="B154" s="604" t="s">
        <v>1163</v>
      </c>
      <c r="C154" s="614"/>
      <c r="D154" s="580"/>
      <c r="E154" s="581"/>
      <c r="F154" s="778"/>
      <c r="G154" s="581"/>
      <c r="H154" s="581"/>
      <c r="I154" s="949"/>
      <c r="J154" s="949"/>
      <c r="K154" s="825"/>
      <c r="L154" s="575"/>
      <c r="M154" s="778"/>
      <c r="N154" s="575"/>
      <c r="O154" s="575"/>
      <c r="P154" s="575"/>
      <c r="Q154" s="575"/>
      <c r="R154" s="575"/>
      <c r="S154" s="575"/>
      <c r="T154" s="778"/>
      <c r="U154" s="575"/>
      <c r="V154" s="575"/>
      <c r="W154" s="575"/>
      <c r="X154" s="575"/>
      <c r="Y154" s="575"/>
      <c r="Z154" s="575"/>
      <c r="AA154" s="778"/>
      <c r="AB154" s="817"/>
      <c r="AC154" s="575"/>
      <c r="AD154" s="575"/>
      <c r="AE154" s="753"/>
      <c r="AF154" s="575"/>
      <c r="AG154" s="575"/>
      <c r="AH154" s="842"/>
      <c r="AI154" s="1013">
        <f t="shared" si="9"/>
        <v>0</v>
      </c>
      <c r="AJ154" s="949">
        <v>0</v>
      </c>
      <c r="AK154" s="581">
        <f t="shared" si="10"/>
        <v>0</v>
      </c>
      <c r="AL154" s="746" t="s">
        <v>1525</v>
      </c>
      <c r="AM154" s="743">
        <f t="shared" si="11"/>
        <v>6.4</v>
      </c>
    </row>
    <row r="155" spans="1:39" s="560" customFormat="1" ht="13.2" customHeight="1">
      <c r="A155" s="604" t="s">
        <v>656</v>
      </c>
      <c r="B155" s="604" t="s">
        <v>1194</v>
      </c>
      <c r="C155" s="614" t="s">
        <v>39</v>
      </c>
      <c r="D155" s="580"/>
      <c r="E155" s="581"/>
      <c r="F155" s="778"/>
      <c r="G155" s="581"/>
      <c r="H155" s="581"/>
      <c r="I155" s="949"/>
      <c r="J155" s="949"/>
      <c r="K155" s="825"/>
      <c r="L155" s="575"/>
      <c r="M155" s="778"/>
      <c r="N155" s="575"/>
      <c r="O155" s="575"/>
      <c r="P155" s="575"/>
      <c r="Q155" s="575"/>
      <c r="R155" s="575"/>
      <c r="S155" s="575"/>
      <c r="T155" s="778"/>
      <c r="U155" s="575"/>
      <c r="V155" s="575"/>
      <c r="W155" s="575"/>
      <c r="X155" s="575"/>
      <c r="Y155" s="575"/>
      <c r="Z155" s="575"/>
      <c r="AA155" s="778"/>
      <c r="AB155" s="817"/>
      <c r="AC155" s="575"/>
      <c r="AD155" s="575"/>
      <c r="AE155" s="753"/>
      <c r="AF155" s="575"/>
      <c r="AG155" s="575"/>
      <c r="AH155" s="842"/>
      <c r="AI155" s="1013">
        <f t="shared" si="9"/>
        <v>0</v>
      </c>
      <c r="AJ155" s="949">
        <v>0</v>
      </c>
      <c r="AK155" s="581">
        <f t="shared" si="10"/>
        <v>0</v>
      </c>
      <c r="AL155" s="746" t="s">
        <v>1526</v>
      </c>
      <c r="AM155" s="743">
        <f t="shared" si="11"/>
        <v>76.7</v>
      </c>
    </row>
    <row r="156" spans="1:39" s="560" customFormat="1" ht="13.2" customHeight="1">
      <c r="A156" s="604" t="s">
        <v>657</v>
      </c>
      <c r="B156" s="604" t="s">
        <v>1165</v>
      </c>
      <c r="C156" s="614" t="s">
        <v>36</v>
      </c>
      <c r="D156" s="580"/>
      <c r="E156" s="581"/>
      <c r="F156" s="778"/>
      <c r="G156" s="581"/>
      <c r="H156" s="581"/>
      <c r="I156" s="949"/>
      <c r="J156" s="949"/>
      <c r="K156" s="825"/>
      <c r="L156" s="575"/>
      <c r="M156" s="778"/>
      <c r="N156" s="575"/>
      <c r="O156" s="575"/>
      <c r="P156" s="575"/>
      <c r="Q156" s="575"/>
      <c r="R156" s="575"/>
      <c r="S156" s="575"/>
      <c r="T156" s="778"/>
      <c r="U156" s="575"/>
      <c r="V156" s="575"/>
      <c r="W156" s="575"/>
      <c r="X156" s="575"/>
      <c r="Y156" s="575"/>
      <c r="Z156" s="583"/>
      <c r="AA156" s="778"/>
      <c r="AB156" s="817"/>
      <c r="AC156" s="575"/>
      <c r="AD156" s="575"/>
      <c r="AE156" s="753"/>
      <c r="AF156" s="575"/>
      <c r="AG156" s="575"/>
      <c r="AH156" s="842"/>
      <c r="AI156" s="1013">
        <f t="shared" si="9"/>
        <v>0</v>
      </c>
      <c r="AJ156" s="949">
        <v>0</v>
      </c>
      <c r="AK156" s="581">
        <f t="shared" si="10"/>
        <v>0</v>
      </c>
      <c r="AL156" s="746" t="s">
        <v>1527</v>
      </c>
      <c r="AM156" s="743">
        <f t="shared" si="11"/>
        <v>1929.18</v>
      </c>
    </row>
    <row r="157" spans="1:39" s="560" customFormat="1" ht="13.2" customHeight="1">
      <c r="A157" s="604" t="s">
        <v>658</v>
      </c>
      <c r="B157" s="604" t="s">
        <v>1166</v>
      </c>
      <c r="C157" s="614" t="s">
        <v>47</v>
      </c>
      <c r="D157" s="580"/>
      <c r="E157" s="581"/>
      <c r="F157" s="778"/>
      <c r="G157" s="581"/>
      <c r="H157" s="581"/>
      <c r="I157" s="949"/>
      <c r="J157" s="949"/>
      <c r="K157" s="825"/>
      <c r="L157" s="575"/>
      <c r="M157" s="778"/>
      <c r="N157" s="575"/>
      <c r="O157" s="575"/>
      <c r="P157" s="575"/>
      <c r="Q157" s="575"/>
      <c r="R157" s="575"/>
      <c r="S157" s="575"/>
      <c r="T157" s="778"/>
      <c r="U157" s="575"/>
      <c r="V157" s="575"/>
      <c r="W157" s="575"/>
      <c r="X157" s="575"/>
      <c r="Y157" s="575"/>
      <c r="Z157" s="575"/>
      <c r="AA157" s="778"/>
      <c r="AB157" s="817"/>
      <c r="AC157" s="575"/>
      <c r="AD157" s="575"/>
      <c r="AE157" s="753"/>
      <c r="AF157" s="575"/>
      <c r="AG157" s="575"/>
      <c r="AH157" s="842"/>
      <c r="AI157" s="1013">
        <f t="shared" si="9"/>
        <v>0</v>
      </c>
      <c r="AJ157" s="949">
        <v>0</v>
      </c>
      <c r="AK157" s="581">
        <f t="shared" si="10"/>
        <v>0</v>
      </c>
      <c r="AL157" s="746"/>
      <c r="AM157" s="743">
        <f t="shared" si="11"/>
        <v>0</v>
      </c>
    </row>
    <row r="158" spans="1:39" s="560" customFormat="1" ht="13.2" customHeight="1">
      <c r="A158" s="604" t="s">
        <v>659</v>
      </c>
      <c r="B158" s="604" t="s">
        <v>1167</v>
      </c>
      <c r="C158" s="690"/>
      <c r="D158" s="580"/>
      <c r="E158" s="581"/>
      <c r="F158" s="778"/>
      <c r="G158" s="581"/>
      <c r="H158" s="581"/>
      <c r="I158" s="949"/>
      <c r="J158" s="949"/>
      <c r="K158" s="825"/>
      <c r="L158" s="575"/>
      <c r="M158" s="778"/>
      <c r="N158" s="575"/>
      <c r="O158" s="575"/>
      <c r="P158" s="575"/>
      <c r="Q158" s="575"/>
      <c r="R158" s="575"/>
      <c r="S158" s="575"/>
      <c r="T158" s="778"/>
      <c r="U158" s="575"/>
      <c r="V158" s="575"/>
      <c r="W158" s="575"/>
      <c r="X158" s="575"/>
      <c r="Y158" s="575"/>
      <c r="Z158" s="575"/>
      <c r="AA158" s="778"/>
      <c r="AB158" s="817"/>
      <c r="AC158" s="575"/>
      <c r="AD158" s="575"/>
      <c r="AE158" s="753"/>
      <c r="AF158" s="575"/>
      <c r="AG158" s="575"/>
      <c r="AH158" s="842"/>
      <c r="AI158" s="1013">
        <f t="shared" si="9"/>
        <v>0</v>
      </c>
      <c r="AJ158" s="949">
        <v>0</v>
      </c>
      <c r="AK158" s="581">
        <f t="shared" si="10"/>
        <v>0</v>
      </c>
      <c r="AL158" s="746" t="s">
        <v>1528</v>
      </c>
      <c r="AM158" s="743">
        <f t="shared" si="11"/>
        <v>3.44</v>
      </c>
    </row>
    <row r="159" spans="1:39" s="560" customFormat="1" ht="13.2" customHeight="1">
      <c r="A159" s="604" t="s">
        <v>660</v>
      </c>
      <c r="B159" s="604" t="s">
        <v>1168</v>
      </c>
      <c r="C159" s="614" t="s">
        <v>39</v>
      </c>
      <c r="D159" s="580"/>
      <c r="E159" s="581"/>
      <c r="F159" s="778"/>
      <c r="G159" s="581"/>
      <c r="H159" s="581"/>
      <c r="I159" s="949"/>
      <c r="J159" s="949"/>
      <c r="K159" s="825"/>
      <c r="L159" s="575"/>
      <c r="M159" s="778"/>
      <c r="N159" s="575"/>
      <c r="O159" s="575"/>
      <c r="P159" s="575"/>
      <c r="Q159" s="575"/>
      <c r="R159" s="575"/>
      <c r="S159" s="575"/>
      <c r="T159" s="778"/>
      <c r="U159" s="575"/>
      <c r="V159" s="575"/>
      <c r="W159" s="575"/>
      <c r="X159" s="575"/>
      <c r="Y159" s="575"/>
      <c r="Z159" s="575"/>
      <c r="AA159" s="778"/>
      <c r="AB159" s="945"/>
      <c r="AC159" s="575"/>
      <c r="AD159" s="575"/>
      <c r="AE159" s="753"/>
      <c r="AF159" s="575"/>
      <c r="AG159" s="575"/>
      <c r="AH159" s="842"/>
      <c r="AI159" s="1013">
        <f t="shared" si="9"/>
        <v>0</v>
      </c>
      <c r="AJ159" s="949">
        <v>0</v>
      </c>
      <c r="AK159" s="581">
        <f t="shared" si="10"/>
        <v>0</v>
      </c>
      <c r="AL159" s="746" t="s">
        <v>1529</v>
      </c>
      <c r="AM159" s="743">
        <f t="shared" si="11"/>
        <v>21.46</v>
      </c>
    </row>
    <row r="160" spans="1:39" s="560" customFormat="1" ht="13.2" customHeight="1">
      <c r="A160" s="604" t="s">
        <v>661</v>
      </c>
      <c r="B160" s="604" t="s">
        <v>1169</v>
      </c>
      <c r="C160" s="614" t="s">
        <v>36</v>
      </c>
      <c r="D160" s="580"/>
      <c r="E160" s="581"/>
      <c r="F160" s="778"/>
      <c r="G160" s="581"/>
      <c r="H160" s="581"/>
      <c r="I160" s="949"/>
      <c r="J160" s="949"/>
      <c r="K160" s="825"/>
      <c r="L160" s="575"/>
      <c r="M160" s="778"/>
      <c r="N160" s="575"/>
      <c r="O160" s="575"/>
      <c r="P160" s="575"/>
      <c r="Q160" s="575"/>
      <c r="R160" s="575"/>
      <c r="S160" s="575"/>
      <c r="T160" s="778"/>
      <c r="U160" s="575"/>
      <c r="V160" s="575"/>
      <c r="W160" s="575"/>
      <c r="X160" s="575"/>
      <c r="Y160" s="575"/>
      <c r="Z160" s="575"/>
      <c r="AA160" s="778"/>
      <c r="AB160" s="817"/>
      <c r="AC160" s="575"/>
      <c r="AD160" s="575"/>
      <c r="AE160" s="753"/>
      <c r="AF160" s="575"/>
      <c r="AG160" s="575"/>
      <c r="AH160" s="842"/>
      <c r="AI160" s="1013">
        <f t="shared" si="9"/>
        <v>0</v>
      </c>
      <c r="AJ160" s="949">
        <v>0</v>
      </c>
      <c r="AK160" s="581">
        <f t="shared" si="10"/>
        <v>0</v>
      </c>
      <c r="AL160" s="746" t="s">
        <v>1530</v>
      </c>
      <c r="AM160" s="743">
        <f t="shared" si="11"/>
        <v>302.89999999999998</v>
      </c>
    </row>
    <row r="161" spans="1:39" s="560" customFormat="1" ht="13.2" customHeight="1">
      <c r="A161" s="604" t="s">
        <v>662</v>
      </c>
      <c r="B161" s="604" t="s">
        <v>1170</v>
      </c>
      <c r="C161" s="614" t="s">
        <v>47</v>
      </c>
      <c r="D161" s="580"/>
      <c r="E161" s="581"/>
      <c r="F161" s="778"/>
      <c r="G161" s="581"/>
      <c r="H161" s="581"/>
      <c r="I161" s="949"/>
      <c r="J161" s="949"/>
      <c r="K161" s="825"/>
      <c r="L161" s="575"/>
      <c r="M161" s="778"/>
      <c r="N161" s="575"/>
      <c r="O161" s="575"/>
      <c r="P161" s="575"/>
      <c r="Q161" s="575"/>
      <c r="R161" s="575"/>
      <c r="S161" s="575"/>
      <c r="T161" s="778"/>
      <c r="U161" s="575"/>
      <c r="V161" s="575"/>
      <c r="W161" s="575"/>
      <c r="X161" s="575"/>
      <c r="Y161" s="575"/>
      <c r="Z161" s="575"/>
      <c r="AA161" s="778"/>
      <c r="AB161" s="817"/>
      <c r="AC161" s="575"/>
      <c r="AD161" s="575"/>
      <c r="AE161" s="753"/>
      <c r="AF161" s="575"/>
      <c r="AG161" s="575"/>
      <c r="AH161" s="842"/>
      <c r="AI161" s="1013">
        <f t="shared" si="9"/>
        <v>0</v>
      </c>
      <c r="AJ161" s="949">
        <v>0</v>
      </c>
      <c r="AK161" s="581">
        <f t="shared" si="10"/>
        <v>0</v>
      </c>
      <c r="AL161" s="746"/>
      <c r="AM161" s="743">
        <f t="shared" si="11"/>
        <v>0</v>
      </c>
    </row>
    <row r="162" spans="1:39" s="560" customFormat="1" ht="13.2" customHeight="1">
      <c r="A162" s="604" t="s">
        <v>663</v>
      </c>
      <c r="B162" s="604" t="s">
        <v>1171</v>
      </c>
      <c r="C162" s="690"/>
      <c r="D162" s="580"/>
      <c r="E162" s="581"/>
      <c r="F162" s="778"/>
      <c r="G162" s="581"/>
      <c r="H162" s="581"/>
      <c r="I162" s="949"/>
      <c r="J162" s="949"/>
      <c r="K162" s="825"/>
      <c r="L162" s="575"/>
      <c r="M162" s="778"/>
      <c r="N162" s="575"/>
      <c r="O162" s="575"/>
      <c r="P162" s="575"/>
      <c r="Q162" s="575"/>
      <c r="R162" s="575"/>
      <c r="S162" s="575"/>
      <c r="T162" s="778"/>
      <c r="U162" s="575"/>
      <c r="V162" s="575"/>
      <c r="W162" s="575"/>
      <c r="X162" s="575"/>
      <c r="Y162" s="575"/>
      <c r="Z162" s="575"/>
      <c r="AA162" s="778"/>
      <c r="AB162" s="817"/>
      <c r="AC162" s="575"/>
      <c r="AD162" s="575"/>
      <c r="AE162" s="753"/>
      <c r="AF162" s="575"/>
      <c r="AG162" s="575"/>
      <c r="AH162" s="842"/>
      <c r="AI162" s="1013">
        <f t="shared" si="9"/>
        <v>0</v>
      </c>
      <c r="AJ162" s="949">
        <v>0</v>
      </c>
      <c r="AK162" s="581">
        <f t="shared" si="10"/>
        <v>0</v>
      </c>
      <c r="AL162" s="746" t="s">
        <v>1531</v>
      </c>
      <c r="AM162" s="743">
        <f t="shared" si="11"/>
        <v>11.56</v>
      </c>
    </row>
    <row r="163" spans="1:39" s="560" customFormat="1" ht="13.2" customHeight="1">
      <c r="A163" s="604" t="s">
        <v>664</v>
      </c>
      <c r="B163" s="604" t="s">
        <v>1172</v>
      </c>
      <c r="C163" s="614" t="s">
        <v>39</v>
      </c>
      <c r="D163" s="580"/>
      <c r="E163" s="581"/>
      <c r="F163" s="778"/>
      <c r="G163" s="581"/>
      <c r="H163" s="581"/>
      <c r="I163" s="949"/>
      <c r="J163" s="949"/>
      <c r="K163" s="825"/>
      <c r="L163" s="575"/>
      <c r="M163" s="778"/>
      <c r="N163" s="575"/>
      <c r="O163" s="575"/>
      <c r="P163" s="575"/>
      <c r="Q163" s="575"/>
      <c r="R163" s="575"/>
      <c r="S163" s="575"/>
      <c r="T163" s="778"/>
      <c r="U163" s="575"/>
      <c r="V163" s="575"/>
      <c r="W163" s="575"/>
      <c r="X163" s="575"/>
      <c r="Y163" s="575"/>
      <c r="Z163" s="575"/>
      <c r="AA163" s="778"/>
      <c r="AB163" s="817"/>
      <c r="AC163" s="575"/>
      <c r="AD163" s="575"/>
      <c r="AE163" s="753"/>
      <c r="AF163" s="575"/>
      <c r="AG163" s="575"/>
      <c r="AH163" s="842"/>
      <c r="AI163" s="1013">
        <f t="shared" si="9"/>
        <v>0</v>
      </c>
      <c r="AJ163" s="949">
        <v>0</v>
      </c>
      <c r="AK163" s="581">
        <f t="shared" si="10"/>
        <v>0</v>
      </c>
      <c r="AL163" s="746" t="s">
        <v>1532</v>
      </c>
      <c r="AM163" s="743">
        <f t="shared" si="11"/>
        <v>101.84</v>
      </c>
    </row>
    <row r="164" spans="1:39" s="560" customFormat="1" ht="13.2" customHeight="1">
      <c r="A164" s="604" t="s">
        <v>665</v>
      </c>
      <c r="B164" s="604" t="s">
        <v>1173</v>
      </c>
      <c r="C164" s="614" t="s">
        <v>36</v>
      </c>
      <c r="D164" s="580"/>
      <c r="E164" s="581"/>
      <c r="F164" s="778"/>
      <c r="G164" s="581"/>
      <c r="H164" s="581"/>
      <c r="I164" s="949"/>
      <c r="J164" s="949"/>
      <c r="K164" s="825"/>
      <c r="L164" s="575"/>
      <c r="M164" s="778"/>
      <c r="N164" s="575"/>
      <c r="O164" s="575"/>
      <c r="P164" s="575"/>
      <c r="Q164" s="575"/>
      <c r="R164" s="575"/>
      <c r="S164" s="575"/>
      <c r="T164" s="778"/>
      <c r="U164" s="575"/>
      <c r="V164" s="575"/>
      <c r="W164" s="575"/>
      <c r="X164" s="575"/>
      <c r="Y164" s="575"/>
      <c r="Z164" s="575"/>
      <c r="AA164" s="778"/>
      <c r="AB164" s="817"/>
      <c r="AC164" s="575"/>
      <c r="AD164" s="575"/>
      <c r="AE164" s="753"/>
      <c r="AF164" s="575"/>
      <c r="AG164" s="575"/>
      <c r="AH164" s="842"/>
      <c r="AI164" s="1013">
        <f t="shared" si="9"/>
        <v>0</v>
      </c>
      <c r="AJ164" s="949">
        <v>0</v>
      </c>
      <c r="AK164" s="581">
        <f t="shared" si="10"/>
        <v>0</v>
      </c>
      <c r="AL164" s="746" t="s">
        <v>1533</v>
      </c>
      <c r="AM164" s="743">
        <f t="shared" si="11"/>
        <v>1333.5</v>
      </c>
    </row>
    <row r="165" spans="1:39" s="560" customFormat="1" ht="13.2" customHeight="1">
      <c r="A165" s="604" t="s">
        <v>666</v>
      </c>
      <c r="B165" s="604" t="s">
        <v>1174</v>
      </c>
      <c r="C165" s="614" t="s">
        <v>47</v>
      </c>
      <c r="D165" s="580"/>
      <c r="E165" s="581"/>
      <c r="F165" s="778"/>
      <c r="G165" s="581"/>
      <c r="H165" s="581"/>
      <c r="I165" s="949"/>
      <c r="J165" s="949"/>
      <c r="K165" s="825"/>
      <c r="L165" s="575"/>
      <c r="M165" s="778"/>
      <c r="N165" s="575"/>
      <c r="O165" s="575"/>
      <c r="P165" s="575"/>
      <c r="Q165" s="575"/>
      <c r="R165" s="575"/>
      <c r="S165" s="575"/>
      <c r="T165" s="778"/>
      <c r="U165" s="575"/>
      <c r="V165" s="575"/>
      <c r="W165" s="575"/>
      <c r="X165" s="575"/>
      <c r="Y165" s="575"/>
      <c r="Z165" s="575"/>
      <c r="AA165" s="778"/>
      <c r="AB165" s="817"/>
      <c r="AC165" s="575"/>
      <c r="AD165" s="575"/>
      <c r="AE165" s="753"/>
      <c r="AF165" s="575"/>
      <c r="AG165" s="575"/>
      <c r="AH165" s="842"/>
      <c r="AI165" s="1013">
        <f t="shared" si="9"/>
        <v>0</v>
      </c>
      <c r="AJ165" s="949">
        <v>0</v>
      </c>
      <c r="AK165" s="581">
        <f t="shared" si="10"/>
        <v>0</v>
      </c>
      <c r="AL165" s="746"/>
      <c r="AM165" s="743">
        <f t="shared" si="11"/>
        <v>0</v>
      </c>
    </row>
    <row r="166" spans="1:39" s="560" customFormat="1" ht="13.2" customHeight="1">
      <c r="A166" s="604" t="s">
        <v>667</v>
      </c>
      <c r="B166" s="604" t="s">
        <v>1175</v>
      </c>
      <c r="C166" s="690"/>
      <c r="D166" s="580"/>
      <c r="E166" s="581"/>
      <c r="F166" s="778"/>
      <c r="G166" s="581"/>
      <c r="H166" s="581"/>
      <c r="I166" s="949"/>
      <c r="J166" s="949"/>
      <c r="K166" s="825"/>
      <c r="L166" s="575"/>
      <c r="M166" s="778"/>
      <c r="N166" s="575"/>
      <c r="O166" s="575"/>
      <c r="P166" s="575"/>
      <c r="Q166" s="575"/>
      <c r="R166" s="575"/>
      <c r="S166" s="575"/>
      <c r="T166" s="778"/>
      <c r="U166" s="575"/>
      <c r="V166" s="575"/>
      <c r="W166" s="575"/>
      <c r="X166" s="575"/>
      <c r="Y166" s="575"/>
      <c r="Z166" s="575"/>
      <c r="AA166" s="778"/>
      <c r="AB166" s="817"/>
      <c r="AC166" s="575"/>
      <c r="AD166" s="575"/>
      <c r="AE166" s="753"/>
      <c r="AF166" s="575"/>
      <c r="AG166" s="575"/>
      <c r="AH166" s="842"/>
      <c r="AI166" s="1013">
        <f t="shared" si="9"/>
        <v>0</v>
      </c>
      <c r="AJ166" s="949">
        <v>0</v>
      </c>
      <c r="AK166" s="581">
        <f t="shared" si="10"/>
        <v>0</v>
      </c>
      <c r="AL166" s="746" t="s">
        <v>1534</v>
      </c>
      <c r="AM166" s="743">
        <f t="shared" si="11"/>
        <v>13.47</v>
      </c>
    </row>
    <row r="167" spans="1:39" s="560" customFormat="1" ht="13.2" customHeight="1">
      <c r="A167" s="604" t="s">
        <v>668</v>
      </c>
      <c r="B167" s="604" t="s">
        <v>1176</v>
      </c>
      <c r="C167" s="614" t="s">
        <v>39</v>
      </c>
      <c r="D167" s="580"/>
      <c r="E167" s="581"/>
      <c r="F167" s="778"/>
      <c r="G167" s="581"/>
      <c r="H167" s="581"/>
      <c r="I167" s="949"/>
      <c r="J167" s="949"/>
      <c r="K167" s="825"/>
      <c r="L167" s="575"/>
      <c r="M167" s="778"/>
      <c r="N167" s="575"/>
      <c r="O167" s="575"/>
      <c r="P167" s="575"/>
      <c r="Q167" s="575"/>
      <c r="R167" s="575"/>
      <c r="S167" s="575"/>
      <c r="T167" s="778"/>
      <c r="U167" s="575"/>
      <c r="V167" s="575"/>
      <c r="W167" s="575"/>
      <c r="X167" s="575"/>
      <c r="Y167" s="575"/>
      <c r="Z167" s="575"/>
      <c r="AA167" s="778"/>
      <c r="AB167" s="817"/>
      <c r="AC167" s="575"/>
      <c r="AD167" s="575"/>
      <c r="AE167" s="753"/>
      <c r="AF167" s="575"/>
      <c r="AG167" s="575"/>
      <c r="AH167" s="842"/>
      <c r="AI167" s="1013">
        <f t="shared" si="9"/>
        <v>0</v>
      </c>
      <c r="AJ167" s="949">
        <v>0</v>
      </c>
      <c r="AK167" s="581">
        <f t="shared" si="10"/>
        <v>0</v>
      </c>
      <c r="AL167" s="746" t="s">
        <v>1535</v>
      </c>
      <c r="AM167" s="743">
        <f t="shared" si="11"/>
        <v>153.93</v>
      </c>
    </row>
    <row r="168" spans="1:39" s="560" customFormat="1" ht="13.2" customHeight="1">
      <c r="A168" s="604" t="s">
        <v>669</v>
      </c>
      <c r="B168" s="604" t="s">
        <v>1177</v>
      </c>
      <c r="C168" s="614" t="s">
        <v>36</v>
      </c>
      <c r="D168" s="580"/>
      <c r="E168" s="581"/>
      <c r="F168" s="778"/>
      <c r="G168" s="581"/>
      <c r="H168" s="581"/>
      <c r="I168" s="949"/>
      <c r="J168" s="949"/>
      <c r="K168" s="825"/>
      <c r="L168" s="575"/>
      <c r="M168" s="778"/>
      <c r="N168" s="575"/>
      <c r="O168" s="575"/>
      <c r="P168" s="575"/>
      <c r="Q168" s="575"/>
      <c r="R168" s="575"/>
      <c r="S168" s="575"/>
      <c r="T168" s="778"/>
      <c r="U168" s="575"/>
      <c r="V168" s="575"/>
      <c r="W168" s="575"/>
      <c r="X168" s="575"/>
      <c r="Y168" s="575"/>
      <c r="Z168" s="575"/>
      <c r="AA168" s="778"/>
      <c r="AB168" s="817"/>
      <c r="AC168" s="575"/>
      <c r="AD168" s="575"/>
      <c r="AE168" s="753"/>
      <c r="AF168" s="575"/>
      <c r="AG168" s="575"/>
      <c r="AH168" s="842"/>
      <c r="AI168" s="1013">
        <f t="shared" si="9"/>
        <v>0</v>
      </c>
      <c r="AJ168" s="949">
        <v>0</v>
      </c>
      <c r="AK168" s="581">
        <f t="shared" si="10"/>
        <v>0</v>
      </c>
      <c r="AL168" s="746" t="s">
        <v>1536</v>
      </c>
      <c r="AM168" s="743">
        <f t="shared" si="11"/>
        <v>1781.46</v>
      </c>
    </row>
    <row r="169" spans="1:39" s="560" customFormat="1" ht="13.2" customHeight="1">
      <c r="A169" s="604" t="s">
        <v>670</v>
      </c>
      <c r="B169" s="604" t="s">
        <v>1178</v>
      </c>
      <c r="C169" s="614" t="s">
        <v>47</v>
      </c>
      <c r="D169" s="580"/>
      <c r="E169" s="581"/>
      <c r="F169" s="778"/>
      <c r="G169" s="581"/>
      <c r="H169" s="581"/>
      <c r="I169" s="949"/>
      <c r="J169" s="949"/>
      <c r="K169" s="825"/>
      <c r="L169" s="575"/>
      <c r="M169" s="778"/>
      <c r="N169" s="575"/>
      <c r="O169" s="575"/>
      <c r="P169" s="575"/>
      <c r="Q169" s="575"/>
      <c r="R169" s="575"/>
      <c r="S169" s="575"/>
      <c r="T169" s="778"/>
      <c r="U169" s="575"/>
      <c r="V169" s="575"/>
      <c r="W169" s="575"/>
      <c r="X169" s="575"/>
      <c r="Y169" s="575"/>
      <c r="Z169" s="575"/>
      <c r="AA169" s="778"/>
      <c r="AB169" s="817"/>
      <c r="AC169" s="575"/>
      <c r="AD169" s="575"/>
      <c r="AE169" s="753"/>
      <c r="AF169" s="575"/>
      <c r="AG169" s="575"/>
      <c r="AH169" s="842"/>
      <c r="AI169" s="1013">
        <f t="shared" si="9"/>
        <v>0</v>
      </c>
      <c r="AJ169" s="949">
        <v>0</v>
      </c>
      <c r="AK169" s="581">
        <f t="shared" si="10"/>
        <v>0</v>
      </c>
      <c r="AL169" s="746" t="s">
        <v>1537</v>
      </c>
      <c r="AM169" s="743">
        <f t="shared" si="11"/>
        <v>1146.1400000000001</v>
      </c>
    </row>
    <row r="170" spans="1:39" s="560" customFormat="1" ht="13.2" customHeight="1">
      <c r="A170" s="604" t="s">
        <v>671</v>
      </c>
      <c r="B170" s="604" t="s">
        <v>1179</v>
      </c>
      <c r="C170" s="614" t="s">
        <v>1436</v>
      </c>
      <c r="D170" s="580"/>
      <c r="E170" s="581"/>
      <c r="F170" s="778"/>
      <c r="G170" s="581"/>
      <c r="H170" s="581"/>
      <c r="I170" s="949"/>
      <c r="J170" s="949"/>
      <c r="K170" s="825"/>
      <c r="L170" s="575"/>
      <c r="M170" s="778"/>
      <c r="N170" s="575"/>
      <c r="O170" s="575"/>
      <c r="P170" s="575"/>
      <c r="Q170" s="575"/>
      <c r="R170" s="575"/>
      <c r="S170" s="575"/>
      <c r="T170" s="778"/>
      <c r="U170" s="575"/>
      <c r="V170" s="575"/>
      <c r="W170" s="575"/>
      <c r="X170" s="575"/>
      <c r="Y170" s="575"/>
      <c r="Z170" s="575"/>
      <c r="AA170" s="778"/>
      <c r="AB170" s="817"/>
      <c r="AC170" s="575"/>
      <c r="AD170" s="575"/>
      <c r="AE170" s="753"/>
      <c r="AF170" s="575"/>
      <c r="AG170" s="575"/>
      <c r="AH170" s="842"/>
      <c r="AI170" s="1013">
        <f t="shared" si="9"/>
        <v>0</v>
      </c>
      <c r="AJ170" s="949">
        <v>0</v>
      </c>
      <c r="AK170" s="581">
        <f t="shared" si="10"/>
        <v>0</v>
      </c>
      <c r="AL170" s="746"/>
      <c r="AM170" s="743">
        <f t="shared" si="11"/>
        <v>0</v>
      </c>
    </row>
    <row r="171" spans="1:39" s="560" customFormat="1" ht="13.2" customHeight="1">
      <c r="A171" s="604" t="s">
        <v>672</v>
      </c>
      <c r="B171" s="604" t="s">
        <v>1180</v>
      </c>
      <c r="C171" s="690"/>
      <c r="D171" s="580"/>
      <c r="E171" s="581"/>
      <c r="F171" s="778"/>
      <c r="G171" s="581"/>
      <c r="H171" s="581"/>
      <c r="I171" s="949"/>
      <c r="J171" s="949"/>
      <c r="K171" s="825"/>
      <c r="L171" s="575"/>
      <c r="M171" s="778"/>
      <c r="N171" s="575"/>
      <c r="O171" s="575"/>
      <c r="P171" s="575"/>
      <c r="Q171" s="575"/>
      <c r="R171" s="575"/>
      <c r="S171" s="575"/>
      <c r="T171" s="778"/>
      <c r="U171" s="575"/>
      <c r="V171" s="575"/>
      <c r="W171" s="575"/>
      <c r="X171" s="575"/>
      <c r="Y171" s="575"/>
      <c r="Z171" s="575"/>
      <c r="AA171" s="778"/>
      <c r="AB171" s="817"/>
      <c r="AC171" s="575"/>
      <c r="AD171" s="575"/>
      <c r="AE171" s="753"/>
      <c r="AF171" s="575"/>
      <c r="AG171" s="575"/>
      <c r="AH171" s="842"/>
      <c r="AI171" s="1013">
        <f t="shared" si="9"/>
        <v>0</v>
      </c>
      <c r="AJ171" s="949">
        <v>0</v>
      </c>
      <c r="AK171" s="581">
        <f t="shared" si="10"/>
        <v>0</v>
      </c>
      <c r="AL171" s="746" t="s">
        <v>1538</v>
      </c>
      <c r="AM171" s="743">
        <f t="shared" si="11"/>
        <v>2.57</v>
      </c>
    </row>
    <row r="172" spans="1:39" s="560" customFormat="1" ht="13.2" customHeight="1">
      <c r="A172" s="604" t="s">
        <v>673</v>
      </c>
      <c r="B172" s="604" t="s">
        <v>1181</v>
      </c>
      <c r="C172" s="614" t="s">
        <v>39</v>
      </c>
      <c r="D172" s="580"/>
      <c r="E172" s="581"/>
      <c r="F172" s="778"/>
      <c r="G172" s="581"/>
      <c r="H172" s="581"/>
      <c r="I172" s="949"/>
      <c r="J172" s="949"/>
      <c r="K172" s="825"/>
      <c r="L172" s="575"/>
      <c r="M172" s="778"/>
      <c r="N172" s="575"/>
      <c r="O172" s="575"/>
      <c r="P172" s="575"/>
      <c r="Q172" s="575"/>
      <c r="R172" s="575"/>
      <c r="S172" s="575"/>
      <c r="T172" s="778"/>
      <c r="U172" s="575"/>
      <c r="V172" s="575"/>
      <c r="W172" s="575"/>
      <c r="X172" s="575"/>
      <c r="Y172" s="575"/>
      <c r="Z172" s="575"/>
      <c r="AA172" s="778"/>
      <c r="AB172" s="817"/>
      <c r="AC172" s="575"/>
      <c r="AD172" s="575"/>
      <c r="AE172" s="753"/>
      <c r="AF172" s="575"/>
      <c r="AG172" s="575"/>
      <c r="AH172" s="842"/>
      <c r="AI172" s="1013">
        <f t="shared" si="9"/>
        <v>0</v>
      </c>
      <c r="AJ172" s="949">
        <v>0</v>
      </c>
      <c r="AK172" s="581">
        <f t="shared" si="10"/>
        <v>0</v>
      </c>
      <c r="AL172" s="746" t="s">
        <v>1480</v>
      </c>
      <c r="AM172" s="743">
        <f t="shared" si="11"/>
        <v>34.270000000000003</v>
      </c>
    </row>
    <row r="173" spans="1:39" s="560" customFormat="1" ht="13.2" customHeight="1">
      <c r="A173" s="604" t="s">
        <v>674</v>
      </c>
      <c r="B173" s="604" t="s">
        <v>1182</v>
      </c>
      <c r="C173" s="614" t="s">
        <v>36</v>
      </c>
      <c r="D173" s="580"/>
      <c r="E173" s="581"/>
      <c r="F173" s="778"/>
      <c r="G173" s="581"/>
      <c r="H173" s="581"/>
      <c r="I173" s="949"/>
      <c r="J173" s="949"/>
      <c r="K173" s="825"/>
      <c r="L173" s="575"/>
      <c r="M173" s="778"/>
      <c r="N173" s="575"/>
      <c r="O173" s="575"/>
      <c r="P173" s="575"/>
      <c r="Q173" s="575"/>
      <c r="R173" s="575"/>
      <c r="S173" s="575"/>
      <c r="T173" s="778"/>
      <c r="U173" s="575"/>
      <c r="V173" s="575"/>
      <c r="W173" s="575"/>
      <c r="X173" s="575"/>
      <c r="Y173" s="575"/>
      <c r="Z173" s="583"/>
      <c r="AA173" s="778"/>
      <c r="AB173" s="817"/>
      <c r="AC173" s="575"/>
      <c r="AD173" s="575"/>
      <c r="AE173" s="753"/>
      <c r="AF173" s="575"/>
      <c r="AG173" s="575"/>
      <c r="AH173" s="842"/>
      <c r="AI173" s="1013">
        <f t="shared" si="9"/>
        <v>0</v>
      </c>
      <c r="AJ173" s="949">
        <v>0</v>
      </c>
      <c r="AK173" s="581">
        <f t="shared" si="10"/>
        <v>0</v>
      </c>
      <c r="AL173" s="746" t="s">
        <v>1539</v>
      </c>
      <c r="AM173" s="743">
        <f t="shared" si="11"/>
        <v>178.66</v>
      </c>
    </row>
    <row r="174" spans="1:39" s="560" customFormat="1" ht="13.2" customHeight="1">
      <c r="A174" s="604" t="s">
        <v>675</v>
      </c>
      <c r="B174" s="604" t="s">
        <v>1183</v>
      </c>
      <c r="C174" s="614" t="s">
        <v>47</v>
      </c>
      <c r="D174" s="580"/>
      <c r="E174" s="581"/>
      <c r="F174" s="778"/>
      <c r="G174" s="581"/>
      <c r="H174" s="581"/>
      <c r="I174" s="949"/>
      <c r="J174" s="949"/>
      <c r="K174" s="825"/>
      <c r="L174" s="575"/>
      <c r="M174" s="778"/>
      <c r="N174" s="575"/>
      <c r="O174" s="575"/>
      <c r="P174" s="575"/>
      <c r="Q174" s="575"/>
      <c r="R174" s="575"/>
      <c r="S174" s="575"/>
      <c r="T174" s="778"/>
      <c r="U174" s="575"/>
      <c r="V174" s="575"/>
      <c r="W174" s="575"/>
      <c r="X174" s="575"/>
      <c r="Y174" s="575"/>
      <c r="Z174" s="575"/>
      <c r="AA174" s="778"/>
      <c r="AB174" s="817"/>
      <c r="AC174" s="575"/>
      <c r="AD174" s="575"/>
      <c r="AE174" s="753"/>
      <c r="AF174" s="575"/>
      <c r="AG174" s="575"/>
      <c r="AH174" s="842"/>
      <c r="AI174" s="1013">
        <f t="shared" si="9"/>
        <v>0</v>
      </c>
      <c r="AJ174" s="949">
        <v>0</v>
      </c>
      <c r="AK174" s="581">
        <f t="shared" si="10"/>
        <v>0</v>
      </c>
      <c r="AL174" s="746"/>
      <c r="AM174" s="743">
        <f t="shared" si="11"/>
        <v>0</v>
      </c>
    </row>
    <row r="175" spans="1:39" s="560" customFormat="1" ht="13.2" customHeight="1">
      <c r="A175" s="607" t="s">
        <v>676</v>
      </c>
      <c r="B175" s="607" t="s">
        <v>1184</v>
      </c>
      <c r="C175" s="690"/>
      <c r="D175" s="580"/>
      <c r="E175" s="581"/>
      <c r="F175" s="778"/>
      <c r="G175" s="581"/>
      <c r="H175" s="581"/>
      <c r="I175" s="949"/>
      <c r="J175" s="949"/>
      <c r="K175" s="825"/>
      <c r="L175" s="575"/>
      <c r="M175" s="778"/>
      <c r="N175" s="575"/>
      <c r="O175" s="575"/>
      <c r="P175" s="575"/>
      <c r="Q175" s="575"/>
      <c r="R175" s="575"/>
      <c r="S175" s="575"/>
      <c r="T175" s="778"/>
      <c r="U175" s="575"/>
      <c r="V175" s="575"/>
      <c r="W175" s="575"/>
      <c r="X175" s="575"/>
      <c r="Y175" s="575"/>
      <c r="Z175" s="575"/>
      <c r="AA175" s="778"/>
      <c r="AB175" s="817"/>
      <c r="AC175" s="575"/>
      <c r="AD175" s="575"/>
      <c r="AE175" s="753"/>
      <c r="AF175" s="575"/>
      <c r="AG175" s="575"/>
      <c r="AH175" s="842"/>
      <c r="AI175" s="1013">
        <f t="shared" si="9"/>
        <v>0</v>
      </c>
      <c r="AJ175" s="949">
        <v>0</v>
      </c>
      <c r="AK175" s="581">
        <f t="shared" si="10"/>
        <v>0</v>
      </c>
      <c r="AL175" s="746" t="s">
        <v>1540</v>
      </c>
      <c r="AM175" s="743">
        <f t="shared" si="11"/>
        <v>377.52</v>
      </c>
    </row>
    <row r="176" spans="1:39" s="560" customFormat="1" ht="13.2" customHeight="1">
      <c r="A176" s="604" t="s">
        <v>677</v>
      </c>
      <c r="B176" s="604" t="s">
        <v>1185</v>
      </c>
      <c r="C176" s="614" t="s">
        <v>37</v>
      </c>
      <c r="D176" s="580"/>
      <c r="E176" s="581"/>
      <c r="F176" s="778"/>
      <c r="G176" s="581"/>
      <c r="H176" s="581"/>
      <c r="I176" s="949"/>
      <c r="J176" s="949"/>
      <c r="K176" s="825"/>
      <c r="L176" s="575"/>
      <c r="M176" s="778"/>
      <c r="N176" s="575"/>
      <c r="O176" s="575"/>
      <c r="P176" s="575"/>
      <c r="Q176" s="575"/>
      <c r="R176" s="575"/>
      <c r="S176" s="575"/>
      <c r="T176" s="778"/>
      <c r="U176" s="575"/>
      <c r="V176" s="575"/>
      <c r="W176" s="575"/>
      <c r="X176" s="575"/>
      <c r="Y176" s="575"/>
      <c r="Z176" s="575"/>
      <c r="AA176" s="778"/>
      <c r="AB176" s="817"/>
      <c r="AC176" s="575"/>
      <c r="AD176" s="575"/>
      <c r="AE176" s="753"/>
      <c r="AF176" s="575"/>
      <c r="AG176" s="575"/>
      <c r="AH176" s="842"/>
      <c r="AI176" s="1013">
        <f t="shared" si="9"/>
        <v>0</v>
      </c>
      <c r="AJ176" s="949">
        <v>0</v>
      </c>
      <c r="AK176" s="581">
        <f t="shared" si="10"/>
        <v>0</v>
      </c>
      <c r="AL176" s="746"/>
      <c r="AM176" s="743">
        <f t="shared" si="11"/>
        <v>0</v>
      </c>
    </row>
    <row r="177" spans="1:39" s="560" customFormat="1" ht="13.2" customHeight="1">
      <c r="A177" s="607" t="s">
        <v>678</v>
      </c>
      <c r="B177" s="607" t="s">
        <v>1186</v>
      </c>
      <c r="C177" s="614"/>
      <c r="D177" s="580"/>
      <c r="E177" s="581"/>
      <c r="F177" s="778"/>
      <c r="G177" s="581"/>
      <c r="H177" s="581"/>
      <c r="I177" s="949"/>
      <c r="J177" s="949"/>
      <c r="K177" s="825"/>
      <c r="L177" s="575"/>
      <c r="M177" s="778"/>
      <c r="N177" s="575"/>
      <c r="O177" s="575"/>
      <c r="P177" s="575"/>
      <c r="Q177" s="575"/>
      <c r="R177" s="575"/>
      <c r="S177" s="575"/>
      <c r="T177" s="778"/>
      <c r="U177" s="575"/>
      <c r="V177" s="575"/>
      <c r="W177" s="575"/>
      <c r="X177" s="575"/>
      <c r="Y177" s="575"/>
      <c r="Z177" s="575"/>
      <c r="AA177" s="778"/>
      <c r="AB177" s="817"/>
      <c r="AC177" s="575"/>
      <c r="AD177" s="575"/>
      <c r="AE177" s="753"/>
      <c r="AF177" s="575"/>
      <c r="AG177" s="575"/>
      <c r="AH177" s="842"/>
      <c r="AI177" s="1013">
        <f t="shared" si="9"/>
        <v>0</v>
      </c>
      <c r="AJ177" s="949">
        <v>0</v>
      </c>
      <c r="AK177" s="581">
        <f t="shared" si="10"/>
        <v>0</v>
      </c>
      <c r="AL177" s="746" t="s">
        <v>1541</v>
      </c>
      <c r="AM177" s="743">
        <f t="shared" si="11"/>
        <v>75.400000000000006</v>
      </c>
    </row>
    <row r="178" spans="1:39" s="560" customFormat="1" ht="13.2" customHeight="1">
      <c r="A178" s="604" t="s">
        <v>679</v>
      </c>
      <c r="B178" s="604" t="s">
        <v>1187</v>
      </c>
      <c r="C178" s="614" t="s">
        <v>37</v>
      </c>
      <c r="D178" s="580"/>
      <c r="E178" s="581"/>
      <c r="F178" s="778"/>
      <c r="G178" s="581"/>
      <c r="H178" s="581"/>
      <c r="I178" s="949"/>
      <c r="J178" s="949"/>
      <c r="K178" s="825"/>
      <c r="L178" s="575"/>
      <c r="M178" s="778"/>
      <c r="N178" s="575"/>
      <c r="O178" s="575"/>
      <c r="P178" s="575"/>
      <c r="Q178" s="575"/>
      <c r="R178" s="575"/>
      <c r="S178" s="575"/>
      <c r="T178" s="778"/>
      <c r="U178" s="575"/>
      <c r="V178" s="575"/>
      <c r="W178" s="575"/>
      <c r="X178" s="575"/>
      <c r="Y178" s="575"/>
      <c r="Z178" s="575"/>
      <c r="AA178" s="778"/>
      <c r="AB178" s="817"/>
      <c r="AC178" s="575"/>
      <c r="AD178" s="575"/>
      <c r="AE178" s="753"/>
      <c r="AF178" s="575"/>
      <c r="AG178" s="575"/>
      <c r="AH178" s="842"/>
      <c r="AI178" s="1013">
        <f t="shared" si="9"/>
        <v>0</v>
      </c>
      <c r="AJ178" s="949">
        <v>0</v>
      </c>
      <c r="AK178" s="581">
        <f t="shared" si="10"/>
        <v>0</v>
      </c>
      <c r="AL178" s="746" t="s">
        <v>1479</v>
      </c>
      <c r="AM178" s="743">
        <f t="shared" si="11"/>
        <v>15</v>
      </c>
    </row>
    <row r="179" spans="1:39" s="560" customFormat="1" ht="13.2" customHeight="1">
      <c r="A179" s="604" t="s">
        <v>680</v>
      </c>
      <c r="B179" s="604" t="s">
        <v>224</v>
      </c>
      <c r="C179" s="614" t="s">
        <v>1436</v>
      </c>
      <c r="D179" s="580"/>
      <c r="E179" s="581"/>
      <c r="F179" s="778"/>
      <c r="G179" s="581"/>
      <c r="H179" s="581"/>
      <c r="I179" s="949"/>
      <c r="J179" s="949"/>
      <c r="K179" s="825"/>
      <c r="L179" s="575"/>
      <c r="M179" s="778"/>
      <c r="N179" s="575"/>
      <c r="O179" s="575"/>
      <c r="P179" s="575"/>
      <c r="Q179" s="575"/>
      <c r="R179" s="575"/>
      <c r="S179" s="575"/>
      <c r="T179" s="778"/>
      <c r="U179" s="575"/>
      <c r="V179" s="575"/>
      <c r="W179" s="575"/>
      <c r="X179" s="575"/>
      <c r="Y179" s="575"/>
      <c r="Z179" s="575"/>
      <c r="AA179" s="778"/>
      <c r="AB179" s="817"/>
      <c r="AC179" s="575"/>
      <c r="AD179" s="575"/>
      <c r="AE179" s="753"/>
      <c r="AF179" s="575"/>
      <c r="AG179" s="575"/>
      <c r="AH179" s="842"/>
      <c r="AI179" s="1013">
        <f t="shared" si="9"/>
        <v>0</v>
      </c>
      <c r="AJ179" s="949">
        <v>0</v>
      </c>
      <c r="AK179" s="581">
        <f t="shared" si="10"/>
        <v>0</v>
      </c>
      <c r="AL179" s="746"/>
      <c r="AM179" s="743">
        <f t="shared" si="11"/>
        <v>0</v>
      </c>
    </row>
    <row r="180" spans="1:39" s="560" customFormat="1" ht="13.2" customHeight="1">
      <c r="A180" s="492" t="s">
        <v>502</v>
      </c>
      <c r="B180" s="608" t="s">
        <v>1196</v>
      </c>
      <c r="C180" s="690"/>
      <c r="D180" s="580"/>
      <c r="E180" s="581"/>
      <c r="F180" s="778"/>
      <c r="G180" s="581"/>
      <c r="H180" s="581"/>
      <c r="I180" s="949"/>
      <c r="J180" s="949"/>
      <c r="K180" s="825"/>
      <c r="L180" s="575"/>
      <c r="M180" s="778"/>
      <c r="N180" s="575"/>
      <c r="O180" s="575"/>
      <c r="P180" s="575"/>
      <c r="Q180" s="575"/>
      <c r="R180" s="575"/>
      <c r="S180" s="575"/>
      <c r="T180" s="778"/>
      <c r="U180" s="575"/>
      <c r="V180" s="575"/>
      <c r="W180" s="575"/>
      <c r="X180" s="575"/>
      <c r="Y180" s="575"/>
      <c r="Z180" s="575"/>
      <c r="AA180" s="778"/>
      <c r="AB180" s="817"/>
      <c r="AC180" s="575"/>
      <c r="AD180" s="575"/>
      <c r="AE180" s="753"/>
      <c r="AF180" s="575"/>
      <c r="AG180" s="575"/>
      <c r="AH180" s="842"/>
      <c r="AI180" s="1013">
        <f t="shared" si="9"/>
        <v>0</v>
      </c>
      <c r="AJ180" s="949">
        <v>0</v>
      </c>
      <c r="AK180" s="581">
        <f t="shared" si="10"/>
        <v>0</v>
      </c>
      <c r="AL180" s="746"/>
      <c r="AM180" s="743">
        <f t="shared" si="11"/>
        <v>0</v>
      </c>
    </row>
    <row r="181" spans="1:39" s="560" customFormat="1" ht="13.2" customHeight="1">
      <c r="A181" s="607" t="s">
        <v>503</v>
      </c>
      <c r="B181" s="607" t="s">
        <v>45</v>
      </c>
      <c r="C181" s="690"/>
      <c r="D181" s="580"/>
      <c r="E181" s="581"/>
      <c r="F181" s="778"/>
      <c r="G181" s="581"/>
      <c r="H181" s="581"/>
      <c r="I181" s="949"/>
      <c r="J181" s="949"/>
      <c r="K181" s="825"/>
      <c r="L181" s="575"/>
      <c r="M181" s="778"/>
      <c r="N181" s="575"/>
      <c r="O181" s="575"/>
      <c r="P181" s="575"/>
      <c r="Q181" s="575"/>
      <c r="R181" s="575"/>
      <c r="S181" s="575"/>
      <c r="T181" s="778"/>
      <c r="U181" s="575"/>
      <c r="V181" s="575"/>
      <c r="W181" s="575"/>
      <c r="X181" s="575"/>
      <c r="Y181" s="575"/>
      <c r="Z181" s="575"/>
      <c r="AA181" s="778"/>
      <c r="AB181" s="817"/>
      <c r="AC181" s="575"/>
      <c r="AD181" s="575"/>
      <c r="AE181" s="753"/>
      <c r="AF181" s="575"/>
      <c r="AG181" s="575"/>
      <c r="AH181" s="842"/>
      <c r="AI181" s="1013">
        <f t="shared" si="9"/>
        <v>0</v>
      </c>
      <c r="AJ181" s="949">
        <v>0</v>
      </c>
      <c r="AK181" s="581">
        <f t="shared" si="10"/>
        <v>0</v>
      </c>
      <c r="AL181" s="746" t="s">
        <v>1542</v>
      </c>
      <c r="AM181" s="743">
        <f t="shared" si="11"/>
        <v>39.86</v>
      </c>
    </row>
    <row r="182" spans="1:39" s="560" customFormat="1" ht="13.2" customHeight="1">
      <c r="A182" s="604" t="s">
        <v>681</v>
      </c>
      <c r="B182" s="604" t="s">
        <v>1142</v>
      </c>
      <c r="C182" s="614" t="s">
        <v>39</v>
      </c>
      <c r="D182" s="580"/>
      <c r="E182" s="581"/>
      <c r="F182" s="778"/>
      <c r="G182" s="581"/>
      <c r="H182" s="581"/>
      <c r="I182" s="949"/>
      <c r="J182" s="949"/>
      <c r="K182" s="825"/>
      <c r="L182" s="575"/>
      <c r="M182" s="778"/>
      <c r="N182" s="575"/>
      <c r="O182" s="575"/>
      <c r="P182" s="575"/>
      <c r="Q182" s="575"/>
      <c r="R182" s="575"/>
      <c r="S182" s="575"/>
      <c r="T182" s="778"/>
      <c r="U182" s="575"/>
      <c r="V182" s="575"/>
      <c r="W182" s="575"/>
      <c r="Y182" s="575"/>
      <c r="Z182" s="575"/>
      <c r="AA182" s="778"/>
      <c r="AB182" s="817"/>
      <c r="AC182" s="575"/>
      <c r="AD182" s="575"/>
      <c r="AE182" s="753"/>
      <c r="AF182" s="575"/>
      <c r="AG182" s="575"/>
      <c r="AH182" s="842"/>
      <c r="AI182" s="1013">
        <f t="shared" si="9"/>
        <v>0</v>
      </c>
      <c r="AJ182" s="949">
        <v>0</v>
      </c>
      <c r="AK182" s="581">
        <f t="shared" si="10"/>
        <v>0</v>
      </c>
      <c r="AL182" s="746" t="s">
        <v>1543</v>
      </c>
      <c r="AM182" s="743">
        <f t="shared" si="11"/>
        <v>9.1</v>
      </c>
    </row>
    <row r="183" spans="1:39" s="560" customFormat="1" ht="13.2" customHeight="1">
      <c r="A183" s="604" t="s">
        <v>682</v>
      </c>
      <c r="B183" s="604" t="s">
        <v>1143</v>
      </c>
      <c r="C183" s="614" t="s">
        <v>39</v>
      </c>
      <c r="D183" s="580"/>
      <c r="E183" s="581"/>
      <c r="F183" s="778"/>
      <c r="G183" s="581"/>
      <c r="H183" s="581"/>
      <c r="I183" s="949"/>
      <c r="J183" s="949"/>
      <c r="K183" s="825"/>
      <c r="L183" s="575"/>
      <c r="M183" s="778"/>
      <c r="N183" s="575"/>
      <c r="O183" s="575"/>
      <c r="P183" s="575"/>
      <c r="Q183" s="575"/>
      <c r="R183" s="575"/>
      <c r="S183" s="575"/>
      <c r="T183" s="778"/>
      <c r="U183" s="575"/>
      <c r="V183" s="575"/>
      <c r="W183" s="575"/>
      <c r="X183" s="575"/>
      <c r="Y183" s="575"/>
      <c r="Z183" s="575"/>
      <c r="AA183" s="778"/>
      <c r="AB183" s="817"/>
      <c r="AC183" s="575"/>
      <c r="AD183" s="575"/>
      <c r="AE183" s="753"/>
      <c r="AF183" s="575"/>
      <c r="AG183" s="575"/>
      <c r="AH183" s="842"/>
      <c r="AI183" s="1013">
        <f t="shared" si="9"/>
        <v>0</v>
      </c>
      <c r="AJ183" s="949">
        <v>0</v>
      </c>
      <c r="AK183" s="581">
        <f t="shared" si="10"/>
        <v>0</v>
      </c>
      <c r="AL183" s="746" t="s">
        <v>1544</v>
      </c>
      <c r="AM183" s="743">
        <f t="shared" si="11"/>
        <v>15.72</v>
      </c>
    </row>
    <row r="184" spans="1:39" s="560" customFormat="1" ht="13.2" customHeight="1">
      <c r="A184" s="604" t="s">
        <v>683</v>
      </c>
      <c r="B184" s="604" t="s">
        <v>1144</v>
      </c>
      <c r="C184" s="614" t="s">
        <v>39</v>
      </c>
      <c r="D184" s="580"/>
      <c r="E184" s="581"/>
      <c r="F184" s="778"/>
      <c r="G184" s="581"/>
      <c r="H184" s="581"/>
      <c r="I184" s="949"/>
      <c r="J184" s="949"/>
      <c r="K184" s="825"/>
      <c r="L184" s="575"/>
      <c r="M184" s="778"/>
      <c r="N184" s="575"/>
      <c r="O184" s="575"/>
      <c r="P184" s="575"/>
      <c r="Q184" s="575"/>
      <c r="R184" s="575"/>
      <c r="S184" s="575"/>
      <c r="T184" s="778"/>
      <c r="U184" s="575"/>
      <c r="V184" s="583"/>
      <c r="W184" s="575"/>
      <c r="X184" s="583"/>
      <c r="Y184" s="575"/>
      <c r="Z184" s="575"/>
      <c r="AA184" s="778"/>
      <c r="AB184" s="817"/>
      <c r="AC184" s="575"/>
      <c r="AD184" s="575"/>
      <c r="AE184" s="753"/>
      <c r="AF184" s="575"/>
      <c r="AG184" s="575"/>
      <c r="AH184" s="842"/>
      <c r="AI184" s="1013">
        <f t="shared" si="9"/>
        <v>0</v>
      </c>
      <c r="AJ184" s="949">
        <v>0</v>
      </c>
      <c r="AK184" s="581">
        <f t="shared" si="10"/>
        <v>0</v>
      </c>
      <c r="AL184" s="746" t="s">
        <v>1545</v>
      </c>
      <c r="AM184" s="743">
        <f t="shared" si="11"/>
        <v>22.03</v>
      </c>
    </row>
    <row r="185" spans="1:39" s="560" customFormat="1" ht="13.2" customHeight="1">
      <c r="A185" s="604" t="s">
        <v>684</v>
      </c>
      <c r="B185" s="604" t="s">
        <v>1145</v>
      </c>
      <c r="C185" s="614" t="s">
        <v>36</v>
      </c>
      <c r="D185" s="580"/>
      <c r="E185" s="581"/>
      <c r="F185" s="778"/>
      <c r="G185" s="581"/>
      <c r="H185" s="581"/>
      <c r="I185" s="949"/>
      <c r="J185" s="949"/>
      <c r="K185" s="825"/>
      <c r="L185" s="575"/>
      <c r="M185" s="778"/>
      <c r="N185" s="575"/>
      <c r="O185" s="575"/>
      <c r="P185" s="575"/>
      <c r="Q185" s="575"/>
      <c r="R185" s="575"/>
      <c r="S185" s="575"/>
      <c r="T185" s="778"/>
      <c r="U185" s="575"/>
      <c r="V185" s="575"/>
      <c r="W185" s="575"/>
      <c r="X185" s="575"/>
      <c r="Y185" s="575"/>
      <c r="Z185" s="583"/>
      <c r="AA185" s="778"/>
      <c r="AB185" s="817"/>
      <c r="AC185" s="575"/>
      <c r="AD185" s="575"/>
      <c r="AE185" s="753"/>
      <c r="AF185" s="575"/>
      <c r="AG185" s="575"/>
      <c r="AH185" s="842"/>
      <c r="AI185" s="1013">
        <f t="shared" si="9"/>
        <v>0</v>
      </c>
      <c r="AJ185" s="949">
        <v>0</v>
      </c>
      <c r="AK185" s="581">
        <f t="shared" si="10"/>
        <v>0</v>
      </c>
      <c r="AL185" s="746" t="s">
        <v>1546</v>
      </c>
      <c r="AM185" s="743">
        <f t="shared" si="11"/>
        <v>41.56</v>
      </c>
    </row>
    <row r="186" spans="1:39" s="560" customFormat="1" ht="13.2" customHeight="1">
      <c r="A186" s="604" t="s">
        <v>685</v>
      </c>
      <c r="B186" s="604" t="s">
        <v>1146</v>
      </c>
      <c r="C186" s="614" t="s">
        <v>39</v>
      </c>
      <c r="D186" s="580"/>
      <c r="E186" s="581"/>
      <c r="F186" s="778"/>
      <c r="G186" s="581"/>
      <c r="H186" s="581"/>
      <c r="I186" s="949"/>
      <c r="J186" s="949"/>
      <c r="K186" s="825"/>
      <c r="L186" s="575"/>
      <c r="M186" s="778"/>
      <c r="N186" s="575"/>
      <c r="O186" s="575"/>
      <c r="P186" s="575"/>
      <c r="Q186" s="575"/>
      <c r="R186" s="575"/>
      <c r="S186" s="575"/>
      <c r="T186" s="778"/>
      <c r="U186" s="575"/>
      <c r="V186" s="575"/>
      <c r="W186" s="575"/>
      <c r="X186" s="575"/>
      <c r="Y186" s="575"/>
      <c r="Z186" s="575"/>
      <c r="AA186" s="778"/>
      <c r="AB186" s="817"/>
      <c r="AC186" s="575"/>
      <c r="AD186" s="575"/>
      <c r="AE186" s="753"/>
      <c r="AF186" s="575"/>
      <c r="AG186" s="575"/>
      <c r="AH186" s="842"/>
      <c r="AI186" s="1013">
        <f t="shared" si="9"/>
        <v>0</v>
      </c>
      <c r="AJ186" s="949">
        <v>0</v>
      </c>
      <c r="AK186" s="581">
        <f t="shared" si="10"/>
        <v>0</v>
      </c>
      <c r="AL186" s="746" t="s">
        <v>1546</v>
      </c>
      <c r="AM186" s="743">
        <f t="shared" si="11"/>
        <v>41.56</v>
      </c>
    </row>
    <row r="187" spans="1:39" s="560" customFormat="1" ht="13.2" customHeight="1">
      <c r="A187" s="604" t="s">
        <v>686</v>
      </c>
      <c r="B187" s="604" t="s">
        <v>1147</v>
      </c>
      <c r="C187" s="614" t="s">
        <v>39</v>
      </c>
      <c r="D187" s="580"/>
      <c r="E187" s="581"/>
      <c r="F187" s="778"/>
      <c r="G187" s="581"/>
      <c r="H187" s="581"/>
      <c r="I187" s="949"/>
      <c r="J187" s="949"/>
      <c r="K187" s="825"/>
      <c r="L187" s="575"/>
      <c r="M187" s="778"/>
      <c r="N187" s="575"/>
      <c r="O187" s="575"/>
      <c r="P187" s="575"/>
      <c r="Q187" s="575"/>
      <c r="R187" s="575"/>
      <c r="S187" s="575"/>
      <c r="T187" s="778"/>
      <c r="U187" s="575"/>
      <c r="V187" s="575"/>
      <c r="W187" s="575"/>
      <c r="X187" s="575"/>
      <c r="Y187" s="575"/>
      <c r="Z187" s="575"/>
      <c r="AA187" s="778"/>
      <c r="AB187" s="817"/>
      <c r="AC187" s="575"/>
      <c r="AD187" s="575"/>
      <c r="AE187" s="753"/>
      <c r="AF187" s="575"/>
      <c r="AG187" s="575"/>
      <c r="AH187" s="842"/>
      <c r="AI187" s="1013">
        <f t="shared" si="9"/>
        <v>0</v>
      </c>
      <c r="AJ187" s="949">
        <v>0</v>
      </c>
      <c r="AK187" s="581">
        <f t="shared" si="10"/>
        <v>0</v>
      </c>
      <c r="AL187" s="746"/>
      <c r="AM187" s="743">
        <f t="shared" si="11"/>
        <v>0</v>
      </c>
    </row>
    <row r="188" spans="1:39" s="560" customFormat="1" ht="13.2" customHeight="1">
      <c r="A188" s="607" t="s">
        <v>687</v>
      </c>
      <c r="B188" s="607" t="s">
        <v>1148</v>
      </c>
      <c r="C188" s="690"/>
      <c r="D188" s="580"/>
      <c r="E188" s="581"/>
      <c r="F188" s="778"/>
      <c r="G188" s="581"/>
      <c r="H188" s="581"/>
      <c r="I188" s="949"/>
      <c r="J188" s="949"/>
      <c r="K188" s="825"/>
      <c r="L188" s="575"/>
      <c r="M188" s="778"/>
      <c r="N188" s="575"/>
      <c r="O188" s="575"/>
      <c r="P188" s="575"/>
      <c r="Q188" s="575"/>
      <c r="R188" s="575"/>
      <c r="S188" s="575"/>
      <c r="T188" s="778"/>
      <c r="U188" s="575"/>
      <c r="V188" s="575"/>
      <c r="W188" s="575"/>
      <c r="X188" s="575"/>
      <c r="Y188" s="575"/>
      <c r="Z188" s="575"/>
      <c r="AA188" s="778"/>
      <c r="AB188" s="817"/>
      <c r="AC188" s="575"/>
      <c r="AD188" s="575"/>
      <c r="AE188" s="753"/>
      <c r="AF188" s="575"/>
      <c r="AG188" s="575"/>
      <c r="AH188" s="842"/>
      <c r="AI188" s="1013">
        <f t="shared" si="9"/>
        <v>0</v>
      </c>
      <c r="AJ188" s="949">
        <v>0</v>
      </c>
      <c r="AK188" s="581">
        <f t="shared" si="10"/>
        <v>0</v>
      </c>
      <c r="AL188" s="746" t="s">
        <v>1547</v>
      </c>
      <c r="AM188" s="743">
        <f t="shared" si="11"/>
        <v>20.28</v>
      </c>
    </row>
    <row r="189" spans="1:39" s="560" customFormat="1" ht="13.2" customHeight="1">
      <c r="A189" s="604" t="s">
        <v>688</v>
      </c>
      <c r="B189" s="604" t="s">
        <v>1149</v>
      </c>
      <c r="C189" s="614" t="s">
        <v>39</v>
      </c>
      <c r="D189" s="580"/>
      <c r="E189" s="581"/>
      <c r="F189" s="778"/>
      <c r="G189" s="581"/>
      <c r="H189" s="581"/>
      <c r="I189" s="949"/>
      <c r="J189" s="949"/>
      <c r="K189" s="825"/>
      <c r="L189" s="575"/>
      <c r="M189" s="778"/>
      <c r="N189" s="575"/>
      <c r="O189" s="575"/>
      <c r="P189" s="575"/>
      <c r="Q189" s="575"/>
      <c r="R189" s="575"/>
      <c r="S189" s="575"/>
      <c r="T189" s="778"/>
      <c r="U189" s="575"/>
      <c r="V189" s="575"/>
      <c r="W189" s="575"/>
      <c r="X189" s="575"/>
      <c r="Y189" s="575"/>
      <c r="Z189" s="575"/>
      <c r="AA189" s="778"/>
      <c r="AB189" s="817"/>
      <c r="AC189" s="575"/>
      <c r="AD189" s="575"/>
      <c r="AE189" s="753"/>
      <c r="AF189" s="575"/>
      <c r="AG189" s="575"/>
      <c r="AH189" s="842"/>
      <c r="AI189" s="1013">
        <f t="shared" si="9"/>
        <v>0</v>
      </c>
      <c r="AJ189" s="949">
        <v>0</v>
      </c>
      <c r="AK189" s="581">
        <f t="shared" si="10"/>
        <v>0</v>
      </c>
      <c r="AL189" s="746" t="s">
        <v>1548</v>
      </c>
      <c r="AM189" s="743">
        <f t="shared" si="11"/>
        <v>14.79</v>
      </c>
    </row>
    <row r="190" spans="1:39" s="560" customFormat="1" ht="13.2" customHeight="1">
      <c r="A190" s="604" t="s">
        <v>689</v>
      </c>
      <c r="B190" s="604" t="s">
        <v>1189</v>
      </c>
      <c r="C190" s="614" t="s">
        <v>36</v>
      </c>
      <c r="D190" s="580"/>
      <c r="E190" s="581"/>
      <c r="F190" s="778"/>
      <c r="G190" s="581"/>
      <c r="H190" s="581"/>
      <c r="I190" s="949"/>
      <c r="J190" s="949"/>
      <c r="K190" s="825"/>
      <c r="L190" s="575"/>
      <c r="M190" s="778"/>
      <c r="N190" s="575"/>
      <c r="O190" s="575"/>
      <c r="P190" s="575"/>
      <c r="Q190" s="575"/>
      <c r="R190" s="575"/>
      <c r="S190" s="575"/>
      <c r="T190" s="778"/>
      <c r="U190" s="575"/>
      <c r="V190" s="575"/>
      <c r="W190" s="575"/>
      <c r="X190" s="575"/>
      <c r="Y190" s="575"/>
      <c r="Z190" s="575"/>
      <c r="AA190" s="778"/>
      <c r="AB190" s="817"/>
      <c r="AC190" s="575"/>
      <c r="AD190" s="575"/>
      <c r="AE190" s="753"/>
      <c r="AF190" s="575"/>
      <c r="AG190" s="575"/>
      <c r="AH190" s="842"/>
      <c r="AI190" s="1013">
        <f t="shared" si="9"/>
        <v>0</v>
      </c>
      <c r="AJ190" s="949">
        <v>0</v>
      </c>
      <c r="AK190" s="581">
        <f t="shared" si="10"/>
        <v>0</v>
      </c>
      <c r="AL190" s="746" t="s">
        <v>1549</v>
      </c>
      <c r="AM190" s="743">
        <f t="shared" si="11"/>
        <v>3.22</v>
      </c>
    </row>
    <row r="191" spans="1:39" s="560" customFormat="1" ht="13.2" customHeight="1">
      <c r="A191" s="604" t="s">
        <v>690</v>
      </c>
      <c r="B191" s="604" t="s">
        <v>1190</v>
      </c>
      <c r="C191" s="614" t="s">
        <v>39</v>
      </c>
      <c r="D191" s="580"/>
      <c r="E191" s="581"/>
      <c r="F191" s="778"/>
      <c r="G191" s="581"/>
      <c r="H191" s="581"/>
      <c r="I191" s="949"/>
      <c r="J191" s="949"/>
      <c r="K191" s="825"/>
      <c r="L191" s="575"/>
      <c r="M191" s="778"/>
      <c r="N191" s="575"/>
      <c r="O191" s="575"/>
      <c r="P191" s="575"/>
      <c r="Q191" s="575"/>
      <c r="R191" s="575"/>
      <c r="S191" s="575"/>
      <c r="T191" s="778"/>
      <c r="U191" s="575"/>
      <c r="V191" s="575"/>
      <c r="W191" s="575"/>
      <c r="X191" s="575"/>
      <c r="Y191" s="575"/>
      <c r="Z191" s="575"/>
      <c r="AA191" s="778"/>
      <c r="AB191" s="817"/>
      <c r="AC191" s="575"/>
      <c r="AD191" s="575"/>
      <c r="AE191" s="753"/>
      <c r="AF191" s="575"/>
      <c r="AG191" s="575"/>
      <c r="AH191" s="842"/>
      <c r="AI191" s="1013">
        <f t="shared" si="9"/>
        <v>0</v>
      </c>
      <c r="AJ191" s="949">
        <v>0</v>
      </c>
      <c r="AK191" s="581">
        <f t="shared" si="10"/>
        <v>0</v>
      </c>
      <c r="AL191" s="746" t="s">
        <v>1550</v>
      </c>
      <c r="AM191" s="743">
        <f t="shared" si="11"/>
        <v>1.61</v>
      </c>
    </row>
    <row r="192" spans="1:39" s="560" customFormat="1" ht="13.2" customHeight="1">
      <c r="A192" s="604" t="s">
        <v>691</v>
      </c>
      <c r="B192" s="604" t="s">
        <v>1191</v>
      </c>
      <c r="C192" s="614" t="s">
        <v>39</v>
      </c>
      <c r="D192" s="580"/>
      <c r="E192" s="581"/>
      <c r="F192" s="778"/>
      <c r="G192" s="581"/>
      <c r="H192" s="581"/>
      <c r="I192" s="949"/>
      <c r="J192" s="949"/>
      <c r="K192" s="825"/>
      <c r="L192" s="575"/>
      <c r="M192" s="778"/>
      <c r="N192" s="575"/>
      <c r="O192" s="575"/>
      <c r="P192" s="575"/>
      <c r="Q192" s="575"/>
      <c r="R192" s="575"/>
      <c r="S192" s="575"/>
      <c r="T192" s="778"/>
      <c r="U192" s="575"/>
      <c r="V192" s="575"/>
      <c r="W192" s="575"/>
      <c r="X192" s="575"/>
      <c r="Y192" s="575"/>
      <c r="Z192" s="575"/>
      <c r="AA192" s="778"/>
      <c r="AB192" s="817"/>
      <c r="AC192" s="575"/>
      <c r="AD192" s="575"/>
      <c r="AE192" s="753"/>
      <c r="AF192" s="575"/>
      <c r="AG192" s="575"/>
      <c r="AH192" s="842"/>
      <c r="AI192" s="1013">
        <f t="shared" si="9"/>
        <v>0</v>
      </c>
      <c r="AJ192" s="949">
        <v>0</v>
      </c>
      <c r="AK192" s="581">
        <f t="shared" si="10"/>
        <v>0</v>
      </c>
      <c r="AL192" s="746" t="s">
        <v>1551</v>
      </c>
      <c r="AM192" s="743">
        <f t="shared" si="11"/>
        <v>42.4</v>
      </c>
    </row>
    <row r="193" spans="1:39" s="560" customFormat="1" ht="13.2" customHeight="1">
      <c r="A193" s="604" t="s">
        <v>692</v>
      </c>
      <c r="B193" s="604" t="s">
        <v>1153</v>
      </c>
      <c r="C193" s="614" t="s">
        <v>36</v>
      </c>
      <c r="D193" s="580"/>
      <c r="E193" s="581"/>
      <c r="F193" s="778"/>
      <c r="G193" s="581"/>
      <c r="H193" s="581"/>
      <c r="I193" s="949"/>
      <c r="J193" s="949"/>
      <c r="K193" s="825"/>
      <c r="L193" s="575"/>
      <c r="M193" s="778"/>
      <c r="N193" s="575"/>
      <c r="O193" s="575"/>
      <c r="P193" s="575"/>
      <c r="Q193" s="575"/>
      <c r="R193" s="575"/>
      <c r="S193" s="575"/>
      <c r="T193" s="778"/>
      <c r="U193" s="575"/>
      <c r="V193" s="575"/>
      <c r="W193" s="575"/>
      <c r="X193" s="575"/>
      <c r="Y193" s="575"/>
      <c r="Z193" s="575"/>
      <c r="AA193" s="778"/>
      <c r="AB193" s="817"/>
      <c r="AC193" s="575"/>
      <c r="AD193" s="575"/>
      <c r="AE193" s="753"/>
      <c r="AF193" s="575"/>
      <c r="AG193" s="575"/>
      <c r="AH193" s="842"/>
      <c r="AI193" s="1013">
        <f t="shared" si="9"/>
        <v>0</v>
      </c>
      <c r="AJ193" s="949">
        <v>0</v>
      </c>
      <c r="AK193" s="581">
        <f t="shared" si="10"/>
        <v>0</v>
      </c>
      <c r="AL193" s="746" t="s">
        <v>1545</v>
      </c>
      <c r="AM193" s="743">
        <f t="shared" si="11"/>
        <v>22.03</v>
      </c>
    </row>
    <row r="194" spans="1:39" s="560" customFormat="1" ht="13.2" customHeight="1">
      <c r="A194" s="604" t="s">
        <v>693</v>
      </c>
      <c r="B194" s="604" t="s">
        <v>1154</v>
      </c>
      <c r="C194" s="614" t="s">
        <v>36</v>
      </c>
      <c r="D194" s="580"/>
      <c r="E194" s="581"/>
      <c r="F194" s="778"/>
      <c r="G194" s="581"/>
      <c r="H194" s="581"/>
      <c r="I194" s="949"/>
      <c r="J194" s="949"/>
      <c r="K194" s="825"/>
      <c r="L194" s="575"/>
      <c r="M194" s="778"/>
      <c r="N194" s="575"/>
      <c r="O194" s="575"/>
      <c r="P194" s="575"/>
      <c r="Q194" s="575"/>
      <c r="R194" s="575"/>
      <c r="S194" s="575"/>
      <c r="T194" s="778"/>
      <c r="U194" s="575"/>
      <c r="V194" s="575"/>
      <c r="W194" s="575"/>
      <c r="X194" s="575"/>
      <c r="Y194" s="575"/>
      <c r="Z194" s="575"/>
      <c r="AA194" s="778"/>
      <c r="AB194" s="817"/>
      <c r="AC194" s="575"/>
      <c r="AD194" s="575"/>
      <c r="AE194" s="753"/>
      <c r="AF194" s="575"/>
      <c r="AG194" s="575"/>
      <c r="AH194" s="842"/>
      <c r="AI194" s="1013">
        <f t="shared" si="9"/>
        <v>0</v>
      </c>
      <c r="AJ194" s="949">
        <v>0</v>
      </c>
      <c r="AK194" s="581">
        <f t="shared" si="10"/>
        <v>0</v>
      </c>
      <c r="AL194" s="746"/>
      <c r="AM194" s="743">
        <f t="shared" si="11"/>
        <v>0</v>
      </c>
    </row>
    <row r="195" spans="1:39" s="560" customFormat="1" ht="13.2" customHeight="1">
      <c r="A195" s="607" t="s">
        <v>694</v>
      </c>
      <c r="B195" s="607" t="s">
        <v>1155</v>
      </c>
      <c r="C195" s="690"/>
      <c r="D195" s="580"/>
      <c r="E195" s="581"/>
      <c r="F195" s="778"/>
      <c r="G195" s="581"/>
      <c r="H195" s="581"/>
      <c r="I195" s="949"/>
      <c r="J195" s="949"/>
      <c r="K195" s="825"/>
      <c r="L195" s="575"/>
      <c r="M195" s="778"/>
      <c r="N195" s="575"/>
      <c r="O195" s="575"/>
      <c r="P195" s="575"/>
      <c r="Q195" s="575"/>
      <c r="R195" s="575"/>
      <c r="S195" s="575"/>
      <c r="T195" s="778"/>
      <c r="U195" s="575"/>
      <c r="V195" s="575"/>
      <c r="W195" s="575"/>
      <c r="X195" s="575"/>
      <c r="Y195" s="575"/>
      <c r="Z195" s="575"/>
      <c r="AA195" s="778"/>
      <c r="AB195" s="817"/>
      <c r="AC195" s="575"/>
      <c r="AD195" s="575"/>
      <c r="AE195" s="753"/>
      <c r="AF195" s="575"/>
      <c r="AG195" s="575"/>
      <c r="AH195" s="842"/>
      <c r="AI195" s="1013">
        <f t="shared" si="9"/>
        <v>0</v>
      </c>
      <c r="AJ195" s="949">
        <v>0</v>
      </c>
      <c r="AK195" s="581">
        <f t="shared" si="10"/>
        <v>0</v>
      </c>
      <c r="AL195" s="746"/>
      <c r="AM195" s="743">
        <f t="shared" si="11"/>
        <v>0</v>
      </c>
    </row>
    <row r="196" spans="1:39" s="560" customFormat="1" ht="13.2" customHeight="1">
      <c r="A196" s="604" t="s">
        <v>695</v>
      </c>
      <c r="B196" s="604" t="s">
        <v>1156</v>
      </c>
      <c r="C196" s="690"/>
      <c r="D196" s="580"/>
      <c r="E196" s="581"/>
      <c r="F196" s="778"/>
      <c r="G196" s="581"/>
      <c r="H196" s="581"/>
      <c r="I196" s="949"/>
      <c r="J196" s="949"/>
      <c r="K196" s="825"/>
      <c r="L196" s="575"/>
      <c r="M196" s="778"/>
      <c r="N196" s="575"/>
      <c r="O196" s="575"/>
      <c r="P196" s="575"/>
      <c r="Q196" s="575"/>
      <c r="R196" s="575"/>
      <c r="S196" s="575"/>
      <c r="T196" s="778"/>
      <c r="U196" s="575"/>
      <c r="V196" s="575"/>
      <c r="W196" s="575"/>
      <c r="X196" s="575"/>
      <c r="Y196" s="575"/>
      <c r="Z196" s="575"/>
      <c r="AA196" s="778"/>
      <c r="AB196" s="817"/>
      <c r="AC196" s="575"/>
      <c r="AD196" s="575"/>
      <c r="AE196" s="753"/>
      <c r="AF196" s="575"/>
      <c r="AG196" s="575"/>
      <c r="AH196" s="842"/>
      <c r="AI196" s="1013">
        <f t="shared" si="9"/>
        <v>0</v>
      </c>
      <c r="AJ196" s="949">
        <v>0</v>
      </c>
      <c r="AK196" s="581">
        <f t="shared" si="10"/>
        <v>0</v>
      </c>
      <c r="AL196" s="746" t="s">
        <v>1456</v>
      </c>
      <c r="AM196" s="743">
        <f t="shared" si="11"/>
        <v>4.6100000000000003</v>
      </c>
    </row>
    <row r="197" spans="1:39" s="560" customFormat="1" ht="13.2" customHeight="1">
      <c r="A197" s="604" t="s">
        <v>696</v>
      </c>
      <c r="B197" s="604" t="s">
        <v>1192</v>
      </c>
      <c r="C197" s="614" t="s">
        <v>39</v>
      </c>
      <c r="D197" s="580"/>
      <c r="E197" s="581"/>
      <c r="F197" s="778"/>
      <c r="G197" s="581"/>
      <c r="H197" s="581"/>
      <c r="I197" s="949"/>
      <c r="J197" s="949"/>
      <c r="K197" s="825"/>
      <c r="L197" s="575"/>
      <c r="M197" s="778"/>
      <c r="N197" s="575"/>
      <c r="O197" s="575"/>
      <c r="P197" s="575"/>
      <c r="Q197" s="575"/>
      <c r="R197" s="575"/>
      <c r="S197" s="575"/>
      <c r="T197" s="778"/>
      <c r="U197" s="575"/>
      <c r="V197" s="575"/>
      <c r="W197" s="575"/>
      <c r="X197" s="575"/>
      <c r="Y197" s="575"/>
      <c r="Z197" s="575"/>
      <c r="AA197" s="778"/>
      <c r="AB197" s="817"/>
      <c r="AC197" s="575"/>
      <c r="AD197" s="575"/>
      <c r="AE197" s="753"/>
      <c r="AF197" s="575"/>
      <c r="AG197" s="575"/>
      <c r="AH197" s="842"/>
      <c r="AI197" s="1013">
        <f t="shared" si="9"/>
        <v>0</v>
      </c>
      <c r="AJ197" s="949">
        <v>0</v>
      </c>
      <c r="AK197" s="581">
        <f t="shared" si="10"/>
        <v>0</v>
      </c>
      <c r="AL197" s="746" t="s">
        <v>1457</v>
      </c>
      <c r="AM197" s="743">
        <f t="shared" si="11"/>
        <v>192.7</v>
      </c>
    </row>
    <row r="198" spans="1:39" s="560" customFormat="1" ht="13.2" customHeight="1">
      <c r="A198" s="604" t="s">
        <v>697</v>
      </c>
      <c r="B198" s="604" t="s">
        <v>1158</v>
      </c>
      <c r="C198" s="614" t="s">
        <v>47</v>
      </c>
      <c r="D198" s="580"/>
      <c r="E198" s="581"/>
      <c r="F198" s="778"/>
      <c r="G198" s="581"/>
      <c r="H198" s="581"/>
      <c r="I198" s="949"/>
      <c r="J198" s="949"/>
      <c r="K198" s="825"/>
      <c r="L198" s="575"/>
      <c r="M198" s="778"/>
      <c r="N198" s="575"/>
      <c r="O198" s="575"/>
      <c r="P198" s="575"/>
      <c r="Q198" s="575"/>
      <c r="R198" s="575"/>
      <c r="S198" s="575"/>
      <c r="T198" s="778"/>
      <c r="U198" s="575"/>
      <c r="V198" s="575"/>
      <c r="W198" s="575"/>
      <c r="X198" s="575"/>
      <c r="Y198" s="575"/>
      <c r="Z198" s="575"/>
      <c r="AA198" s="778"/>
      <c r="AB198" s="817"/>
      <c r="AC198" s="575"/>
      <c r="AD198" s="575"/>
      <c r="AE198" s="753"/>
      <c r="AF198" s="575"/>
      <c r="AG198" s="575"/>
      <c r="AH198" s="842"/>
      <c r="AI198" s="1013">
        <f t="shared" si="9"/>
        <v>0</v>
      </c>
      <c r="AJ198" s="949">
        <v>0</v>
      </c>
      <c r="AK198" s="581">
        <f t="shared" si="10"/>
        <v>0</v>
      </c>
      <c r="AL198" s="746"/>
      <c r="AM198" s="743">
        <f t="shared" si="11"/>
        <v>0</v>
      </c>
    </row>
    <row r="199" spans="1:39" s="560" customFormat="1" ht="13.2" customHeight="1">
      <c r="A199" s="604" t="s">
        <v>698</v>
      </c>
      <c r="B199" s="604" t="s">
        <v>1159</v>
      </c>
      <c r="C199" s="690"/>
      <c r="D199" s="580"/>
      <c r="E199" s="581"/>
      <c r="F199" s="778"/>
      <c r="G199" s="581"/>
      <c r="H199" s="581"/>
      <c r="I199" s="949"/>
      <c r="J199" s="949"/>
      <c r="K199" s="825"/>
      <c r="L199" s="575"/>
      <c r="M199" s="778"/>
      <c r="N199" s="575"/>
      <c r="O199" s="575"/>
      <c r="P199" s="575"/>
      <c r="Q199" s="575"/>
      <c r="R199" s="575"/>
      <c r="S199" s="575"/>
      <c r="T199" s="778"/>
      <c r="U199" s="575"/>
      <c r="V199" s="575"/>
      <c r="W199" s="575"/>
      <c r="X199" s="575"/>
      <c r="Y199" s="575"/>
      <c r="Z199" s="575"/>
      <c r="AA199" s="778"/>
      <c r="AB199" s="817"/>
      <c r="AC199" s="575"/>
      <c r="AD199" s="575"/>
      <c r="AE199" s="753"/>
      <c r="AF199" s="575"/>
      <c r="AG199" s="575"/>
      <c r="AH199" s="842"/>
      <c r="AI199" s="1013">
        <f t="shared" si="9"/>
        <v>0</v>
      </c>
      <c r="AJ199" s="949">
        <v>0</v>
      </c>
      <c r="AK199" s="581">
        <f t="shared" si="10"/>
        <v>0</v>
      </c>
      <c r="AL199" s="746" t="s">
        <v>1552</v>
      </c>
      <c r="AM199" s="743">
        <f t="shared" si="11"/>
        <v>2.19</v>
      </c>
    </row>
    <row r="200" spans="1:39" s="560" customFormat="1" ht="13.2" customHeight="1">
      <c r="A200" s="604" t="s">
        <v>699</v>
      </c>
      <c r="B200" s="604" t="s">
        <v>1193</v>
      </c>
      <c r="C200" s="614" t="s">
        <v>39</v>
      </c>
      <c r="D200" s="580"/>
      <c r="E200" s="581"/>
      <c r="F200" s="778"/>
      <c r="G200" s="581"/>
      <c r="H200" s="581"/>
      <c r="I200" s="949"/>
      <c r="J200" s="949"/>
      <c r="K200" s="825"/>
      <c r="L200" s="575"/>
      <c r="M200" s="778"/>
      <c r="N200" s="575"/>
      <c r="O200" s="575"/>
      <c r="P200" s="575"/>
      <c r="Q200" s="575"/>
      <c r="R200" s="575"/>
      <c r="S200" s="575"/>
      <c r="T200" s="778"/>
      <c r="U200" s="575"/>
      <c r="V200" s="575"/>
      <c r="W200" s="575"/>
      <c r="X200" s="575"/>
      <c r="Y200" s="575"/>
      <c r="Z200" s="575"/>
      <c r="AA200" s="778"/>
      <c r="AB200" s="817"/>
      <c r="AC200" s="575"/>
      <c r="AD200" s="575"/>
      <c r="AE200" s="753"/>
      <c r="AF200" s="575"/>
      <c r="AG200" s="575"/>
      <c r="AH200" s="842"/>
      <c r="AI200" s="1013">
        <f t="shared" si="9"/>
        <v>0</v>
      </c>
      <c r="AJ200" s="949">
        <v>0</v>
      </c>
      <c r="AK200" s="581">
        <f t="shared" si="10"/>
        <v>0</v>
      </c>
      <c r="AL200" s="746" t="s">
        <v>1553</v>
      </c>
      <c r="AM200" s="743">
        <f t="shared" si="11"/>
        <v>17.489999999999998</v>
      </c>
    </row>
    <row r="201" spans="1:39" s="560" customFormat="1" ht="13.2" customHeight="1">
      <c r="A201" s="604" t="s">
        <v>700</v>
      </c>
      <c r="B201" s="604" t="s">
        <v>1161</v>
      </c>
      <c r="C201" s="614" t="s">
        <v>36</v>
      </c>
      <c r="D201" s="580"/>
      <c r="E201" s="581"/>
      <c r="F201" s="778"/>
      <c r="G201" s="581"/>
      <c r="H201" s="581"/>
      <c r="I201" s="581"/>
      <c r="J201" s="949"/>
      <c r="K201" s="825"/>
      <c r="L201" s="575"/>
      <c r="M201" s="778"/>
      <c r="N201" s="575"/>
      <c r="O201" s="575"/>
      <c r="P201" s="575"/>
      <c r="Q201" s="575"/>
      <c r="R201" s="575"/>
      <c r="S201" s="575"/>
      <c r="T201" s="778"/>
      <c r="U201" s="575"/>
      <c r="V201" s="575"/>
      <c r="W201" s="575"/>
      <c r="X201" s="575"/>
      <c r="Y201" s="575"/>
      <c r="Z201" s="575"/>
      <c r="AA201" s="778"/>
      <c r="AB201" s="817"/>
      <c r="AC201" s="575"/>
      <c r="AD201" s="575"/>
      <c r="AE201" s="753"/>
      <c r="AF201" s="575"/>
      <c r="AG201" s="575"/>
      <c r="AH201" s="842"/>
      <c r="AI201" s="1013">
        <f t="shared" si="9"/>
        <v>0</v>
      </c>
      <c r="AJ201" s="949">
        <v>0</v>
      </c>
      <c r="AK201" s="581">
        <f t="shared" si="10"/>
        <v>0</v>
      </c>
      <c r="AL201" s="746" t="s">
        <v>1554</v>
      </c>
      <c r="AM201" s="743">
        <f t="shared" si="11"/>
        <v>179.25</v>
      </c>
    </row>
    <row r="202" spans="1:39" s="560" customFormat="1" ht="13.2" customHeight="1">
      <c r="A202" s="604" t="s">
        <v>701</v>
      </c>
      <c r="B202" s="604" t="s">
        <v>1162</v>
      </c>
      <c r="C202" s="614" t="s">
        <v>47</v>
      </c>
      <c r="D202" s="580"/>
      <c r="E202" s="581"/>
      <c r="F202" s="778"/>
      <c r="G202" s="581"/>
      <c r="H202" s="581"/>
      <c r="I202" s="949"/>
      <c r="J202" s="949"/>
      <c r="K202" s="825"/>
      <c r="L202" s="575"/>
      <c r="M202" s="778"/>
      <c r="N202" s="575"/>
      <c r="O202" s="575"/>
      <c r="P202" s="575"/>
      <c r="Q202" s="575"/>
      <c r="R202" s="575"/>
      <c r="S202" s="575"/>
      <c r="T202" s="778"/>
      <c r="U202" s="575"/>
      <c r="V202" s="575"/>
      <c r="W202" s="575"/>
      <c r="X202" s="575"/>
      <c r="Y202" s="575"/>
      <c r="Z202" s="575"/>
      <c r="AA202" s="778"/>
      <c r="AB202" s="817"/>
      <c r="AC202" s="575"/>
      <c r="AD202" s="575"/>
      <c r="AE202" s="753"/>
      <c r="AF202" s="575"/>
      <c r="AG202" s="575"/>
      <c r="AH202" s="842"/>
      <c r="AI202" s="1013">
        <f t="shared" si="9"/>
        <v>0</v>
      </c>
      <c r="AJ202" s="949">
        <v>0</v>
      </c>
      <c r="AK202" s="581">
        <f t="shared" si="10"/>
        <v>0</v>
      </c>
      <c r="AL202" s="746"/>
      <c r="AM202" s="743">
        <f t="shared" si="11"/>
        <v>0</v>
      </c>
    </row>
    <row r="203" spans="1:39" s="560" customFormat="1" ht="13.2" customHeight="1">
      <c r="A203" s="604" t="s">
        <v>702</v>
      </c>
      <c r="B203" s="604" t="s">
        <v>1163</v>
      </c>
      <c r="C203" s="690"/>
      <c r="D203" s="580"/>
      <c r="E203" s="581"/>
      <c r="F203" s="778"/>
      <c r="G203" s="581"/>
      <c r="H203" s="581"/>
      <c r="I203" s="949"/>
      <c r="J203" s="949"/>
      <c r="K203" s="825"/>
      <c r="L203" s="575"/>
      <c r="M203" s="778"/>
      <c r="N203" s="575"/>
      <c r="O203" s="575"/>
      <c r="P203" s="575"/>
      <c r="Q203" s="575"/>
      <c r="R203" s="575"/>
      <c r="S203" s="575"/>
      <c r="T203" s="778"/>
      <c r="U203" s="575"/>
      <c r="V203" s="575"/>
      <c r="W203" s="575"/>
      <c r="X203" s="575"/>
      <c r="Y203" s="575"/>
      <c r="Z203" s="575"/>
      <c r="AA203" s="778"/>
      <c r="AB203" s="817"/>
      <c r="AC203" s="575"/>
      <c r="AD203" s="575"/>
      <c r="AE203" s="753"/>
      <c r="AF203" s="575"/>
      <c r="AG203" s="575"/>
      <c r="AH203" s="842"/>
      <c r="AI203" s="1013">
        <f t="shared" si="9"/>
        <v>0</v>
      </c>
      <c r="AJ203" s="949">
        <v>0</v>
      </c>
      <c r="AK203" s="581">
        <f t="shared" si="10"/>
        <v>0</v>
      </c>
      <c r="AL203" s="746" t="s">
        <v>1518</v>
      </c>
      <c r="AM203" s="743">
        <f t="shared" si="11"/>
        <v>2.1800000000000002</v>
      </c>
    </row>
    <row r="204" spans="1:39" s="560" customFormat="1" ht="13.2" customHeight="1">
      <c r="A204" s="604" t="s">
        <v>703</v>
      </c>
      <c r="B204" s="604" t="s">
        <v>1194</v>
      </c>
      <c r="C204" s="614" t="s">
        <v>39</v>
      </c>
      <c r="D204" s="580"/>
      <c r="E204" s="581"/>
      <c r="F204" s="778"/>
      <c r="G204" s="581"/>
      <c r="H204" s="581"/>
      <c r="I204" s="949"/>
      <c r="J204" s="949"/>
      <c r="K204" s="825"/>
      <c r="L204" s="575"/>
      <c r="M204" s="778"/>
      <c r="N204" s="575"/>
      <c r="O204" s="575"/>
      <c r="P204" s="575"/>
      <c r="Q204" s="575"/>
      <c r="R204" s="575"/>
      <c r="S204" s="575"/>
      <c r="T204" s="778"/>
      <c r="U204" s="575"/>
      <c r="V204" s="575"/>
      <c r="W204" s="575"/>
      <c r="X204" s="575"/>
      <c r="Y204" s="575"/>
      <c r="Z204" s="575"/>
      <c r="AA204" s="778"/>
      <c r="AB204" s="817"/>
      <c r="AC204" s="575"/>
      <c r="AD204" s="575"/>
      <c r="AE204" s="753"/>
      <c r="AF204" s="575"/>
      <c r="AG204" s="575"/>
      <c r="AH204" s="842"/>
      <c r="AI204" s="1013">
        <f t="shared" si="9"/>
        <v>0</v>
      </c>
      <c r="AJ204" s="949">
        <v>0</v>
      </c>
      <c r="AK204" s="581">
        <f t="shared" si="10"/>
        <v>0</v>
      </c>
      <c r="AL204" s="746" t="s">
        <v>1555</v>
      </c>
      <c r="AM204" s="743">
        <f t="shared" si="11"/>
        <v>34.799999999999997</v>
      </c>
    </row>
    <row r="205" spans="1:39" s="560" customFormat="1" ht="13.2" customHeight="1">
      <c r="A205" s="604" t="s">
        <v>704</v>
      </c>
      <c r="B205" s="604" t="s">
        <v>1165</v>
      </c>
      <c r="C205" s="614" t="s">
        <v>36</v>
      </c>
      <c r="D205" s="580"/>
      <c r="E205" s="581"/>
      <c r="F205" s="778"/>
      <c r="G205" s="581"/>
      <c r="H205" s="581"/>
      <c r="I205" s="949"/>
      <c r="J205" s="949"/>
      <c r="K205" s="825"/>
      <c r="L205" s="575"/>
      <c r="M205" s="778"/>
      <c r="N205" s="575"/>
      <c r="O205" s="575"/>
      <c r="P205" s="575"/>
      <c r="Q205" s="575"/>
      <c r="R205" s="575"/>
      <c r="S205" s="575"/>
      <c r="T205" s="778"/>
      <c r="U205" s="575"/>
      <c r="V205" s="575"/>
      <c r="W205" s="575"/>
      <c r="X205" s="575"/>
      <c r="Y205" s="575"/>
      <c r="Z205" s="575"/>
      <c r="AA205" s="778"/>
      <c r="AB205" s="817"/>
      <c r="AC205" s="575"/>
      <c r="AD205" s="575"/>
      <c r="AE205" s="753"/>
      <c r="AF205" s="575"/>
      <c r="AG205" s="575"/>
      <c r="AH205" s="842"/>
      <c r="AI205" s="1013">
        <f t="shared" si="9"/>
        <v>0</v>
      </c>
      <c r="AJ205" s="949">
        <v>0</v>
      </c>
      <c r="AK205" s="581">
        <f t="shared" si="10"/>
        <v>0</v>
      </c>
      <c r="AL205" s="746" t="s">
        <v>1556</v>
      </c>
      <c r="AM205" s="743">
        <f t="shared" si="11"/>
        <v>314.66000000000003</v>
      </c>
    </row>
    <row r="206" spans="1:39" s="560" customFormat="1" ht="13.2" customHeight="1">
      <c r="A206" s="604" t="s">
        <v>705</v>
      </c>
      <c r="B206" s="604" t="s">
        <v>1166</v>
      </c>
      <c r="C206" s="614" t="s">
        <v>47</v>
      </c>
      <c r="D206" s="580"/>
      <c r="E206" s="581"/>
      <c r="F206" s="778"/>
      <c r="G206" s="581"/>
      <c r="H206" s="581"/>
      <c r="I206" s="949"/>
      <c r="J206" s="949"/>
      <c r="K206" s="825"/>
      <c r="L206" s="575"/>
      <c r="M206" s="778"/>
      <c r="N206" s="575"/>
      <c r="O206" s="575"/>
      <c r="P206" s="575"/>
      <c r="Q206" s="575"/>
      <c r="R206" s="575"/>
      <c r="S206" s="575"/>
      <c r="T206" s="778"/>
      <c r="U206" s="575"/>
      <c r="V206" s="575"/>
      <c r="W206" s="575"/>
      <c r="X206" s="575"/>
      <c r="Y206" s="575"/>
      <c r="Z206" s="575"/>
      <c r="AA206" s="778"/>
      <c r="AB206" s="817"/>
      <c r="AC206" s="575"/>
      <c r="AD206" s="575"/>
      <c r="AE206" s="753"/>
      <c r="AF206" s="575"/>
      <c r="AG206" s="575"/>
      <c r="AH206" s="842"/>
      <c r="AI206" s="1013">
        <f t="shared" si="9"/>
        <v>0</v>
      </c>
      <c r="AJ206" s="949">
        <v>0</v>
      </c>
      <c r="AK206" s="581">
        <f t="shared" si="10"/>
        <v>0</v>
      </c>
      <c r="AL206" s="746"/>
      <c r="AM206" s="743">
        <f t="shared" si="11"/>
        <v>0</v>
      </c>
    </row>
    <row r="207" spans="1:39" s="560" customFormat="1" ht="13.2" customHeight="1">
      <c r="A207" s="604" t="s">
        <v>706</v>
      </c>
      <c r="B207" s="604" t="s">
        <v>1167</v>
      </c>
      <c r="C207" s="690"/>
      <c r="D207" s="580"/>
      <c r="E207" s="581"/>
      <c r="F207" s="778"/>
      <c r="G207" s="581"/>
      <c r="H207" s="581"/>
      <c r="I207" s="949"/>
      <c r="J207" s="949"/>
      <c r="K207" s="825"/>
      <c r="L207" s="575"/>
      <c r="M207" s="778"/>
      <c r="N207" s="575"/>
      <c r="O207" s="575"/>
      <c r="P207" s="575"/>
      <c r="Q207" s="575"/>
      <c r="R207" s="575"/>
      <c r="S207" s="575"/>
      <c r="T207" s="778"/>
      <c r="U207" s="575"/>
      <c r="V207" s="575"/>
      <c r="W207" s="575"/>
      <c r="X207" s="575"/>
      <c r="Y207" s="575"/>
      <c r="Z207" s="575"/>
      <c r="AA207" s="778"/>
      <c r="AB207" s="817"/>
      <c r="AC207" s="575"/>
      <c r="AD207" s="575"/>
      <c r="AE207" s="753"/>
      <c r="AF207" s="575"/>
      <c r="AG207" s="575"/>
      <c r="AH207" s="842"/>
      <c r="AI207" s="1013">
        <f t="shared" ref="AI207:AI267" si="12">ROUND((SUM(D207:AH207)),2)</f>
        <v>0</v>
      </c>
      <c r="AJ207" s="949">
        <v>0</v>
      </c>
      <c r="AK207" s="581">
        <f t="shared" si="10"/>
        <v>0</v>
      </c>
      <c r="AL207" s="746" t="s">
        <v>1464</v>
      </c>
      <c r="AM207" s="743">
        <f t="shared" si="11"/>
        <v>1.49</v>
      </c>
    </row>
    <row r="208" spans="1:39" s="560" customFormat="1" ht="13.2" customHeight="1">
      <c r="A208" s="604" t="s">
        <v>707</v>
      </c>
      <c r="B208" s="604" t="s">
        <v>1168</v>
      </c>
      <c r="C208" s="614" t="s">
        <v>39</v>
      </c>
      <c r="D208" s="580"/>
      <c r="E208" s="581"/>
      <c r="F208" s="778"/>
      <c r="G208" s="581"/>
      <c r="H208" s="581"/>
      <c r="I208" s="949"/>
      <c r="J208" s="949"/>
      <c r="K208" s="825"/>
      <c r="L208" s="575"/>
      <c r="M208" s="778"/>
      <c r="N208" s="575"/>
      <c r="O208" s="575"/>
      <c r="P208" s="575"/>
      <c r="Q208" s="575"/>
      <c r="R208" s="575"/>
      <c r="S208" s="575"/>
      <c r="T208" s="778"/>
      <c r="U208" s="575"/>
      <c r="V208" s="575"/>
      <c r="W208" s="575"/>
      <c r="X208" s="575"/>
      <c r="Y208" s="575"/>
      <c r="Z208" s="575"/>
      <c r="AA208" s="778"/>
      <c r="AB208" s="817"/>
      <c r="AC208" s="575"/>
      <c r="AD208" s="575"/>
      <c r="AE208" s="753"/>
      <c r="AF208" s="575"/>
      <c r="AG208" s="575"/>
      <c r="AH208" s="842"/>
      <c r="AI208" s="1013">
        <f t="shared" si="12"/>
        <v>0</v>
      </c>
      <c r="AJ208" s="949">
        <v>0</v>
      </c>
      <c r="AK208" s="581">
        <f t="shared" si="10"/>
        <v>0</v>
      </c>
      <c r="AL208" s="746" t="s">
        <v>1465</v>
      </c>
      <c r="AM208" s="743">
        <f t="shared" si="11"/>
        <v>19.71</v>
      </c>
    </row>
    <row r="209" spans="1:39" s="560" customFormat="1" ht="13.2" customHeight="1">
      <c r="A209" s="604" t="s">
        <v>708</v>
      </c>
      <c r="B209" s="604" t="s">
        <v>1169</v>
      </c>
      <c r="C209" s="614" t="s">
        <v>36</v>
      </c>
      <c r="D209" s="580"/>
      <c r="E209" s="581"/>
      <c r="F209" s="778"/>
      <c r="G209" s="581"/>
      <c r="H209" s="581"/>
      <c r="I209" s="949"/>
      <c r="J209" s="949"/>
      <c r="K209" s="825"/>
      <c r="L209" s="575"/>
      <c r="M209" s="778"/>
      <c r="N209" s="575"/>
      <c r="O209" s="575"/>
      <c r="P209" s="575"/>
      <c r="Q209" s="575"/>
      <c r="R209" s="575"/>
      <c r="S209" s="575"/>
      <c r="T209" s="778"/>
      <c r="U209" s="575"/>
      <c r="V209" s="575"/>
      <c r="W209" s="575"/>
      <c r="X209" s="575"/>
      <c r="Y209" s="575"/>
      <c r="Z209" s="575"/>
      <c r="AA209" s="778"/>
      <c r="AB209" s="817"/>
      <c r="AC209" s="575"/>
      <c r="AD209" s="575"/>
      <c r="AE209" s="753"/>
      <c r="AF209" s="575"/>
      <c r="AG209" s="575"/>
      <c r="AH209" s="842"/>
      <c r="AI209" s="1013">
        <f t="shared" si="12"/>
        <v>0</v>
      </c>
      <c r="AJ209" s="949">
        <v>0</v>
      </c>
      <c r="AK209" s="581">
        <f t="shared" si="10"/>
        <v>0</v>
      </c>
      <c r="AL209" s="746" t="s">
        <v>1466</v>
      </c>
      <c r="AM209" s="743">
        <f t="shared" si="11"/>
        <v>659.98</v>
      </c>
    </row>
    <row r="210" spans="1:39" s="560" customFormat="1" ht="13.2" customHeight="1">
      <c r="A210" s="604" t="s">
        <v>709</v>
      </c>
      <c r="B210" s="604" t="s">
        <v>1170</v>
      </c>
      <c r="C210" s="614" t="s">
        <v>47</v>
      </c>
      <c r="D210" s="580"/>
      <c r="E210" s="581"/>
      <c r="F210" s="778"/>
      <c r="G210" s="581"/>
      <c r="H210" s="581"/>
      <c r="I210" s="949"/>
      <c r="J210" s="949"/>
      <c r="K210" s="825"/>
      <c r="L210" s="575"/>
      <c r="M210" s="778"/>
      <c r="N210" s="575"/>
      <c r="O210" s="575"/>
      <c r="P210" s="575"/>
      <c r="Q210" s="575"/>
      <c r="R210" s="575"/>
      <c r="S210" s="575"/>
      <c r="T210" s="778"/>
      <c r="U210" s="575"/>
      <c r="V210" s="575"/>
      <c r="W210" s="575"/>
      <c r="X210" s="575"/>
      <c r="Y210" s="575"/>
      <c r="Z210" s="575"/>
      <c r="AA210" s="778"/>
      <c r="AB210" s="817"/>
      <c r="AC210" s="575"/>
      <c r="AD210" s="575"/>
      <c r="AE210" s="753"/>
      <c r="AF210" s="575"/>
      <c r="AG210" s="575"/>
      <c r="AH210" s="842"/>
      <c r="AI210" s="1013">
        <f t="shared" si="12"/>
        <v>0</v>
      </c>
      <c r="AJ210" s="949">
        <v>0</v>
      </c>
      <c r="AK210" s="581">
        <f t="shared" si="10"/>
        <v>0</v>
      </c>
      <c r="AL210" s="746"/>
      <c r="AM210" s="743">
        <f t="shared" si="11"/>
        <v>0</v>
      </c>
    </row>
    <row r="211" spans="1:39" s="560" customFormat="1" ht="13.2" customHeight="1">
      <c r="A211" s="604" t="s">
        <v>710</v>
      </c>
      <c r="B211" s="604" t="s">
        <v>1171</v>
      </c>
      <c r="C211" s="690"/>
      <c r="D211" s="580"/>
      <c r="E211" s="581"/>
      <c r="F211" s="778"/>
      <c r="G211" s="581"/>
      <c r="H211" s="581"/>
      <c r="I211" s="949"/>
      <c r="J211" s="949"/>
      <c r="K211" s="825"/>
      <c r="L211" s="575"/>
      <c r="M211" s="778"/>
      <c r="N211" s="575"/>
      <c r="O211" s="575"/>
      <c r="P211" s="575"/>
      <c r="Q211" s="575"/>
      <c r="R211" s="575"/>
      <c r="S211" s="575"/>
      <c r="T211" s="778"/>
      <c r="U211" s="575"/>
      <c r="V211" s="575"/>
      <c r="W211" s="575"/>
      <c r="X211" s="575"/>
      <c r="Y211" s="575"/>
      <c r="Z211" s="575"/>
      <c r="AA211" s="778"/>
      <c r="AB211" s="817"/>
      <c r="AC211" s="575"/>
      <c r="AD211" s="575"/>
      <c r="AE211" s="753"/>
      <c r="AF211" s="575"/>
      <c r="AG211" s="575"/>
      <c r="AH211" s="842"/>
      <c r="AI211" s="1013">
        <f t="shared" si="12"/>
        <v>0</v>
      </c>
      <c r="AJ211" s="949">
        <v>0</v>
      </c>
      <c r="AK211" s="581">
        <f t="shared" si="10"/>
        <v>0</v>
      </c>
      <c r="AL211" s="746" t="s">
        <v>1557</v>
      </c>
      <c r="AM211" s="743">
        <f t="shared" si="11"/>
        <v>5.6</v>
      </c>
    </row>
    <row r="212" spans="1:39" s="560" customFormat="1" ht="13.2" customHeight="1">
      <c r="A212" s="604" t="s">
        <v>711</v>
      </c>
      <c r="B212" s="604" t="s">
        <v>1172</v>
      </c>
      <c r="C212" s="614" t="s">
        <v>39</v>
      </c>
      <c r="D212" s="580"/>
      <c r="E212" s="581"/>
      <c r="F212" s="778"/>
      <c r="G212" s="581"/>
      <c r="H212" s="581"/>
      <c r="I212" s="949"/>
      <c r="J212" s="949"/>
      <c r="K212" s="825"/>
      <c r="L212" s="575"/>
      <c r="M212" s="778"/>
      <c r="N212" s="575"/>
      <c r="O212" s="575"/>
      <c r="P212" s="575"/>
      <c r="Q212" s="575"/>
      <c r="R212" s="575"/>
      <c r="S212" s="575"/>
      <c r="T212" s="778"/>
      <c r="U212" s="575"/>
      <c r="V212" s="575"/>
      <c r="W212" s="575"/>
      <c r="X212" s="575"/>
      <c r="Y212" s="575"/>
      <c r="Z212" s="575"/>
      <c r="AA212" s="778"/>
      <c r="AB212" s="817"/>
      <c r="AC212" s="583"/>
      <c r="AD212" s="575"/>
      <c r="AE212" s="753"/>
      <c r="AF212" s="575"/>
      <c r="AG212" s="575"/>
      <c r="AH212" s="842"/>
      <c r="AI212" s="1013">
        <f t="shared" si="12"/>
        <v>0</v>
      </c>
      <c r="AJ212" s="949">
        <v>0</v>
      </c>
      <c r="AK212" s="581">
        <f t="shared" ref="AK212:AK275" si="13">AI212+AJ212</f>
        <v>0</v>
      </c>
      <c r="AL212" s="746" t="s">
        <v>1558</v>
      </c>
      <c r="AM212" s="743">
        <f t="shared" ref="AM212:AM275" si="14">AL212-AK212</f>
        <v>48.75</v>
      </c>
    </row>
    <row r="213" spans="1:39" s="560" customFormat="1" ht="13.2" customHeight="1">
      <c r="A213" s="604" t="s">
        <v>712</v>
      </c>
      <c r="B213" s="604" t="s">
        <v>1173</v>
      </c>
      <c r="C213" s="614" t="s">
        <v>36</v>
      </c>
      <c r="D213" s="580"/>
      <c r="E213" s="581"/>
      <c r="F213" s="778"/>
      <c r="G213" s="581"/>
      <c r="H213" s="581"/>
      <c r="I213" s="949"/>
      <c r="J213" s="949"/>
      <c r="K213" s="825"/>
      <c r="L213" s="575"/>
      <c r="M213" s="778"/>
      <c r="N213" s="575"/>
      <c r="O213" s="575"/>
      <c r="P213" s="575"/>
      <c r="Q213" s="575"/>
      <c r="R213" s="575"/>
      <c r="S213" s="575"/>
      <c r="T213" s="778"/>
      <c r="U213" s="575"/>
      <c r="V213" s="575"/>
      <c r="W213" s="575"/>
      <c r="X213" s="575"/>
      <c r="Y213" s="575"/>
      <c r="Z213" s="575"/>
      <c r="AA213" s="778"/>
      <c r="AB213" s="817"/>
      <c r="AC213" s="575"/>
      <c r="AD213" s="575"/>
      <c r="AE213" s="753"/>
      <c r="AF213" s="575"/>
      <c r="AG213" s="575"/>
      <c r="AH213" s="842"/>
      <c r="AI213" s="1013">
        <f t="shared" si="12"/>
        <v>0</v>
      </c>
      <c r="AJ213" s="949">
        <v>0</v>
      </c>
      <c r="AK213" s="581">
        <f t="shared" si="13"/>
        <v>0</v>
      </c>
      <c r="AL213" s="746" t="s">
        <v>1559</v>
      </c>
      <c r="AM213" s="743">
        <f t="shared" si="14"/>
        <v>642.09</v>
      </c>
    </row>
    <row r="214" spans="1:39" s="560" customFormat="1" ht="13.2" customHeight="1">
      <c r="A214" s="604" t="s">
        <v>713</v>
      </c>
      <c r="B214" s="604" t="s">
        <v>1174</v>
      </c>
      <c r="C214" s="614" t="s">
        <v>47</v>
      </c>
      <c r="D214" s="580"/>
      <c r="E214" s="581"/>
      <c r="F214" s="778"/>
      <c r="G214" s="581"/>
      <c r="H214" s="581"/>
      <c r="I214" s="949"/>
      <c r="J214" s="949"/>
      <c r="K214" s="825"/>
      <c r="L214" s="575"/>
      <c r="M214" s="778"/>
      <c r="N214" s="575"/>
      <c r="O214" s="575"/>
      <c r="P214" s="575"/>
      <c r="Q214" s="575"/>
      <c r="R214" s="575"/>
      <c r="S214" s="575"/>
      <c r="T214" s="778"/>
      <c r="U214" s="575"/>
      <c r="V214" s="575"/>
      <c r="W214" s="575"/>
      <c r="X214" s="575"/>
      <c r="Y214" s="575"/>
      <c r="Z214" s="575"/>
      <c r="AA214" s="778"/>
      <c r="AB214" s="817"/>
      <c r="AC214" s="575"/>
      <c r="AD214" s="575"/>
      <c r="AE214" s="753"/>
      <c r="AF214" s="575"/>
      <c r="AG214" s="575"/>
      <c r="AH214" s="842"/>
      <c r="AI214" s="1013">
        <f t="shared" si="12"/>
        <v>0</v>
      </c>
      <c r="AJ214" s="949">
        <v>0</v>
      </c>
      <c r="AK214" s="581">
        <f t="shared" si="13"/>
        <v>0</v>
      </c>
      <c r="AL214" s="746"/>
      <c r="AM214" s="743">
        <f t="shared" si="14"/>
        <v>0</v>
      </c>
    </row>
    <row r="215" spans="1:39" s="560" customFormat="1" ht="13.2" customHeight="1">
      <c r="A215" s="604" t="s">
        <v>714</v>
      </c>
      <c r="B215" s="604" t="s">
        <v>1175</v>
      </c>
      <c r="C215" s="690"/>
      <c r="D215" s="580"/>
      <c r="E215" s="581"/>
      <c r="F215" s="778"/>
      <c r="G215" s="581"/>
      <c r="H215" s="581"/>
      <c r="I215" s="949"/>
      <c r="J215" s="949"/>
      <c r="K215" s="825"/>
      <c r="L215" s="575"/>
      <c r="M215" s="778"/>
      <c r="N215" s="575"/>
      <c r="O215" s="575"/>
      <c r="P215" s="575"/>
      <c r="Q215" s="575"/>
      <c r="R215" s="575"/>
      <c r="S215" s="575"/>
      <c r="T215" s="778"/>
      <c r="U215" s="575"/>
      <c r="V215" s="575"/>
      <c r="W215" s="575"/>
      <c r="X215" s="575"/>
      <c r="Y215" s="575"/>
      <c r="Z215" s="575"/>
      <c r="AA215" s="778"/>
      <c r="AB215" s="817"/>
      <c r="AC215" s="575"/>
      <c r="AD215" s="575"/>
      <c r="AE215" s="753"/>
      <c r="AF215" s="575"/>
      <c r="AG215" s="575"/>
      <c r="AH215" s="842"/>
      <c r="AI215" s="1013">
        <f t="shared" si="12"/>
        <v>0</v>
      </c>
      <c r="AJ215" s="949">
        <v>0</v>
      </c>
      <c r="AK215" s="581">
        <f t="shared" si="13"/>
        <v>0</v>
      </c>
      <c r="AL215" s="746" t="s">
        <v>1560</v>
      </c>
      <c r="AM215" s="743">
        <f t="shared" si="14"/>
        <v>3.36</v>
      </c>
    </row>
    <row r="216" spans="1:39" s="560" customFormat="1" ht="13.2" customHeight="1">
      <c r="A216" s="604" t="s">
        <v>715</v>
      </c>
      <c r="B216" s="604" t="s">
        <v>1176</v>
      </c>
      <c r="C216" s="614" t="s">
        <v>39</v>
      </c>
      <c r="D216" s="580"/>
      <c r="E216" s="581"/>
      <c r="F216" s="778"/>
      <c r="G216" s="581"/>
      <c r="H216" s="581"/>
      <c r="I216" s="949"/>
      <c r="J216" s="949"/>
      <c r="K216" s="825"/>
      <c r="L216" s="575"/>
      <c r="M216" s="778"/>
      <c r="N216" s="575"/>
      <c r="O216" s="575"/>
      <c r="P216" s="575"/>
      <c r="Q216" s="575"/>
      <c r="R216" s="575"/>
      <c r="S216" s="575"/>
      <c r="T216" s="778"/>
      <c r="U216" s="575"/>
      <c r="V216" s="575"/>
      <c r="W216" s="575"/>
      <c r="X216" s="575"/>
      <c r="Y216" s="575"/>
      <c r="Z216" s="575"/>
      <c r="AA216" s="778"/>
      <c r="AB216" s="817"/>
      <c r="AC216" s="583"/>
      <c r="AD216" s="575"/>
      <c r="AE216" s="753"/>
      <c r="AF216" s="575"/>
      <c r="AG216" s="575"/>
      <c r="AH216" s="842"/>
      <c r="AI216" s="1013">
        <f t="shared" si="12"/>
        <v>0</v>
      </c>
      <c r="AJ216" s="949">
        <v>0</v>
      </c>
      <c r="AK216" s="581">
        <f t="shared" si="13"/>
        <v>0</v>
      </c>
      <c r="AL216" s="746" t="s">
        <v>1561</v>
      </c>
      <c r="AM216" s="743">
        <f t="shared" si="14"/>
        <v>38.35</v>
      </c>
    </row>
    <row r="217" spans="1:39" s="560" customFormat="1" ht="13.2" customHeight="1">
      <c r="A217" s="604" t="s">
        <v>716</v>
      </c>
      <c r="B217" s="604" t="s">
        <v>1177</v>
      </c>
      <c r="C217" s="614" t="s">
        <v>36</v>
      </c>
      <c r="D217" s="580"/>
      <c r="E217" s="581"/>
      <c r="F217" s="778"/>
      <c r="G217" s="581"/>
      <c r="H217" s="581"/>
      <c r="I217" s="949"/>
      <c r="J217" s="949"/>
      <c r="K217" s="825"/>
      <c r="L217" s="575"/>
      <c r="M217" s="778"/>
      <c r="N217" s="575"/>
      <c r="O217" s="575"/>
      <c r="P217" s="575"/>
      <c r="Q217" s="575"/>
      <c r="R217" s="575"/>
      <c r="S217" s="575"/>
      <c r="T217" s="778"/>
      <c r="U217" s="575"/>
      <c r="V217" s="575"/>
      <c r="W217" s="575"/>
      <c r="X217" s="575"/>
      <c r="Y217" s="575"/>
      <c r="Z217" s="575"/>
      <c r="AA217" s="778"/>
      <c r="AB217" s="817"/>
      <c r="AC217" s="583"/>
      <c r="AD217" s="575"/>
      <c r="AE217" s="753"/>
      <c r="AF217" s="575"/>
      <c r="AG217" s="575"/>
      <c r="AH217" s="842"/>
      <c r="AI217" s="1013">
        <f t="shared" si="12"/>
        <v>0</v>
      </c>
      <c r="AJ217" s="949">
        <v>0</v>
      </c>
      <c r="AK217" s="581">
        <f t="shared" si="13"/>
        <v>0</v>
      </c>
      <c r="AL217" s="746" t="s">
        <v>1562</v>
      </c>
      <c r="AM217" s="743">
        <f t="shared" si="14"/>
        <v>276.95999999999998</v>
      </c>
    </row>
    <row r="218" spans="1:39" s="560" customFormat="1" ht="13.2" customHeight="1">
      <c r="A218" s="604" t="s">
        <v>717</v>
      </c>
      <c r="B218" s="604" t="s">
        <v>1178</v>
      </c>
      <c r="C218" s="614" t="s">
        <v>47</v>
      </c>
      <c r="D218" s="580"/>
      <c r="E218" s="581"/>
      <c r="F218" s="778"/>
      <c r="G218" s="581"/>
      <c r="H218" s="581"/>
      <c r="I218" s="949"/>
      <c r="J218" s="949"/>
      <c r="K218" s="825"/>
      <c r="L218" s="575"/>
      <c r="M218" s="778"/>
      <c r="N218" s="575"/>
      <c r="O218" s="575"/>
      <c r="P218" s="575"/>
      <c r="Q218" s="575"/>
      <c r="R218" s="575"/>
      <c r="S218" s="575"/>
      <c r="T218" s="778"/>
      <c r="U218" s="575"/>
      <c r="V218" s="575"/>
      <c r="W218" s="575"/>
      <c r="X218" s="575"/>
      <c r="Y218" s="575"/>
      <c r="Z218" s="575"/>
      <c r="AA218" s="778"/>
      <c r="AB218" s="817"/>
      <c r="AC218" s="583"/>
      <c r="AD218" s="575"/>
      <c r="AE218" s="753"/>
      <c r="AF218" s="575"/>
      <c r="AG218" s="575"/>
      <c r="AH218" s="842"/>
      <c r="AI218" s="1013">
        <f t="shared" si="12"/>
        <v>0</v>
      </c>
      <c r="AJ218" s="949">
        <v>0</v>
      </c>
      <c r="AK218" s="581">
        <f t="shared" si="13"/>
        <v>0</v>
      </c>
      <c r="AL218" s="746" t="s">
        <v>1563</v>
      </c>
      <c r="AM218" s="743">
        <f t="shared" si="14"/>
        <v>319.48</v>
      </c>
    </row>
    <row r="219" spans="1:39" s="560" customFormat="1" ht="13.2" customHeight="1">
      <c r="A219" s="604" t="s">
        <v>718</v>
      </c>
      <c r="B219" s="604" t="s">
        <v>1179</v>
      </c>
      <c r="C219" s="614" t="s">
        <v>1436</v>
      </c>
      <c r="D219" s="580"/>
      <c r="E219" s="581"/>
      <c r="F219" s="778"/>
      <c r="G219" s="581"/>
      <c r="H219" s="581"/>
      <c r="I219" s="949"/>
      <c r="J219" s="949"/>
      <c r="K219" s="825"/>
      <c r="L219" s="575"/>
      <c r="M219" s="778"/>
      <c r="N219" s="575"/>
      <c r="O219" s="575"/>
      <c r="P219" s="575"/>
      <c r="Q219" s="575"/>
      <c r="R219" s="575"/>
      <c r="S219" s="575"/>
      <c r="T219" s="778"/>
      <c r="U219" s="575"/>
      <c r="V219" s="575"/>
      <c r="W219" s="575"/>
      <c r="X219" s="575"/>
      <c r="Y219" s="575"/>
      <c r="Z219" s="575"/>
      <c r="AA219" s="778"/>
      <c r="AB219" s="817"/>
      <c r="AC219" s="575"/>
      <c r="AD219" s="575"/>
      <c r="AE219" s="753"/>
      <c r="AF219" s="575"/>
      <c r="AG219" s="575"/>
      <c r="AH219" s="842"/>
      <c r="AI219" s="1013">
        <f t="shared" si="12"/>
        <v>0</v>
      </c>
      <c r="AJ219" s="949">
        <v>0</v>
      </c>
      <c r="AK219" s="581">
        <f t="shared" si="13"/>
        <v>0</v>
      </c>
      <c r="AL219" s="746"/>
      <c r="AM219" s="743">
        <f t="shared" si="14"/>
        <v>0</v>
      </c>
    </row>
    <row r="220" spans="1:39" s="560" customFormat="1" ht="13.2" customHeight="1">
      <c r="A220" s="604" t="s">
        <v>719</v>
      </c>
      <c r="B220" s="604" t="s">
        <v>1180</v>
      </c>
      <c r="C220" s="690"/>
      <c r="D220" s="580"/>
      <c r="E220" s="581"/>
      <c r="F220" s="778"/>
      <c r="G220" s="581"/>
      <c r="H220" s="581"/>
      <c r="I220" s="949"/>
      <c r="J220" s="949"/>
      <c r="K220" s="825"/>
      <c r="L220" s="575"/>
      <c r="M220" s="778"/>
      <c r="N220" s="575"/>
      <c r="O220" s="575"/>
      <c r="P220" s="575"/>
      <c r="Q220" s="575"/>
      <c r="R220" s="575"/>
      <c r="S220" s="575"/>
      <c r="T220" s="778"/>
      <c r="U220" s="575"/>
      <c r="V220" s="575"/>
      <c r="W220" s="575"/>
      <c r="X220" s="575"/>
      <c r="Y220" s="575"/>
      <c r="Z220" s="575"/>
      <c r="AA220" s="778"/>
      <c r="AB220" s="817"/>
      <c r="AC220" s="575"/>
      <c r="AD220" s="575"/>
      <c r="AE220" s="753"/>
      <c r="AF220" s="575"/>
      <c r="AG220" s="575"/>
      <c r="AH220" s="842"/>
      <c r="AI220" s="1013">
        <f t="shared" si="12"/>
        <v>0</v>
      </c>
      <c r="AJ220" s="949">
        <v>0</v>
      </c>
      <c r="AK220" s="581">
        <f t="shared" si="13"/>
        <v>0</v>
      </c>
      <c r="AL220" s="746" t="s">
        <v>1564</v>
      </c>
      <c r="AM220" s="743">
        <f t="shared" si="14"/>
        <v>1.03</v>
      </c>
    </row>
    <row r="221" spans="1:39" s="560" customFormat="1" ht="13.2" customHeight="1">
      <c r="A221" s="604" t="s">
        <v>720</v>
      </c>
      <c r="B221" s="604" t="s">
        <v>1181</v>
      </c>
      <c r="C221" s="614" t="s">
        <v>39</v>
      </c>
      <c r="D221" s="580"/>
      <c r="E221" s="581"/>
      <c r="F221" s="778"/>
      <c r="G221" s="581"/>
      <c r="H221" s="581"/>
      <c r="I221" s="949"/>
      <c r="J221" s="949"/>
      <c r="K221" s="825"/>
      <c r="L221" s="575"/>
      <c r="M221" s="778"/>
      <c r="N221" s="575"/>
      <c r="O221" s="575"/>
      <c r="P221" s="575"/>
      <c r="Q221" s="575"/>
      <c r="R221" s="575"/>
      <c r="S221" s="575"/>
      <c r="T221" s="778"/>
      <c r="U221" s="575"/>
      <c r="V221" s="575"/>
      <c r="W221" s="575"/>
      <c r="X221" s="575"/>
      <c r="Y221" s="575"/>
      <c r="Z221" s="575"/>
      <c r="AA221" s="778"/>
      <c r="AB221" s="817"/>
      <c r="AC221" s="575"/>
      <c r="AD221" s="575"/>
      <c r="AE221" s="753"/>
      <c r="AF221" s="575"/>
      <c r="AG221" s="575"/>
      <c r="AH221" s="842"/>
      <c r="AI221" s="1013">
        <f t="shared" si="12"/>
        <v>0</v>
      </c>
      <c r="AJ221" s="949">
        <v>0</v>
      </c>
      <c r="AK221" s="581">
        <f t="shared" si="13"/>
        <v>0</v>
      </c>
      <c r="AL221" s="746" t="s">
        <v>1565</v>
      </c>
      <c r="AM221" s="743">
        <f t="shared" si="14"/>
        <v>13.74</v>
      </c>
    </row>
    <row r="222" spans="1:39" s="560" customFormat="1" ht="13.2" customHeight="1">
      <c r="A222" s="604" t="s">
        <v>721</v>
      </c>
      <c r="B222" s="604" t="s">
        <v>1182</v>
      </c>
      <c r="C222" s="614" t="s">
        <v>36</v>
      </c>
      <c r="D222" s="580"/>
      <c r="E222" s="581"/>
      <c r="F222" s="778"/>
      <c r="G222" s="581"/>
      <c r="H222" s="581"/>
      <c r="I222" s="949"/>
      <c r="J222" s="949"/>
      <c r="K222" s="825"/>
      <c r="L222" s="575"/>
      <c r="M222" s="778"/>
      <c r="N222" s="575"/>
      <c r="O222" s="575"/>
      <c r="P222" s="575"/>
      <c r="Q222" s="575"/>
      <c r="R222" s="575"/>
      <c r="S222" s="575"/>
      <c r="T222" s="778"/>
      <c r="U222" s="575"/>
      <c r="V222" s="575"/>
      <c r="W222" s="575"/>
      <c r="X222" s="575"/>
      <c r="Y222" s="575"/>
      <c r="Z222" s="575"/>
      <c r="AA222" s="778"/>
      <c r="AB222" s="817"/>
      <c r="AC222" s="575"/>
      <c r="AD222" s="575"/>
      <c r="AE222" s="753"/>
      <c r="AF222" s="575"/>
      <c r="AG222" s="575"/>
      <c r="AH222" s="842"/>
      <c r="AI222" s="1013">
        <f t="shared" si="12"/>
        <v>0</v>
      </c>
      <c r="AJ222" s="949">
        <v>0</v>
      </c>
      <c r="AK222" s="581">
        <f t="shared" si="13"/>
        <v>0</v>
      </c>
      <c r="AL222" s="746" t="s">
        <v>1566</v>
      </c>
      <c r="AM222" s="743">
        <f t="shared" si="14"/>
        <v>65.349999999999994</v>
      </c>
    </row>
    <row r="223" spans="1:39" s="560" customFormat="1" ht="13.2" customHeight="1">
      <c r="A223" s="604" t="s">
        <v>722</v>
      </c>
      <c r="B223" s="604" t="s">
        <v>1183</v>
      </c>
      <c r="C223" s="614" t="s">
        <v>47</v>
      </c>
      <c r="D223" s="580"/>
      <c r="E223" s="581"/>
      <c r="F223" s="778"/>
      <c r="G223" s="581"/>
      <c r="H223" s="581"/>
      <c r="I223" s="949"/>
      <c r="J223" s="949"/>
      <c r="K223" s="825"/>
      <c r="L223" s="575"/>
      <c r="M223" s="778"/>
      <c r="N223" s="575"/>
      <c r="O223" s="575"/>
      <c r="P223" s="575"/>
      <c r="Q223" s="575"/>
      <c r="R223" s="575"/>
      <c r="S223" s="575"/>
      <c r="T223" s="778"/>
      <c r="U223" s="575"/>
      <c r="V223" s="575"/>
      <c r="W223" s="575"/>
      <c r="X223" s="575"/>
      <c r="Y223" s="575"/>
      <c r="Z223" s="575"/>
      <c r="AA223" s="778"/>
      <c r="AB223" s="817"/>
      <c r="AC223" s="575"/>
      <c r="AD223" s="575"/>
      <c r="AE223" s="753"/>
      <c r="AF223" s="575"/>
      <c r="AG223" s="575"/>
      <c r="AH223" s="842"/>
      <c r="AI223" s="1013">
        <f t="shared" si="12"/>
        <v>0</v>
      </c>
      <c r="AJ223" s="949">
        <v>0</v>
      </c>
      <c r="AK223" s="581">
        <f t="shared" si="13"/>
        <v>0</v>
      </c>
      <c r="AL223" s="746"/>
      <c r="AM223" s="743">
        <f t="shared" si="14"/>
        <v>0</v>
      </c>
    </row>
    <row r="224" spans="1:39" s="560" customFormat="1" ht="13.2" customHeight="1">
      <c r="A224" s="607" t="s">
        <v>723</v>
      </c>
      <c r="B224" s="607" t="s">
        <v>1184</v>
      </c>
      <c r="C224" s="690"/>
      <c r="D224" s="580"/>
      <c r="E224" s="581"/>
      <c r="F224" s="778"/>
      <c r="G224" s="581"/>
      <c r="H224" s="581"/>
      <c r="I224" s="949"/>
      <c r="J224" s="949"/>
      <c r="K224" s="825"/>
      <c r="L224" s="575"/>
      <c r="M224" s="778"/>
      <c r="N224" s="575"/>
      <c r="O224" s="575"/>
      <c r="P224" s="575"/>
      <c r="Q224" s="575"/>
      <c r="R224" s="575"/>
      <c r="S224" s="575"/>
      <c r="T224" s="778"/>
      <c r="U224" s="575"/>
      <c r="V224" s="575"/>
      <c r="W224" s="575"/>
      <c r="X224" s="575"/>
      <c r="Y224" s="575"/>
      <c r="Z224" s="575"/>
      <c r="AA224" s="778"/>
      <c r="AB224" s="817"/>
      <c r="AC224" s="575"/>
      <c r="AD224" s="575"/>
      <c r="AE224" s="753"/>
      <c r="AF224" s="575"/>
      <c r="AG224" s="575"/>
      <c r="AH224" s="842"/>
      <c r="AI224" s="1013">
        <f t="shared" si="12"/>
        <v>0</v>
      </c>
      <c r="AJ224" s="949">
        <v>0</v>
      </c>
      <c r="AK224" s="581">
        <f t="shared" si="13"/>
        <v>0</v>
      </c>
      <c r="AL224" s="746" t="s">
        <v>1567</v>
      </c>
      <c r="AM224" s="743">
        <f t="shared" si="14"/>
        <v>110.7</v>
      </c>
    </row>
    <row r="225" spans="1:39" s="560" customFormat="1" ht="13.2" customHeight="1">
      <c r="A225" s="604" t="s">
        <v>724</v>
      </c>
      <c r="B225" s="604" t="s">
        <v>1185</v>
      </c>
      <c r="C225" s="614" t="s">
        <v>37</v>
      </c>
      <c r="D225" s="580"/>
      <c r="E225" s="581"/>
      <c r="F225" s="778"/>
      <c r="G225" s="581"/>
      <c r="H225" s="581"/>
      <c r="I225" s="949"/>
      <c r="J225" s="949"/>
      <c r="K225" s="825"/>
      <c r="L225" s="575"/>
      <c r="M225" s="778"/>
      <c r="N225" s="575"/>
      <c r="O225" s="575"/>
      <c r="P225" s="575"/>
      <c r="Q225" s="575"/>
      <c r="R225" s="575"/>
      <c r="S225" s="575"/>
      <c r="T225" s="778"/>
      <c r="U225" s="575"/>
      <c r="V225" s="575"/>
      <c r="W225" s="575"/>
      <c r="X225" s="575"/>
      <c r="Y225" s="575"/>
      <c r="Z225" s="575"/>
      <c r="AA225" s="778"/>
      <c r="AB225" s="817"/>
      <c r="AC225" s="575"/>
      <c r="AD225" s="575"/>
      <c r="AE225" s="753"/>
      <c r="AF225" s="575"/>
      <c r="AG225" s="575"/>
      <c r="AH225" s="842"/>
      <c r="AI225" s="1013">
        <f t="shared" si="12"/>
        <v>0</v>
      </c>
      <c r="AJ225" s="949">
        <v>0</v>
      </c>
      <c r="AK225" s="581">
        <f t="shared" si="13"/>
        <v>0</v>
      </c>
      <c r="AL225" s="746"/>
      <c r="AM225" s="743">
        <f t="shared" si="14"/>
        <v>0</v>
      </c>
    </row>
    <row r="226" spans="1:39" s="560" customFormat="1" ht="13.2" customHeight="1">
      <c r="A226" s="607" t="s">
        <v>725</v>
      </c>
      <c r="B226" s="607" t="s">
        <v>1186</v>
      </c>
      <c r="C226" s="614"/>
      <c r="D226" s="580"/>
      <c r="E226" s="581"/>
      <c r="F226" s="778"/>
      <c r="G226" s="581"/>
      <c r="H226" s="581"/>
      <c r="I226" s="949"/>
      <c r="J226" s="949"/>
      <c r="K226" s="825"/>
      <c r="L226" s="575"/>
      <c r="M226" s="778"/>
      <c r="N226" s="575"/>
      <c r="O226" s="575"/>
      <c r="P226" s="575"/>
      <c r="Q226" s="575"/>
      <c r="R226" s="575"/>
      <c r="S226" s="575"/>
      <c r="T226" s="778"/>
      <c r="U226" s="575"/>
      <c r="V226" s="575"/>
      <c r="W226" s="575"/>
      <c r="X226" s="575"/>
      <c r="Y226" s="575"/>
      <c r="Z226" s="575"/>
      <c r="AA226" s="778"/>
      <c r="AB226" s="817"/>
      <c r="AC226" s="575"/>
      <c r="AD226" s="575"/>
      <c r="AE226" s="753"/>
      <c r="AF226" s="575"/>
      <c r="AG226" s="575"/>
      <c r="AH226" s="842"/>
      <c r="AI226" s="1013">
        <f t="shared" si="12"/>
        <v>0</v>
      </c>
      <c r="AJ226" s="949">
        <v>0</v>
      </c>
      <c r="AK226" s="581">
        <f t="shared" si="13"/>
        <v>0</v>
      </c>
      <c r="AL226" s="746" t="s">
        <v>1568</v>
      </c>
      <c r="AM226" s="743">
        <f t="shared" si="14"/>
        <v>46</v>
      </c>
    </row>
    <row r="227" spans="1:39" s="560" customFormat="1" ht="13.2" customHeight="1">
      <c r="A227" s="604" t="s">
        <v>726</v>
      </c>
      <c r="B227" s="604" t="s">
        <v>1187</v>
      </c>
      <c r="C227" s="614" t="s">
        <v>37</v>
      </c>
      <c r="D227" s="580"/>
      <c r="E227" s="581"/>
      <c r="F227" s="778"/>
      <c r="G227" s="581"/>
      <c r="H227" s="581"/>
      <c r="I227" s="949"/>
      <c r="J227" s="949"/>
      <c r="K227" s="825"/>
      <c r="L227" s="575"/>
      <c r="M227" s="778"/>
      <c r="N227" s="575"/>
      <c r="O227" s="575"/>
      <c r="P227" s="575"/>
      <c r="Q227" s="575"/>
      <c r="R227" s="575"/>
      <c r="S227" s="575"/>
      <c r="T227" s="778"/>
      <c r="U227" s="575"/>
      <c r="V227" s="575"/>
      <c r="W227" s="575"/>
      <c r="X227" s="575"/>
      <c r="Y227" s="575"/>
      <c r="Z227" s="575"/>
      <c r="AA227" s="778"/>
      <c r="AB227" s="817"/>
      <c r="AC227" s="575"/>
      <c r="AD227" s="575"/>
      <c r="AE227" s="753"/>
      <c r="AF227" s="575"/>
      <c r="AG227" s="575"/>
      <c r="AH227" s="842"/>
      <c r="AI227" s="1013">
        <f t="shared" si="12"/>
        <v>0</v>
      </c>
      <c r="AJ227" s="949">
        <v>0</v>
      </c>
      <c r="AK227" s="581">
        <f t="shared" si="13"/>
        <v>0</v>
      </c>
      <c r="AL227" s="746" t="s">
        <v>1479</v>
      </c>
      <c r="AM227" s="743">
        <f t="shared" si="14"/>
        <v>15</v>
      </c>
    </row>
    <row r="228" spans="1:39" s="560" customFormat="1" ht="13.2" customHeight="1">
      <c r="A228" s="604" t="s">
        <v>727</v>
      </c>
      <c r="B228" s="604" t="s">
        <v>224</v>
      </c>
      <c r="C228" s="614" t="s">
        <v>1436</v>
      </c>
      <c r="D228" s="580"/>
      <c r="E228" s="581"/>
      <c r="F228" s="778"/>
      <c r="G228" s="581"/>
      <c r="H228" s="581"/>
      <c r="I228" s="949"/>
      <c r="J228" s="949"/>
      <c r="K228" s="825"/>
      <c r="L228" s="575"/>
      <c r="M228" s="778"/>
      <c r="N228" s="575"/>
      <c r="O228" s="575"/>
      <c r="P228" s="575"/>
      <c r="Q228" s="575"/>
      <c r="R228" s="575"/>
      <c r="S228" s="575"/>
      <c r="T228" s="778"/>
      <c r="U228" s="575"/>
      <c r="V228" s="575"/>
      <c r="W228" s="575"/>
      <c r="X228" s="575"/>
      <c r="Y228" s="575"/>
      <c r="Z228" s="575"/>
      <c r="AA228" s="778"/>
      <c r="AB228" s="817"/>
      <c r="AC228" s="575"/>
      <c r="AD228" s="575"/>
      <c r="AE228" s="753"/>
      <c r="AF228" s="575"/>
      <c r="AG228" s="575"/>
      <c r="AH228" s="842"/>
      <c r="AI228" s="1013">
        <f t="shared" si="12"/>
        <v>0</v>
      </c>
      <c r="AJ228" s="949">
        <v>0</v>
      </c>
      <c r="AK228" s="581">
        <f t="shared" si="13"/>
        <v>0</v>
      </c>
      <c r="AL228" s="746"/>
      <c r="AM228" s="743">
        <f t="shared" si="14"/>
        <v>0</v>
      </c>
    </row>
    <row r="229" spans="1:39" s="560" customFormat="1" ht="13.2" customHeight="1">
      <c r="A229" s="492" t="s">
        <v>728</v>
      </c>
      <c r="B229" s="608" t="s">
        <v>1197</v>
      </c>
      <c r="C229" s="690"/>
      <c r="D229" s="580"/>
      <c r="E229" s="581"/>
      <c r="F229" s="778"/>
      <c r="G229" s="581"/>
      <c r="H229" s="581"/>
      <c r="I229" s="949"/>
      <c r="J229" s="949"/>
      <c r="K229" s="825"/>
      <c r="L229" s="575"/>
      <c r="M229" s="778"/>
      <c r="N229" s="575"/>
      <c r="O229" s="575"/>
      <c r="P229" s="575"/>
      <c r="Q229" s="575"/>
      <c r="R229" s="575"/>
      <c r="S229" s="575"/>
      <c r="T229" s="778"/>
      <c r="U229" s="575"/>
      <c r="V229" s="575"/>
      <c r="W229" s="575"/>
      <c r="X229" s="575"/>
      <c r="Y229" s="575"/>
      <c r="Z229" s="575"/>
      <c r="AA229" s="778"/>
      <c r="AB229" s="817"/>
      <c r="AC229" s="575"/>
      <c r="AD229" s="575"/>
      <c r="AE229" s="753"/>
      <c r="AF229" s="575"/>
      <c r="AG229" s="575"/>
      <c r="AH229" s="842"/>
      <c r="AI229" s="1013">
        <f t="shared" si="12"/>
        <v>0</v>
      </c>
      <c r="AJ229" s="949">
        <v>0</v>
      </c>
      <c r="AK229" s="581">
        <f t="shared" si="13"/>
        <v>0</v>
      </c>
      <c r="AL229" s="746"/>
      <c r="AM229" s="743">
        <f t="shared" si="14"/>
        <v>0</v>
      </c>
    </row>
    <row r="230" spans="1:39" s="560" customFormat="1" ht="13.2" customHeight="1">
      <c r="A230" s="607" t="s">
        <v>729</v>
      </c>
      <c r="B230" s="607" t="s">
        <v>45</v>
      </c>
      <c r="C230" s="690"/>
      <c r="D230" s="580"/>
      <c r="E230" s="581"/>
      <c r="F230" s="778"/>
      <c r="G230" s="581"/>
      <c r="H230" s="581"/>
      <c r="I230" s="949"/>
      <c r="J230" s="949"/>
      <c r="K230" s="825"/>
      <c r="L230" s="575"/>
      <c r="M230" s="778"/>
      <c r="N230" s="575"/>
      <c r="O230" s="575"/>
      <c r="P230" s="575"/>
      <c r="Q230" s="575"/>
      <c r="R230" s="575"/>
      <c r="S230" s="575"/>
      <c r="T230" s="778"/>
      <c r="U230" s="575"/>
      <c r="V230" s="575"/>
      <c r="W230" s="575"/>
      <c r="X230" s="575"/>
      <c r="Y230" s="575"/>
      <c r="Z230" s="575"/>
      <c r="AA230" s="778"/>
      <c r="AB230" s="817"/>
      <c r="AC230" s="575"/>
      <c r="AD230" s="575"/>
      <c r="AE230" s="753"/>
      <c r="AF230" s="575"/>
      <c r="AG230" s="575"/>
      <c r="AH230" s="842"/>
      <c r="AI230" s="1013">
        <f t="shared" si="12"/>
        <v>0</v>
      </c>
      <c r="AJ230" s="949">
        <v>0</v>
      </c>
      <c r="AK230" s="581">
        <f t="shared" si="13"/>
        <v>0</v>
      </c>
      <c r="AL230" s="746" t="s">
        <v>1569</v>
      </c>
      <c r="AM230" s="743">
        <f t="shared" si="14"/>
        <v>467.39</v>
      </c>
    </row>
    <row r="231" spans="1:39" s="560" customFormat="1" ht="13.2" customHeight="1">
      <c r="A231" s="604" t="s">
        <v>730</v>
      </c>
      <c r="B231" s="604" t="s">
        <v>1198</v>
      </c>
      <c r="C231" s="614" t="s">
        <v>39</v>
      </c>
      <c r="D231" s="580"/>
      <c r="E231" s="581"/>
      <c r="F231" s="778"/>
      <c r="G231" s="581"/>
      <c r="H231" s="581"/>
      <c r="I231" s="949"/>
      <c r="J231" s="949"/>
      <c r="K231" s="825"/>
      <c r="L231" s="575"/>
      <c r="M231" s="778"/>
      <c r="N231" s="575"/>
      <c r="O231" s="575"/>
      <c r="P231" s="575"/>
      <c r="Q231" s="575"/>
      <c r="R231" s="575"/>
      <c r="S231" s="575"/>
      <c r="T231" s="778"/>
      <c r="U231" s="575"/>
      <c r="V231" s="575"/>
      <c r="W231" s="575"/>
      <c r="X231" s="575"/>
      <c r="Y231" s="575"/>
      <c r="Z231" s="575"/>
      <c r="AA231" s="778"/>
      <c r="AB231" s="817"/>
      <c r="AC231" s="575"/>
      <c r="AD231" s="575"/>
      <c r="AE231" s="753"/>
      <c r="AF231" s="575"/>
      <c r="AG231" s="575"/>
      <c r="AH231" s="842"/>
      <c r="AI231" s="1013">
        <f t="shared" si="12"/>
        <v>0</v>
      </c>
      <c r="AJ231" s="949">
        <v>0</v>
      </c>
      <c r="AK231" s="581">
        <f t="shared" si="13"/>
        <v>0</v>
      </c>
      <c r="AL231" s="750" t="s">
        <v>1570</v>
      </c>
      <c r="AM231" s="743">
        <f t="shared" si="14"/>
        <v>560.87</v>
      </c>
    </row>
    <row r="232" spans="1:39" s="560" customFormat="1" ht="13.2" customHeight="1">
      <c r="A232" s="604" t="s">
        <v>731</v>
      </c>
      <c r="B232" s="604" t="s">
        <v>1147</v>
      </c>
      <c r="C232" s="614" t="s">
        <v>39</v>
      </c>
      <c r="D232" s="580"/>
      <c r="E232" s="581"/>
      <c r="F232" s="778"/>
      <c r="G232" s="581"/>
      <c r="H232" s="581"/>
      <c r="I232" s="949"/>
      <c r="J232" s="949"/>
      <c r="K232" s="825"/>
      <c r="L232" s="575"/>
      <c r="M232" s="778"/>
      <c r="N232" s="575"/>
      <c r="O232" s="575"/>
      <c r="P232" s="575"/>
      <c r="Q232" s="575"/>
      <c r="R232" s="575"/>
      <c r="S232" s="575"/>
      <c r="T232" s="778"/>
      <c r="U232" s="575"/>
      <c r="V232" s="575"/>
      <c r="W232" s="575"/>
      <c r="X232" s="575"/>
      <c r="Y232" s="575"/>
      <c r="Z232" s="575"/>
      <c r="AA232" s="778"/>
      <c r="AB232" s="817"/>
      <c r="AC232" s="575"/>
      <c r="AD232" s="575"/>
      <c r="AE232" s="753"/>
      <c r="AF232" s="575"/>
      <c r="AG232" s="575"/>
      <c r="AH232" s="842"/>
      <c r="AI232" s="1013">
        <f t="shared" si="12"/>
        <v>0</v>
      </c>
      <c r="AJ232" s="949">
        <v>0</v>
      </c>
      <c r="AK232" s="581">
        <f t="shared" si="13"/>
        <v>0</v>
      </c>
      <c r="AL232" s="750"/>
      <c r="AM232" s="743">
        <f t="shared" si="14"/>
        <v>0</v>
      </c>
    </row>
    <row r="233" spans="1:39" s="560" customFormat="1" ht="13.2" customHeight="1">
      <c r="A233" s="607" t="s">
        <v>732</v>
      </c>
      <c r="B233" s="607" t="s">
        <v>1148</v>
      </c>
      <c r="C233" s="614"/>
      <c r="D233" s="580"/>
      <c r="E233" s="581"/>
      <c r="F233" s="778"/>
      <c r="G233" s="581"/>
      <c r="H233" s="581"/>
      <c r="I233" s="949"/>
      <c r="J233" s="949"/>
      <c r="K233" s="825"/>
      <c r="L233" s="575"/>
      <c r="M233" s="778"/>
      <c r="N233" s="575"/>
      <c r="O233" s="575"/>
      <c r="P233" s="575"/>
      <c r="Q233" s="575"/>
      <c r="R233" s="575"/>
      <c r="S233" s="575"/>
      <c r="T233" s="778"/>
      <c r="U233" s="575"/>
      <c r="V233" s="575"/>
      <c r="W233" s="575"/>
      <c r="X233" s="575"/>
      <c r="Y233" s="575"/>
      <c r="Z233" s="575"/>
      <c r="AA233" s="778"/>
      <c r="AB233" s="817"/>
      <c r="AC233" s="575"/>
      <c r="AD233" s="575"/>
      <c r="AE233" s="753"/>
      <c r="AF233" s="575"/>
      <c r="AG233" s="575"/>
      <c r="AH233" s="842"/>
      <c r="AI233" s="1013">
        <f t="shared" si="12"/>
        <v>0</v>
      </c>
      <c r="AJ233" s="949">
        <v>0</v>
      </c>
      <c r="AK233" s="581">
        <f t="shared" si="13"/>
        <v>0</v>
      </c>
      <c r="AL233" s="750" t="s">
        <v>1571</v>
      </c>
      <c r="AM233" s="743">
        <f t="shared" si="14"/>
        <v>13.83</v>
      </c>
    </row>
    <row r="234" spans="1:39" s="560" customFormat="1" ht="13.2" customHeight="1">
      <c r="A234" s="604" t="s">
        <v>733</v>
      </c>
      <c r="B234" s="604" t="s">
        <v>1190</v>
      </c>
      <c r="C234" s="614" t="s">
        <v>39</v>
      </c>
      <c r="D234" s="580"/>
      <c r="E234" s="581"/>
      <c r="F234" s="778"/>
      <c r="G234" s="581"/>
      <c r="H234" s="581"/>
      <c r="I234" s="949"/>
      <c r="J234" s="949"/>
      <c r="K234" s="825"/>
      <c r="L234" s="583"/>
      <c r="M234" s="778"/>
      <c r="N234" s="583"/>
      <c r="O234" s="583"/>
      <c r="P234" s="575"/>
      <c r="Q234" s="583"/>
      <c r="R234" s="583"/>
      <c r="S234" s="575"/>
      <c r="T234" s="778"/>
      <c r="U234" s="575"/>
      <c r="V234" s="575"/>
      <c r="W234" s="575"/>
      <c r="X234" s="575"/>
      <c r="Y234" s="575"/>
      <c r="Z234" s="575"/>
      <c r="AA234" s="778"/>
      <c r="AB234" s="817"/>
      <c r="AC234" s="575"/>
      <c r="AD234" s="575"/>
      <c r="AE234" s="753"/>
      <c r="AF234" s="575"/>
      <c r="AG234" s="575"/>
      <c r="AH234" s="842"/>
      <c r="AI234" s="1013">
        <f t="shared" si="12"/>
        <v>0</v>
      </c>
      <c r="AJ234" s="949">
        <v>0</v>
      </c>
      <c r="AK234" s="581">
        <f t="shared" si="13"/>
        <v>0</v>
      </c>
      <c r="AL234" s="750"/>
      <c r="AM234" s="743">
        <f t="shared" si="14"/>
        <v>0</v>
      </c>
    </row>
    <row r="235" spans="1:39" s="560" customFormat="1" ht="13.2" customHeight="1">
      <c r="A235" s="607" t="s">
        <v>734</v>
      </c>
      <c r="B235" s="607" t="s">
        <v>1155</v>
      </c>
      <c r="C235" s="690"/>
      <c r="D235" s="580"/>
      <c r="E235" s="581"/>
      <c r="F235" s="778"/>
      <c r="G235" s="581"/>
      <c r="H235" s="581"/>
      <c r="I235" s="949"/>
      <c r="J235" s="949"/>
      <c r="K235" s="825"/>
      <c r="L235" s="575"/>
      <c r="M235" s="778"/>
      <c r="N235" s="575"/>
      <c r="O235" s="575"/>
      <c r="P235" s="575"/>
      <c r="Q235" s="575"/>
      <c r="R235" s="575"/>
      <c r="S235" s="575"/>
      <c r="T235" s="778"/>
      <c r="U235" s="575"/>
      <c r="V235" s="575"/>
      <c r="W235" s="575"/>
      <c r="X235" s="575"/>
      <c r="Y235" s="575"/>
      <c r="Z235" s="575"/>
      <c r="AA235" s="778"/>
      <c r="AB235" s="817"/>
      <c r="AC235" s="575"/>
      <c r="AD235" s="575"/>
      <c r="AE235" s="753"/>
      <c r="AF235" s="575"/>
      <c r="AG235" s="575"/>
      <c r="AH235" s="842"/>
      <c r="AI235" s="1013">
        <f t="shared" si="12"/>
        <v>0</v>
      </c>
      <c r="AJ235" s="949">
        <v>0</v>
      </c>
      <c r="AK235" s="581">
        <f t="shared" si="13"/>
        <v>0</v>
      </c>
      <c r="AL235" s="750"/>
      <c r="AM235" s="743">
        <f t="shared" si="14"/>
        <v>0</v>
      </c>
    </row>
    <row r="236" spans="1:39" s="560" customFormat="1" ht="13.2" customHeight="1">
      <c r="A236" s="604" t="s">
        <v>735</v>
      </c>
      <c r="B236" s="604" t="s">
        <v>1163</v>
      </c>
      <c r="C236" s="690"/>
      <c r="D236" s="580"/>
      <c r="E236" s="581"/>
      <c r="F236" s="778"/>
      <c r="G236" s="581"/>
      <c r="H236" s="581"/>
      <c r="I236" s="949"/>
      <c r="J236" s="949"/>
      <c r="K236" s="825"/>
      <c r="L236" s="575"/>
      <c r="M236" s="778"/>
      <c r="N236" s="575"/>
      <c r="O236" s="575"/>
      <c r="P236" s="575"/>
      <c r="Q236" s="575"/>
      <c r="R236" s="575"/>
      <c r="S236" s="575"/>
      <c r="T236" s="778"/>
      <c r="U236" s="575"/>
      <c r="V236" s="575"/>
      <c r="W236" s="575"/>
      <c r="X236" s="575"/>
      <c r="Y236" s="575"/>
      <c r="Z236" s="575"/>
      <c r="AA236" s="778"/>
      <c r="AB236" s="817"/>
      <c r="AC236" s="575"/>
      <c r="AD236" s="575"/>
      <c r="AE236" s="753"/>
      <c r="AF236" s="575"/>
      <c r="AG236" s="575"/>
      <c r="AH236" s="842"/>
      <c r="AI236" s="1013">
        <f t="shared" si="12"/>
        <v>0</v>
      </c>
      <c r="AJ236" s="949">
        <v>0</v>
      </c>
      <c r="AK236" s="581">
        <f t="shared" si="13"/>
        <v>0</v>
      </c>
      <c r="AL236" s="750" t="s">
        <v>1572</v>
      </c>
      <c r="AM236" s="743">
        <f t="shared" si="14"/>
        <v>4.8899999999999997</v>
      </c>
    </row>
    <row r="237" spans="1:39" s="560" customFormat="1" ht="13.2" customHeight="1">
      <c r="A237" s="604" t="s">
        <v>736</v>
      </c>
      <c r="B237" s="604" t="s">
        <v>1194</v>
      </c>
      <c r="C237" s="614" t="s">
        <v>39</v>
      </c>
      <c r="D237" s="580"/>
      <c r="E237" s="581"/>
      <c r="F237" s="778"/>
      <c r="G237" s="581"/>
      <c r="H237" s="581"/>
      <c r="I237" s="949"/>
      <c r="J237" s="1092">
        <f>5*2.75*0.5+3*3*0.5-1</f>
        <v>10.375</v>
      </c>
      <c r="K237" s="825"/>
      <c r="L237" s="1096">
        <f>2.75*0.25*0.15</f>
        <v>0.10312499999999999</v>
      </c>
      <c r="M237" s="778"/>
      <c r="N237" s="575"/>
      <c r="O237" s="575"/>
      <c r="P237" s="575"/>
      <c r="Q237" s="575"/>
      <c r="R237" s="575"/>
      <c r="S237" s="575"/>
      <c r="T237" s="778"/>
      <c r="U237" s="575"/>
      <c r="V237" s="575"/>
      <c r="W237" s="1143">
        <f>2*2.8*0.35*0.15+2*2.8*0.35*0.15</f>
        <v>0.58799999999999986</v>
      </c>
      <c r="X237" s="575"/>
      <c r="Y237" s="575"/>
      <c r="Z237" s="575"/>
      <c r="AA237" s="778"/>
      <c r="AB237" s="817"/>
      <c r="AC237" s="575"/>
      <c r="AD237" s="575"/>
      <c r="AE237" s="753"/>
      <c r="AF237" s="575"/>
      <c r="AG237" s="575"/>
      <c r="AH237" s="842"/>
      <c r="AI237" s="1156">
        <f t="shared" si="12"/>
        <v>11.07</v>
      </c>
      <c r="AJ237" s="949">
        <v>0</v>
      </c>
      <c r="AK237" s="581">
        <f t="shared" si="13"/>
        <v>11.07</v>
      </c>
      <c r="AL237" s="750" t="s">
        <v>1573</v>
      </c>
      <c r="AM237" s="743">
        <f t="shared" si="14"/>
        <v>65.62</v>
      </c>
    </row>
    <row r="238" spans="1:39" s="560" customFormat="1" ht="13.2" customHeight="1">
      <c r="A238" s="604" t="s">
        <v>737</v>
      </c>
      <c r="B238" s="604" t="s">
        <v>1165</v>
      </c>
      <c r="C238" s="614" t="s">
        <v>36</v>
      </c>
      <c r="D238" s="580"/>
      <c r="E238" s="581"/>
      <c r="F238" s="778"/>
      <c r="G238" s="581"/>
      <c r="H238" s="581"/>
      <c r="I238" s="949"/>
      <c r="J238" s="949"/>
      <c r="K238" s="825"/>
      <c r="L238" s="575"/>
      <c r="M238" s="778"/>
      <c r="N238" s="575"/>
      <c r="O238" s="575"/>
      <c r="P238" s="575"/>
      <c r="Q238" s="575"/>
      <c r="R238" s="575"/>
      <c r="S238" s="575"/>
      <c r="T238" s="778"/>
      <c r="U238" s="575"/>
      <c r="V238" s="575"/>
      <c r="W238" s="575"/>
      <c r="X238" s="1096">
        <f>11.5*0.45</f>
        <v>5.1749999999999998</v>
      </c>
      <c r="Y238" s="575"/>
      <c r="Z238" s="575"/>
      <c r="AA238" s="778"/>
      <c r="AB238" s="817"/>
      <c r="AC238" s="575"/>
      <c r="AD238" s="575"/>
      <c r="AE238" s="753"/>
      <c r="AF238" s="575"/>
      <c r="AG238" s="575"/>
      <c r="AH238" s="842"/>
      <c r="AI238" s="1156">
        <f t="shared" si="12"/>
        <v>5.18</v>
      </c>
      <c r="AJ238" s="949">
        <v>0</v>
      </c>
      <c r="AK238" s="581">
        <f t="shared" si="13"/>
        <v>5.18</v>
      </c>
      <c r="AL238" s="750" t="s">
        <v>1574</v>
      </c>
      <c r="AM238" s="743">
        <f t="shared" si="14"/>
        <v>942.62</v>
      </c>
    </row>
    <row r="239" spans="1:39" s="560" customFormat="1" ht="13.2" customHeight="1">
      <c r="A239" s="604" t="s">
        <v>738</v>
      </c>
      <c r="B239" s="604" t="s">
        <v>1166</v>
      </c>
      <c r="C239" s="614" t="s">
        <v>47</v>
      </c>
      <c r="D239" s="1137">
        <f>6*9*0.99</f>
        <v>53.46</v>
      </c>
      <c r="E239" s="581"/>
      <c r="F239" s="778"/>
      <c r="G239" s="581"/>
      <c r="H239" s="581"/>
      <c r="I239" s="949"/>
      <c r="J239" s="949"/>
      <c r="K239" s="825"/>
      <c r="L239" s="583"/>
      <c r="M239" s="778"/>
      <c r="N239" s="583"/>
      <c r="O239" s="583"/>
      <c r="P239" s="583"/>
      <c r="Q239" s="583"/>
      <c r="R239" s="583"/>
      <c r="S239" s="583"/>
      <c r="T239" s="778"/>
      <c r="U239" s="583"/>
      <c r="V239" s="583"/>
      <c r="W239" s="583"/>
      <c r="X239" s="583"/>
      <c r="Z239" s="583"/>
      <c r="AA239" s="778"/>
      <c r="AB239" s="945"/>
      <c r="AC239" s="583"/>
      <c r="AD239" s="583"/>
      <c r="AE239" s="753"/>
      <c r="AF239" s="575"/>
      <c r="AG239" s="588"/>
      <c r="AH239" s="842"/>
      <c r="AI239" s="1156">
        <f t="shared" si="12"/>
        <v>53.46</v>
      </c>
      <c r="AJ239" s="949">
        <v>0</v>
      </c>
      <c r="AK239" s="581">
        <f t="shared" si="13"/>
        <v>53.46</v>
      </c>
      <c r="AL239" s="750"/>
      <c r="AM239" s="743">
        <f t="shared" si="14"/>
        <v>-53.46</v>
      </c>
    </row>
    <row r="240" spans="1:39" s="560" customFormat="1" ht="13.2" customHeight="1">
      <c r="A240" s="604" t="s">
        <v>739</v>
      </c>
      <c r="B240" s="604" t="s">
        <v>1171</v>
      </c>
      <c r="C240" s="690"/>
      <c r="D240" s="580"/>
      <c r="E240" s="581"/>
      <c r="F240" s="778"/>
      <c r="G240" s="581"/>
      <c r="H240" s="581"/>
      <c r="I240" s="949"/>
      <c r="J240" s="949"/>
      <c r="K240" s="825"/>
      <c r="L240" s="575"/>
      <c r="M240" s="809"/>
      <c r="N240" s="575"/>
      <c r="O240" s="575"/>
      <c r="P240" s="575"/>
      <c r="Q240" s="575"/>
      <c r="R240" s="575"/>
      <c r="S240" s="575"/>
      <c r="T240" s="809"/>
      <c r="U240" s="575"/>
      <c r="V240" s="575"/>
      <c r="W240" s="575"/>
      <c r="X240" s="575"/>
      <c r="Y240" s="575"/>
      <c r="Z240" s="575"/>
      <c r="AA240" s="809"/>
      <c r="AB240" s="817"/>
      <c r="AC240" s="575"/>
      <c r="AD240" s="575"/>
      <c r="AE240" s="753"/>
      <c r="AF240" s="575"/>
      <c r="AG240" s="575"/>
      <c r="AH240" s="842"/>
      <c r="AI240" s="1013">
        <f t="shared" si="12"/>
        <v>0</v>
      </c>
      <c r="AJ240" s="949">
        <v>0</v>
      </c>
      <c r="AK240" s="581">
        <f t="shared" si="13"/>
        <v>0</v>
      </c>
      <c r="AL240" s="750" t="s">
        <v>1575</v>
      </c>
      <c r="AM240" s="743">
        <f t="shared" si="14"/>
        <v>4.2300000000000004</v>
      </c>
    </row>
    <row r="241" spans="1:39" s="560" customFormat="1" ht="13.2" customHeight="1">
      <c r="A241" s="604" t="s">
        <v>740</v>
      </c>
      <c r="B241" s="604" t="s">
        <v>1172</v>
      </c>
      <c r="C241" s="614" t="s">
        <v>39</v>
      </c>
      <c r="D241" s="580"/>
      <c r="E241" s="581"/>
      <c r="F241" s="778"/>
      <c r="G241" s="581"/>
      <c r="H241" s="581"/>
      <c r="I241" s="949"/>
      <c r="J241" s="949"/>
      <c r="K241" s="825"/>
      <c r="L241" s="575"/>
      <c r="M241" s="809"/>
      <c r="N241" s="575"/>
      <c r="O241" s="575"/>
      <c r="P241" s="575"/>
      <c r="Q241" s="575"/>
      <c r="R241" s="575"/>
      <c r="S241" s="575"/>
      <c r="T241" s="809"/>
      <c r="U241" s="575"/>
      <c r="V241" s="575"/>
      <c r="W241" s="575"/>
      <c r="X241" s="575"/>
      <c r="Y241" s="575"/>
      <c r="Z241" s="575"/>
      <c r="AA241" s="809"/>
      <c r="AB241" s="817"/>
      <c r="AC241" s="575"/>
      <c r="AD241" s="575"/>
      <c r="AE241" s="753"/>
      <c r="AF241" s="575"/>
      <c r="AG241" s="575"/>
      <c r="AH241" s="842"/>
      <c r="AI241" s="1013">
        <f t="shared" si="12"/>
        <v>0</v>
      </c>
      <c r="AJ241" s="949">
        <v>0</v>
      </c>
      <c r="AK241" s="581">
        <f t="shared" si="13"/>
        <v>0</v>
      </c>
      <c r="AL241" s="750" t="s">
        <v>1576</v>
      </c>
      <c r="AM241" s="743">
        <f t="shared" si="14"/>
        <v>49.66</v>
      </c>
    </row>
    <row r="242" spans="1:39" s="560" customFormat="1" ht="13.2" customHeight="1">
      <c r="A242" s="604" t="s">
        <v>741</v>
      </c>
      <c r="B242" s="604" t="s">
        <v>1173</v>
      </c>
      <c r="C242" s="614" t="s">
        <v>36</v>
      </c>
      <c r="D242" s="580"/>
      <c r="E242" s="581"/>
      <c r="F242" s="778"/>
      <c r="G242" s="581"/>
      <c r="H242" s="581"/>
      <c r="I242" s="949"/>
      <c r="J242" s="949"/>
      <c r="K242" s="825"/>
      <c r="L242" s="575"/>
      <c r="M242" s="809"/>
      <c r="N242" s="575"/>
      <c r="O242" s="575"/>
      <c r="P242" s="575"/>
      <c r="Q242" s="575"/>
      <c r="R242" s="575"/>
      <c r="S242" s="575"/>
      <c r="T242" s="809"/>
      <c r="U242" s="575"/>
      <c r="V242" s="575"/>
      <c r="W242" s="575"/>
      <c r="X242" s="575"/>
      <c r="Y242" s="575"/>
      <c r="Z242" s="575"/>
      <c r="AA242" s="809"/>
      <c r="AB242" s="817"/>
      <c r="AC242" s="575"/>
      <c r="AD242" s="575"/>
      <c r="AE242" s="753"/>
      <c r="AF242" s="575"/>
      <c r="AG242" s="575"/>
      <c r="AH242" s="842"/>
      <c r="AI242" s="1013">
        <f t="shared" si="12"/>
        <v>0</v>
      </c>
      <c r="AJ242" s="949">
        <v>0</v>
      </c>
      <c r="AK242" s="581">
        <f t="shared" si="13"/>
        <v>0</v>
      </c>
      <c r="AL242" s="750" t="s">
        <v>1577</v>
      </c>
      <c r="AM242" s="743">
        <f t="shared" si="14"/>
        <v>483.02</v>
      </c>
    </row>
    <row r="243" spans="1:39" s="560" customFormat="1" ht="13.2" customHeight="1">
      <c r="A243" s="604" t="s">
        <v>742</v>
      </c>
      <c r="B243" s="604" t="s">
        <v>1174</v>
      </c>
      <c r="C243" s="614" t="s">
        <v>47</v>
      </c>
      <c r="D243" s="580"/>
      <c r="E243" s="581"/>
      <c r="F243" s="778"/>
      <c r="G243" s="581"/>
      <c r="H243" s="581"/>
      <c r="I243" s="949"/>
      <c r="J243" s="949"/>
      <c r="K243" s="825"/>
      <c r="L243" s="575"/>
      <c r="M243" s="809"/>
      <c r="N243" s="575"/>
      <c r="O243" s="575"/>
      <c r="P243" s="575"/>
      <c r="Q243" s="575"/>
      <c r="R243" s="575"/>
      <c r="S243" s="575"/>
      <c r="T243" s="809"/>
      <c r="U243" s="575"/>
      <c r="V243" s="575"/>
      <c r="W243" s="575"/>
      <c r="X243" s="575"/>
      <c r="Y243" s="575"/>
      <c r="Z243" s="575"/>
      <c r="AA243" s="809"/>
      <c r="AB243" s="817"/>
      <c r="AC243" s="575"/>
      <c r="AD243" s="575"/>
      <c r="AE243" s="753"/>
      <c r="AF243" s="575"/>
      <c r="AG243" s="575"/>
      <c r="AH243" s="842"/>
      <c r="AI243" s="1013">
        <f t="shared" si="12"/>
        <v>0</v>
      </c>
      <c r="AJ243" s="949">
        <v>0</v>
      </c>
      <c r="AK243" s="581">
        <f t="shared" si="13"/>
        <v>0</v>
      </c>
      <c r="AL243" s="750"/>
      <c r="AM243" s="743">
        <f t="shared" si="14"/>
        <v>0</v>
      </c>
    </row>
    <row r="244" spans="1:39" s="560" customFormat="1" ht="13.2" customHeight="1">
      <c r="A244" s="604" t="s">
        <v>743</v>
      </c>
      <c r="B244" s="604" t="s">
        <v>1199</v>
      </c>
      <c r="C244" s="690"/>
      <c r="D244" s="580"/>
      <c r="E244" s="581"/>
      <c r="F244" s="778"/>
      <c r="G244" s="581"/>
      <c r="H244" s="581"/>
      <c r="I244" s="949"/>
      <c r="J244" s="949"/>
      <c r="K244" s="825"/>
      <c r="L244" s="575"/>
      <c r="M244" s="809"/>
      <c r="N244" s="575"/>
      <c r="O244" s="575"/>
      <c r="P244" s="575"/>
      <c r="Q244" s="575"/>
      <c r="R244" s="575"/>
      <c r="S244" s="575"/>
      <c r="T244" s="809"/>
      <c r="U244" s="575"/>
      <c r="V244" s="575"/>
      <c r="W244" s="575"/>
      <c r="X244" s="575"/>
      <c r="Y244" s="575"/>
      <c r="Z244" s="575"/>
      <c r="AA244" s="809"/>
      <c r="AB244" s="817"/>
      <c r="AC244" s="575"/>
      <c r="AD244" s="575"/>
      <c r="AE244" s="753"/>
      <c r="AF244" s="575"/>
      <c r="AG244" s="575"/>
      <c r="AH244" s="842"/>
      <c r="AI244" s="1013">
        <f t="shared" si="12"/>
        <v>0</v>
      </c>
      <c r="AJ244" s="949">
        <v>0</v>
      </c>
      <c r="AK244" s="581">
        <f t="shared" si="13"/>
        <v>0</v>
      </c>
      <c r="AL244" s="750" t="s">
        <v>1578</v>
      </c>
      <c r="AM244" s="743">
        <f t="shared" si="14"/>
        <v>4.24</v>
      </c>
    </row>
    <row r="245" spans="1:39" s="560" customFormat="1" ht="13.2" customHeight="1">
      <c r="A245" s="604" t="s">
        <v>744</v>
      </c>
      <c r="B245" s="604" t="s">
        <v>1191</v>
      </c>
      <c r="C245" s="614" t="s">
        <v>39</v>
      </c>
      <c r="D245" s="580"/>
      <c r="E245" s="581"/>
      <c r="F245" s="778"/>
      <c r="G245" s="581"/>
      <c r="H245" s="581"/>
      <c r="I245" s="949"/>
      <c r="J245" s="949"/>
      <c r="K245" s="825"/>
      <c r="L245" s="575"/>
      <c r="M245" s="809"/>
      <c r="N245" s="575"/>
      <c r="O245" s="575"/>
      <c r="P245" s="575"/>
      <c r="Q245" s="575"/>
      <c r="R245" s="575"/>
      <c r="S245" s="575"/>
      <c r="T245" s="809"/>
      <c r="U245" s="575"/>
      <c r="V245" s="575"/>
      <c r="W245" s="575"/>
      <c r="X245" s="575"/>
      <c r="Y245" s="575"/>
      <c r="Z245" s="575"/>
      <c r="AA245" s="809"/>
      <c r="AB245" s="817"/>
      <c r="AC245" s="575"/>
      <c r="AD245" s="575"/>
      <c r="AE245" s="753"/>
      <c r="AF245" s="575"/>
      <c r="AG245" s="575"/>
      <c r="AH245" s="842"/>
      <c r="AI245" s="1013">
        <f t="shared" si="12"/>
        <v>0</v>
      </c>
      <c r="AJ245" s="949">
        <v>0</v>
      </c>
      <c r="AK245" s="581">
        <f t="shared" si="13"/>
        <v>0</v>
      </c>
      <c r="AL245" s="750" t="s">
        <v>1579</v>
      </c>
      <c r="AM245" s="743">
        <f t="shared" si="14"/>
        <v>56.57</v>
      </c>
    </row>
    <row r="246" spans="1:39" s="560" customFormat="1" ht="13.2" customHeight="1">
      <c r="A246" s="604" t="s">
        <v>745</v>
      </c>
      <c r="B246" s="604" t="s">
        <v>1200</v>
      </c>
      <c r="C246" s="614" t="s">
        <v>36</v>
      </c>
      <c r="D246" s="580"/>
      <c r="E246" s="581"/>
      <c r="F246" s="778"/>
      <c r="G246" s="581"/>
      <c r="H246" s="581"/>
      <c r="I246" s="949"/>
      <c r="J246" s="949"/>
      <c r="K246" s="825"/>
      <c r="L246" s="575"/>
      <c r="M246" s="809"/>
      <c r="N246" s="575"/>
      <c r="O246" s="575"/>
      <c r="P246" s="575"/>
      <c r="Q246" s="583"/>
      <c r="R246" s="575"/>
      <c r="S246" s="575"/>
      <c r="T246" s="809"/>
      <c r="U246" s="575"/>
      <c r="V246" s="575"/>
      <c r="W246" s="575"/>
      <c r="X246" s="575"/>
      <c r="Y246" s="810"/>
      <c r="Z246" s="575"/>
      <c r="AA246" s="809"/>
      <c r="AB246" s="817"/>
      <c r="AC246" s="575"/>
      <c r="AD246" s="575"/>
      <c r="AE246" s="753"/>
      <c r="AF246" s="575"/>
      <c r="AG246" s="575"/>
      <c r="AH246" s="842"/>
      <c r="AI246" s="1013">
        <f t="shared" si="12"/>
        <v>0</v>
      </c>
      <c r="AJ246" s="949">
        <v>0</v>
      </c>
      <c r="AK246" s="581">
        <f t="shared" si="13"/>
        <v>0</v>
      </c>
      <c r="AL246" s="750" t="s">
        <v>1580</v>
      </c>
      <c r="AM246" s="743">
        <f t="shared" si="14"/>
        <v>438.73</v>
      </c>
    </row>
    <row r="247" spans="1:39" s="560" customFormat="1" ht="13.2" customHeight="1">
      <c r="A247" s="604" t="s">
        <v>746</v>
      </c>
      <c r="B247" s="604" t="s">
        <v>1201</v>
      </c>
      <c r="C247" s="614" t="s">
        <v>47</v>
      </c>
      <c r="D247" s="580"/>
      <c r="E247" s="581"/>
      <c r="F247" s="778"/>
      <c r="G247" s="581"/>
      <c r="H247" s="581"/>
      <c r="I247" s="949"/>
      <c r="J247" s="949"/>
      <c r="K247" s="825"/>
      <c r="L247" s="575"/>
      <c r="M247" s="809"/>
      <c r="N247" s="575"/>
      <c r="O247" s="575"/>
      <c r="P247" s="575"/>
      <c r="Q247" s="575"/>
      <c r="R247" s="575"/>
      <c r="S247" s="583"/>
      <c r="T247" s="809"/>
      <c r="U247" s="575"/>
      <c r="V247" s="575"/>
      <c r="W247" s="575"/>
      <c r="X247" s="575"/>
      <c r="Y247" s="575"/>
      <c r="Z247" s="575"/>
      <c r="AA247" s="809"/>
      <c r="AB247" s="817"/>
      <c r="AC247" s="575"/>
      <c r="AD247" s="575"/>
      <c r="AE247" s="753"/>
      <c r="AF247" s="575"/>
      <c r="AG247" s="575"/>
      <c r="AH247" s="842"/>
      <c r="AI247" s="1013">
        <f t="shared" si="12"/>
        <v>0</v>
      </c>
      <c r="AJ247" s="949">
        <v>0</v>
      </c>
      <c r="AK247" s="581">
        <f t="shared" si="13"/>
        <v>0</v>
      </c>
      <c r="AL247" s="750"/>
      <c r="AM247" s="743">
        <f t="shared" si="14"/>
        <v>0</v>
      </c>
    </row>
    <row r="248" spans="1:39" s="560" customFormat="1" ht="13.2" customHeight="1">
      <c r="A248" s="607" t="s">
        <v>747</v>
      </c>
      <c r="B248" s="607" t="s">
        <v>1186</v>
      </c>
      <c r="C248" s="690"/>
      <c r="D248" s="580"/>
      <c r="E248" s="581"/>
      <c r="F248" s="778"/>
      <c r="G248" s="581"/>
      <c r="H248" s="581"/>
      <c r="I248" s="949"/>
      <c r="J248" s="949"/>
      <c r="K248" s="825"/>
      <c r="L248" s="575"/>
      <c r="M248" s="809"/>
      <c r="N248" s="575"/>
      <c r="O248" s="575"/>
      <c r="P248" s="575"/>
      <c r="Q248" s="575"/>
      <c r="R248" s="575"/>
      <c r="S248" s="575"/>
      <c r="T248" s="809"/>
      <c r="U248" s="575"/>
      <c r="V248" s="575"/>
      <c r="W248" s="575"/>
      <c r="X248" s="575"/>
      <c r="Y248" s="575"/>
      <c r="Z248" s="575"/>
      <c r="AA248" s="809"/>
      <c r="AB248" s="817"/>
      <c r="AC248" s="575"/>
      <c r="AD248" s="575"/>
      <c r="AE248" s="753"/>
      <c r="AF248" s="575"/>
      <c r="AG248" s="575"/>
      <c r="AH248" s="842"/>
      <c r="AI248" s="1013">
        <f t="shared" si="12"/>
        <v>0</v>
      </c>
      <c r="AJ248" s="949">
        <v>0</v>
      </c>
      <c r="AK248" s="581">
        <f t="shared" si="13"/>
        <v>0</v>
      </c>
      <c r="AL248" s="750" t="s">
        <v>1581</v>
      </c>
      <c r="AM248" s="743">
        <f t="shared" si="14"/>
        <v>36</v>
      </c>
    </row>
    <row r="249" spans="1:39" s="560" customFormat="1" ht="13.2" customHeight="1">
      <c r="A249" s="604" t="s">
        <v>748</v>
      </c>
      <c r="B249" s="604" t="s">
        <v>1202</v>
      </c>
      <c r="C249" s="614" t="s">
        <v>37</v>
      </c>
      <c r="D249" s="580"/>
      <c r="E249" s="581"/>
      <c r="F249" s="778"/>
      <c r="G249" s="581"/>
      <c r="H249" s="581"/>
      <c r="I249" s="949"/>
      <c r="J249" s="949"/>
      <c r="K249" s="825"/>
      <c r="L249" s="575"/>
      <c r="M249" s="809"/>
      <c r="N249" s="575"/>
      <c r="O249" s="575"/>
      <c r="P249" s="575"/>
      <c r="Q249" s="575"/>
      <c r="R249" s="575"/>
      <c r="S249" s="575"/>
      <c r="T249" s="809"/>
      <c r="U249" s="575"/>
      <c r="V249" s="575"/>
      <c r="W249" s="575"/>
      <c r="X249" s="575"/>
      <c r="Y249" s="575"/>
      <c r="Z249" s="575"/>
      <c r="AA249" s="809"/>
      <c r="AB249" s="817"/>
      <c r="AC249" s="575"/>
      <c r="AD249" s="575"/>
      <c r="AE249" s="753"/>
      <c r="AF249" s="575"/>
      <c r="AG249" s="575"/>
      <c r="AH249" s="842"/>
      <c r="AI249" s="1013">
        <f t="shared" si="12"/>
        <v>0</v>
      </c>
      <c r="AJ249" s="949">
        <v>0</v>
      </c>
      <c r="AK249" s="581">
        <f t="shared" si="13"/>
        <v>0</v>
      </c>
      <c r="AL249" s="750"/>
      <c r="AM249" s="743">
        <f t="shared" si="14"/>
        <v>0</v>
      </c>
    </row>
    <row r="250" spans="1:39" s="560" customFormat="1" ht="13.2" customHeight="1">
      <c r="A250" s="492" t="s">
        <v>749</v>
      </c>
      <c r="B250" s="608" t="s">
        <v>1203</v>
      </c>
      <c r="C250" s="690"/>
      <c r="D250" s="580"/>
      <c r="E250" s="581"/>
      <c r="F250" s="778"/>
      <c r="G250" s="581"/>
      <c r="H250" s="581"/>
      <c r="I250" s="949"/>
      <c r="J250" s="949"/>
      <c r="K250" s="825"/>
      <c r="L250" s="575"/>
      <c r="M250" s="809"/>
      <c r="N250" s="575"/>
      <c r="O250" s="575"/>
      <c r="P250" s="575"/>
      <c r="Q250" s="575"/>
      <c r="R250" s="575"/>
      <c r="S250" s="575"/>
      <c r="T250" s="809"/>
      <c r="U250" s="575"/>
      <c r="V250" s="575"/>
      <c r="W250" s="575"/>
      <c r="X250" s="575"/>
      <c r="Y250" s="575"/>
      <c r="Z250" s="575"/>
      <c r="AA250" s="809"/>
      <c r="AB250" s="817"/>
      <c r="AC250" s="575"/>
      <c r="AD250" s="575"/>
      <c r="AE250" s="753"/>
      <c r="AF250" s="575"/>
      <c r="AG250" s="575"/>
      <c r="AH250" s="842"/>
      <c r="AI250" s="1013">
        <f t="shared" si="12"/>
        <v>0</v>
      </c>
      <c r="AJ250" s="949">
        <v>0</v>
      </c>
      <c r="AK250" s="581">
        <f t="shared" si="13"/>
        <v>0</v>
      </c>
      <c r="AL250" s="750"/>
      <c r="AM250" s="743">
        <f t="shared" si="14"/>
        <v>0</v>
      </c>
    </row>
    <row r="251" spans="1:39" s="560" customFormat="1" ht="13.2" customHeight="1">
      <c r="A251" s="607" t="s">
        <v>750</v>
      </c>
      <c r="B251" s="607" t="s">
        <v>45</v>
      </c>
      <c r="C251" s="690"/>
      <c r="D251" s="580"/>
      <c r="E251" s="581"/>
      <c r="F251" s="778"/>
      <c r="G251" s="581"/>
      <c r="H251" s="581"/>
      <c r="I251" s="949"/>
      <c r="J251" s="949"/>
      <c r="K251" s="825"/>
      <c r="L251" s="575"/>
      <c r="M251" s="809"/>
      <c r="N251" s="575"/>
      <c r="O251" s="575"/>
      <c r="P251" s="575"/>
      <c r="Q251" s="575"/>
      <c r="R251" s="575"/>
      <c r="S251" s="575"/>
      <c r="T251" s="809"/>
      <c r="U251" s="575"/>
      <c r="V251" s="575"/>
      <c r="W251" s="575"/>
      <c r="X251" s="575"/>
      <c r="Y251" s="575"/>
      <c r="Z251" s="575"/>
      <c r="AA251" s="809"/>
      <c r="AB251" s="817"/>
      <c r="AC251" s="575"/>
      <c r="AD251" s="575"/>
      <c r="AE251" s="753"/>
      <c r="AF251" s="575"/>
      <c r="AG251" s="575"/>
      <c r="AH251" s="842"/>
      <c r="AI251" s="1013">
        <f t="shared" si="12"/>
        <v>0</v>
      </c>
      <c r="AJ251" s="949">
        <v>0</v>
      </c>
      <c r="AK251" s="581">
        <f t="shared" si="13"/>
        <v>0</v>
      </c>
      <c r="AL251" s="750" t="s">
        <v>1582</v>
      </c>
      <c r="AM251" s="743">
        <f t="shared" si="14"/>
        <v>441.64</v>
      </c>
    </row>
    <row r="252" spans="1:39" s="560" customFormat="1" ht="13.2" customHeight="1">
      <c r="A252" s="604" t="s">
        <v>751</v>
      </c>
      <c r="B252" s="604" t="s">
        <v>1198</v>
      </c>
      <c r="C252" s="614" t="s">
        <v>39</v>
      </c>
      <c r="D252" s="580"/>
      <c r="E252" s="581"/>
      <c r="F252" s="778"/>
      <c r="G252" s="581"/>
      <c r="H252" s="581"/>
      <c r="I252" s="949"/>
      <c r="J252" s="949"/>
      <c r="K252" s="825"/>
      <c r="L252" s="575"/>
      <c r="M252" s="809"/>
      <c r="N252" s="575"/>
      <c r="O252" s="575"/>
      <c r="P252" s="575"/>
      <c r="Q252" s="575"/>
      <c r="R252" s="575"/>
      <c r="S252" s="575"/>
      <c r="T252" s="809"/>
      <c r="U252" s="575"/>
      <c r="V252" s="575"/>
      <c r="W252" s="575"/>
      <c r="X252" s="575"/>
      <c r="Y252" s="575"/>
      <c r="Z252" s="575"/>
      <c r="AA252" s="809"/>
      <c r="AB252" s="817"/>
      <c r="AC252" s="575"/>
      <c r="AD252" s="575"/>
      <c r="AE252" s="753"/>
      <c r="AF252" s="575"/>
      <c r="AG252" s="575"/>
      <c r="AH252" s="842"/>
      <c r="AI252" s="1013">
        <f t="shared" si="12"/>
        <v>0</v>
      </c>
      <c r="AJ252" s="949">
        <v>0</v>
      </c>
      <c r="AK252" s="581">
        <f t="shared" si="13"/>
        <v>0</v>
      </c>
      <c r="AL252" s="750" t="s">
        <v>1583</v>
      </c>
      <c r="AM252" s="743">
        <f t="shared" si="14"/>
        <v>574.13</v>
      </c>
    </row>
    <row r="253" spans="1:39" s="560" customFormat="1" ht="13.2" customHeight="1">
      <c r="A253" s="604" t="s">
        <v>752</v>
      </c>
      <c r="B253" s="604" t="s">
        <v>1147</v>
      </c>
      <c r="C253" s="614" t="s">
        <v>39</v>
      </c>
      <c r="D253" s="580"/>
      <c r="E253" s="581"/>
      <c r="F253" s="778"/>
      <c r="G253" s="581"/>
      <c r="H253" s="581"/>
      <c r="I253" s="949"/>
      <c r="J253" s="949"/>
      <c r="K253" s="825"/>
      <c r="L253" s="575"/>
      <c r="M253" s="809"/>
      <c r="N253" s="575"/>
      <c r="O253" s="575"/>
      <c r="P253" s="575"/>
      <c r="Q253" s="575"/>
      <c r="R253" s="575"/>
      <c r="S253" s="575"/>
      <c r="T253" s="809"/>
      <c r="U253" s="575"/>
      <c r="V253" s="575"/>
      <c r="W253" s="575"/>
      <c r="X253" s="575"/>
      <c r="Y253" s="575"/>
      <c r="Z253" s="575"/>
      <c r="AA253" s="809"/>
      <c r="AB253" s="817"/>
      <c r="AC253" s="575"/>
      <c r="AD253" s="575"/>
      <c r="AE253" s="753"/>
      <c r="AF253" s="575"/>
      <c r="AG253" s="575"/>
      <c r="AH253" s="842"/>
      <c r="AI253" s="1013">
        <f t="shared" si="12"/>
        <v>0</v>
      </c>
      <c r="AJ253" s="949">
        <v>0</v>
      </c>
      <c r="AK253" s="581">
        <f t="shared" si="13"/>
        <v>0</v>
      </c>
      <c r="AL253" s="750"/>
      <c r="AM253" s="743">
        <f t="shared" si="14"/>
        <v>0</v>
      </c>
    </row>
    <row r="254" spans="1:39" s="560" customFormat="1" ht="13.2" customHeight="1">
      <c r="A254" s="607" t="s">
        <v>753</v>
      </c>
      <c r="B254" s="607" t="s">
        <v>1204</v>
      </c>
      <c r="C254" s="690"/>
      <c r="D254" s="580"/>
      <c r="E254" s="581"/>
      <c r="F254" s="778"/>
      <c r="G254" s="581"/>
      <c r="H254" s="581"/>
      <c r="I254" s="949"/>
      <c r="J254" s="949"/>
      <c r="K254" s="825"/>
      <c r="L254" s="575"/>
      <c r="M254" s="809"/>
      <c r="N254" s="575"/>
      <c r="O254" s="575"/>
      <c r="P254" s="575"/>
      <c r="Q254" s="575"/>
      <c r="R254" s="575"/>
      <c r="S254" s="575"/>
      <c r="T254" s="809"/>
      <c r="U254" s="575"/>
      <c r="V254" s="575"/>
      <c r="W254" s="575"/>
      <c r="X254" s="575"/>
      <c r="Y254" s="575"/>
      <c r="Z254" s="575"/>
      <c r="AA254" s="809"/>
      <c r="AB254" s="817"/>
      <c r="AC254" s="575"/>
      <c r="AD254" s="575"/>
      <c r="AE254" s="753"/>
      <c r="AF254" s="575"/>
      <c r="AG254" s="575"/>
      <c r="AH254" s="842"/>
      <c r="AI254" s="1013">
        <f t="shared" si="12"/>
        <v>0</v>
      </c>
      <c r="AJ254" s="949">
        <v>0</v>
      </c>
      <c r="AK254" s="581">
        <f t="shared" si="13"/>
        <v>0</v>
      </c>
      <c r="AL254" s="750" t="s">
        <v>1584</v>
      </c>
      <c r="AM254" s="743">
        <f t="shared" si="14"/>
        <v>204.01</v>
      </c>
    </row>
    <row r="255" spans="1:39" s="560" customFormat="1" ht="13.2" customHeight="1">
      <c r="A255" s="604" t="s">
        <v>754</v>
      </c>
      <c r="B255" s="604" t="s">
        <v>1205</v>
      </c>
      <c r="C255" s="614" t="s">
        <v>39</v>
      </c>
      <c r="D255" s="580"/>
      <c r="E255" s="581"/>
      <c r="F255" s="778"/>
      <c r="G255" s="581"/>
      <c r="H255" s="581"/>
      <c r="I255" s="949"/>
      <c r="J255" s="949"/>
      <c r="K255" s="825"/>
      <c r="L255" s="575"/>
      <c r="M255" s="809"/>
      <c r="N255" s="575"/>
      <c r="O255" s="575"/>
      <c r="P255" s="575"/>
      <c r="Q255" s="575"/>
      <c r="R255" s="575"/>
      <c r="S255" s="575"/>
      <c r="T255" s="809"/>
      <c r="U255" s="575"/>
      <c r="V255" s="575"/>
      <c r="W255" s="575"/>
      <c r="X255" s="575"/>
      <c r="Y255" s="575"/>
      <c r="Z255" s="575"/>
      <c r="AA255" s="809"/>
      <c r="AB255" s="817"/>
      <c r="AC255" s="575"/>
      <c r="AD255" s="575"/>
      <c r="AE255" s="753"/>
      <c r="AF255" s="575"/>
      <c r="AG255" s="575"/>
      <c r="AH255" s="842"/>
      <c r="AI255" s="1013">
        <f t="shared" si="12"/>
        <v>0</v>
      </c>
      <c r="AJ255" s="949">
        <v>0</v>
      </c>
      <c r="AK255" s="581">
        <f t="shared" si="13"/>
        <v>0</v>
      </c>
      <c r="AL255" s="750" t="s">
        <v>1585</v>
      </c>
      <c r="AM255" s="743">
        <f t="shared" si="14"/>
        <v>550.44000000000005</v>
      </c>
    </row>
    <row r="256" spans="1:39" s="560" customFormat="1" ht="13.2" customHeight="1">
      <c r="A256" s="604" t="s">
        <v>755</v>
      </c>
      <c r="B256" s="604" t="s">
        <v>1206</v>
      </c>
      <c r="C256" s="614" t="s">
        <v>36</v>
      </c>
      <c r="D256" s="580"/>
      <c r="E256" s="581"/>
      <c r="F256" s="778"/>
      <c r="G256" s="581"/>
      <c r="H256" s="581"/>
      <c r="I256" s="949"/>
      <c r="J256" s="949"/>
      <c r="K256" s="825"/>
      <c r="L256" s="575"/>
      <c r="M256" s="809"/>
      <c r="N256" s="575"/>
      <c r="O256" s="575"/>
      <c r="P256" s="575"/>
      <c r="Q256" s="575"/>
      <c r="R256" s="575"/>
      <c r="S256" s="575"/>
      <c r="T256" s="809"/>
      <c r="U256" s="575"/>
      <c r="V256" s="575"/>
      <c r="W256" s="575"/>
      <c r="X256" s="575"/>
      <c r="Y256" s="575"/>
      <c r="Z256" s="575"/>
      <c r="AA256" s="809"/>
      <c r="AB256" s="817"/>
      <c r="AC256" s="575"/>
      <c r="AD256" s="575"/>
      <c r="AE256" s="753"/>
      <c r="AF256" s="575"/>
      <c r="AG256" s="575"/>
      <c r="AH256" s="842"/>
      <c r="AI256" s="1013">
        <f t="shared" si="12"/>
        <v>0</v>
      </c>
      <c r="AJ256" s="949">
        <v>0</v>
      </c>
      <c r="AK256" s="581">
        <f t="shared" si="13"/>
        <v>0</v>
      </c>
      <c r="AL256" s="750" t="s">
        <v>1586</v>
      </c>
      <c r="AM256" s="743">
        <f t="shared" si="14"/>
        <v>15448.74</v>
      </c>
    </row>
    <row r="257" spans="1:39" s="560" customFormat="1" ht="13.2" customHeight="1">
      <c r="A257" s="604" t="s">
        <v>756</v>
      </c>
      <c r="B257" s="604" t="s">
        <v>1207</v>
      </c>
      <c r="C257" s="614" t="s">
        <v>47</v>
      </c>
      <c r="D257" s="580"/>
      <c r="E257" s="581"/>
      <c r="F257" s="778"/>
      <c r="G257" s="581"/>
      <c r="H257" s="581"/>
      <c r="I257" s="949"/>
      <c r="J257" s="949"/>
      <c r="K257" s="825"/>
      <c r="L257" s="575"/>
      <c r="M257" s="809"/>
      <c r="N257" s="575"/>
      <c r="O257" s="575"/>
      <c r="P257" s="575"/>
      <c r="Q257" s="575"/>
      <c r="R257" s="575"/>
      <c r="S257" s="575"/>
      <c r="T257" s="809"/>
      <c r="U257" s="575"/>
      <c r="V257" s="575"/>
      <c r="W257" s="575"/>
      <c r="X257" s="575"/>
      <c r="Y257" s="575"/>
      <c r="Z257" s="575"/>
      <c r="AA257" s="809"/>
      <c r="AB257" s="817"/>
      <c r="AC257" s="575"/>
      <c r="AD257" s="575"/>
      <c r="AE257" s="753"/>
      <c r="AF257" s="575"/>
      <c r="AG257" s="575"/>
      <c r="AH257" s="842"/>
      <c r="AI257" s="1013">
        <f t="shared" si="12"/>
        <v>0</v>
      </c>
      <c r="AJ257" s="949">
        <v>0</v>
      </c>
      <c r="AK257" s="581">
        <f t="shared" si="13"/>
        <v>0</v>
      </c>
      <c r="AL257" s="750"/>
      <c r="AM257" s="743">
        <f t="shared" si="14"/>
        <v>0</v>
      </c>
    </row>
    <row r="258" spans="1:39" s="560" customFormat="1" ht="13.2" customHeight="1">
      <c r="A258" s="607" t="s">
        <v>757</v>
      </c>
      <c r="B258" s="607" t="s">
        <v>1186</v>
      </c>
      <c r="C258" s="690"/>
      <c r="D258" s="580"/>
      <c r="E258" s="581"/>
      <c r="F258" s="778"/>
      <c r="G258" s="581"/>
      <c r="H258" s="581"/>
      <c r="I258" s="949"/>
      <c r="J258" s="949"/>
      <c r="K258" s="825"/>
      <c r="L258" s="575"/>
      <c r="M258" s="809"/>
      <c r="N258" s="575"/>
      <c r="O258" s="575"/>
      <c r="P258" s="575"/>
      <c r="Q258" s="575"/>
      <c r="R258" s="575"/>
      <c r="S258" s="575"/>
      <c r="T258" s="809"/>
      <c r="U258" s="575"/>
      <c r="V258" s="575"/>
      <c r="W258" s="575"/>
      <c r="X258" s="575"/>
      <c r="Y258" s="575"/>
      <c r="Z258" s="575"/>
      <c r="AA258" s="809"/>
      <c r="AB258" s="817"/>
      <c r="AC258" s="575"/>
      <c r="AD258" s="575"/>
      <c r="AE258" s="753"/>
      <c r="AF258" s="575"/>
      <c r="AG258" s="575"/>
      <c r="AH258" s="842"/>
      <c r="AI258" s="1013">
        <f t="shared" si="12"/>
        <v>0</v>
      </c>
      <c r="AJ258" s="949">
        <v>0</v>
      </c>
      <c r="AK258" s="581">
        <f t="shared" si="13"/>
        <v>0</v>
      </c>
      <c r="AL258" s="750" t="s">
        <v>1587</v>
      </c>
      <c r="AM258" s="743">
        <f t="shared" si="14"/>
        <v>111.93</v>
      </c>
    </row>
    <row r="259" spans="1:39" s="560" customFormat="1" ht="13.2" customHeight="1">
      <c r="A259" s="604" t="s">
        <v>758</v>
      </c>
      <c r="B259" s="604" t="s">
        <v>1208</v>
      </c>
      <c r="C259" s="614" t="s">
        <v>37</v>
      </c>
      <c r="D259" s="580"/>
      <c r="E259" s="581"/>
      <c r="F259" s="778"/>
      <c r="G259" s="581"/>
      <c r="H259" s="581"/>
      <c r="I259" s="949"/>
      <c r="J259" s="949"/>
      <c r="K259" s="825"/>
      <c r="L259" s="575"/>
      <c r="M259" s="809"/>
      <c r="N259" s="575"/>
      <c r="O259" s="575"/>
      <c r="P259" s="575"/>
      <c r="Q259" s="575"/>
      <c r="R259" s="575"/>
      <c r="S259" s="575"/>
      <c r="T259" s="809"/>
      <c r="U259" s="575"/>
      <c r="V259" s="575"/>
      <c r="W259" s="575"/>
      <c r="X259" s="575"/>
      <c r="Y259" s="575"/>
      <c r="Z259" s="575"/>
      <c r="AA259" s="809"/>
      <c r="AB259" s="817"/>
      <c r="AC259" s="575"/>
      <c r="AD259" s="575"/>
      <c r="AE259" s="753"/>
      <c r="AF259" s="575"/>
      <c r="AG259" s="575"/>
      <c r="AH259" s="842"/>
      <c r="AI259" s="1013">
        <f t="shared" si="12"/>
        <v>0</v>
      </c>
      <c r="AJ259" s="949">
        <v>0</v>
      </c>
      <c r="AK259" s="581">
        <f t="shared" si="13"/>
        <v>0</v>
      </c>
      <c r="AL259" s="750" t="s">
        <v>1588</v>
      </c>
      <c r="AM259" s="743">
        <f t="shared" si="14"/>
        <v>24</v>
      </c>
    </row>
    <row r="260" spans="1:39" s="560" customFormat="1" ht="13.2" customHeight="1">
      <c r="A260" s="604" t="s">
        <v>759</v>
      </c>
      <c r="B260" s="604" t="s">
        <v>224</v>
      </c>
      <c r="C260" s="614" t="s">
        <v>1436</v>
      </c>
      <c r="D260" s="580"/>
      <c r="E260" s="581"/>
      <c r="F260" s="778"/>
      <c r="G260" s="581"/>
      <c r="H260" s="581"/>
      <c r="I260" s="949"/>
      <c r="J260" s="949"/>
      <c r="K260" s="825"/>
      <c r="L260" s="575"/>
      <c r="M260" s="809"/>
      <c r="N260" s="575"/>
      <c r="O260" s="575"/>
      <c r="P260" s="575"/>
      <c r="Q260" s="575"/>
      <c r="R260" s="575"/>
      <c r="S260" s="575"/>
      <c r="T260" s="809"/>
      <c r="U260" s="575"/>
      <c r="V260" s="575"/>
      <c r="W260" s="575"/>
      <c r="X260" s="575"/>
      <c r="Y260" s="575"/>
      <c r="Z260" s="575"/>
      <c r="AA260" s="809"/>
      <c r="AB260" s="817"/>
      <c r="AC260" s="575"/>
      <c r="AD260" s="575"/>
      <c r="AE260" s="753"/>
      <c r="AF260" s="575"/>
      <c r="AG260" s="575"/>
      <c r="AH260" s="842"/>
      <c r="AI260" s="1013">
        <f t="shared" si="12"/>
        <v>0</v>
      </c>
      <c r="AJ260" s="949">
        <v>0</v>
      </c>
      <c r="AK260" s="581">
        <f t="shared" si="13"/>
        <v>0</v>
      </c>
      <c r="AL260" s="750"/>
      <c r="AM260" s="743">
        <f t="shared" si="14"/>
        <v>0</v>
      </c>
    </row>
    <row r="261" spans="1:39" s="560" customFormat="1" ht="13.2" customHeight="1">
      <c r="A261" s="492" t="s">
        <v>760</v>
      </c>
      <c r="B261" s="608" t="s">
        <v>1209</v>
      </c>
      <c r="C261" s="690"/>
      <c r="D261" s="580"/>
      <c r="E261" s="581"/>
      <c r="F261" s="778"/>
      <c r="G261" s="581"/>
      <c r="H261" s="581"/>
      <c r="I261" s="949"/>
      <c r="J261" s="949"/>
      <c r="K261" s="825"/>
      <c r="L261" s="575"/>
      <c r="M261" s="809"/>
      <c r="N261" s="575"/>
      <c r="O261" s="575"/>
      <c r="P261" s="575"/>
      <c r="Q261" s="575"/>
      <c r="R261" s="575"/>
      <c r="S261" s="575"/>
      <c r="T261" s="809"/>
      <c r="U261" s="575"/>
      <c r="V261" s="575"/>
      <c r="W261" s="575"/>
      <c r="X261" s="575"/>
      <c r="Y261" s="575"/>
      <c r="Z261" s="575"/>
      <c r="AA261" s="809"/>
      <c r="AB261" s="817"/>
      <c r="AC261" s="575"/>
      <c r="AD261" s="575"/>
      <c r="AE261" s="753"/>
      <c r="AF261" s="575"/>
      <c r="AG261" s="575"/>
      <c r="AH261" s="842"/>
      <c r="AI261" s="1013">
        <f t="shared" si="12"/>
        <v>0</v>
      </c>
      <c r="AJ261" s="949">
        <v>0</v>
      </c>
      <c r="AK261" s="581">
        <f t="shared" si="13"/>
        <v>0</v>
      </c>
      <c r="AL261" s="750"/>
      <c r="AM261" s="743">
        <f t="shared" si="14"/>
        <v>0</v>
      </c>
    </row>
    <row r="262" spans="1:39" s="560" customFormat="1" ht="13.2" customHeight="1">
      <c r="A262" s="607" t="s">
        <v>761</v>
      </c>
      <c r="B262" s="607" t="s">
        <v>45</v>
      </c>
      <c r="C262" s="690"/>
      <c r="D262" s="580"/>
      <c r="E262" s="581"/>
      <c r="F262" s="778"/>
      <c r="G262" s="581"/>
      <c r="H262" s="581"/>
      <c r="I262" s="949"/>
      <c r="J262" s="949"/>
      <c r="K262" s="825"/>
      <c r="L262" s="575"/>
      <c r="M262" s="809"/>
      <c r="N262" s="575"/>
      <c r="O262" s="575"/>
      <c r="P262" s="575"/>
      <c r="Q262" s="575"/>
      <c r="R262" s="575"/>
      <c r="S262" s="575"/>
      <c r="T262" s="809"/>
      <c r="U262" s="575"/>
      <c r="V262" s="575"/>
      <c r="W262" s="575"/>
      <c r="X262" s="575"/>
      <c r="Y262" s="575"/>
      <c r="Z262" s="575"/>
      <c r="AA262" s="809"/>
      <c r="AB262" s="817"/>
      <c r="AC262" s="575"/>
      <c r="AD262" s="575"/>
      <c r="AE262" s="753"/>
      <c r="AF262" s="575"/>
      <c r="AG262" s="575"/>
      <c r="AH262" s="842"/>
      <c r="AI262" s="1013">
        <f t="shared" si="12"/>
        <v>0</v>
      </c>
      <c r="AJ262" s="949">
        <v>0</v>
      </c>
      <c r="AK262" s="581">
        <f t="shared" si="13"/>
        <v>0</v>
      </c>
      <c r="AL262" s="750" t="s">
        <v>1589</v>
      </c>
      <c r="AM262" s="743">
        <f t="shared" si="14"/>
        <v>95.88</v>
      </c>
    </row>
    <row r="263" spans="1:39" s="560" customFormat="1" ht="13.2" customHeight="1">
      <c r="A263" s="604" t="s">
        <v>762</v>
      </c>
      <c r="B263" s="604" t="s">
        <v>1198</v>
      </c>
      <c r="C263" s="614" t="s">
        <v>39</v>
      </c>
      <c r="D263" s="580"/>
      <c r="E263" s="581"/>
      <c r="F263" s="778"/>
      <c r="G263" s="581"/>
      <c r="H263" s="581"/>
      <c r="I263" s="949"/>
      <c r="J263" s="949"/>
      <c r="K263" s="825"/>
      <c r="L263" s="575"/>
      <c r="M263" s="809"/>
      <c r="N263" s="575"/>
      <c r="O263" s="575"/>
      <c r="P263" s="575"/>
      <c r="Q263" s="575"/>
      <c r="R263" s="575"/>
      <c r="S263" s="575"/>
      <c r="T263" s="809"/>
      <c r="U263" s="575"/>
      <c r="V263" s="575"/>
      <c r="W263" s="575"/>
      <c r="X263" s="575"/>
      <c r="Y263" s="575"/>
      <c r="Z263" s="575"/>
      <c r="AA263" s="809"/>
      <c r="AB263" s="817"/>
      <c r="AC263" s="575"/>
      <c r="AD263" s="575"/>
      <c r="AE263" s="753"/>
      <c r="AF263" s="575"/>
      <c r="AG263" s="575"/>
      <c r="AH263" s="842"/>
      <c r="AI263" s="1013">
        <f t="shared" si="12"/>
        <v>0</v>
      </c>
      <c r="AJ263" s="949">
        <v>0</v>
      </c>
      <c r="AK263" s="581">
        <f t="shared" si="13"/>
        <v>0</v>
      </c>
      <c r="AL263" s="750" t="s">
        <v>1590</v>
      </c>
      <c r="AM263" s="743">
        <f t="shared" si="14"/>
        <v>124.65</v>
      </c>
    </row>
    <row r="264" spans="1:39" s="560" customFormat="1" ht="13.2" customHeight="1">
      <c r="A264" s="604" t="s">
        <v>763</v>
      </c>
      <c r="B264" s="604" t="s">
        <v>1147</v>
      </c>
      <c r="C264" s="614" t="s">
        <v>39</v>
      </c>
      <c r="D264" s="580"/>
      <c r="E264" s="581"/>
      <c r="F264" s="778"/>
      <c r="G264" s="581"/>
      <c r="H264" s="581"/>
      <c r="I264" s="949"/>
      <c r="J264" s="949"/>
      <c r="K264" s="825"/>
      <c r="L264" s="575"/>
      <c r="M264" s="809"/>
      <c r="N264" s="575"/>
      <c r="O264" s="575"/>
      <c r="P264" s="575"/>
      <c r="Q264" s="575"/>
      <c r="R264" s="575"/>
      <c r="S264" s="575"/>
      <c r="T264" s="809"/>
      <c r="U264" s="575"/>
      <c r="V264" s="575"/>
      <c r="W264" s="575"/>
      <c r="X264" s="575"/>
      <c r="Y264" s="575"/>
      <c r="Z264" s="575"/>
      <c r="AA264" s="809"/>
      <c r="AB264" s="817"/>
      <c r="AC264" s="575"/>
      <c r="AD264" s="575"/>
      <c r="AE264" s="753"/>
      <c r="AF264" s="575"/>
      <c r="AG264" s="575"/>
      <c r="AH264" s="842"/>
      <c r="AI264" s="1013">
        <f t="shared" si="12"/>
        <v>0</v>
      </c>
      <c r="AJ264" s="949">
        <v>0</v>
      </c>
      <c r="AK264" s="581">
        <f t="shared" si="13"/>
        <v>0</v>
      </c>
      <c r="AL264" s="750"/>
      <c r="AM264" s="743">
        <f t="shared" si="14"/>
        <v>0</v>
      </c>
    </row>
    <row r="265" spans="1:39" s="560" customFormat="1" ht="13.2" customHeight="1">
      <c r="A265" s="607" t="s">
        <v>764</v>
      </c>
      <c r="B265" s="607" t="s">
        <v>1148</v>
      </c>
      <c r="C265" s="690"/>
      <c r="D265" s="580"/>
      <c r="E265" s="581"/>
      <c r="F265" s="778"/>
      <c r="G265" s="581"/>
      <c r="H265" s="581"/>
      <c r="I265" s="949"/>
      <c r="J265" s="949"/>
      <c r="K265" s="825"/>
      <c r="L265" s="575"/>
      <c r="M265" s="809"/>
      <c r="N265" s="575"/>
      <c r="O265" s="575"/>
      <c r="P265" s="575"/>
      <c r="Q265" s="575"/>
      <c r="R265" s="575"/>
      <c r="S265" s="575"/>
      <c r="T265" s="809"/>
      <c r="U265" s="575"/>
      <c r="V265" s="575"/>
      <c r="W265" s="575"/>
      <c r="X265" s="575"/>
      <c r="Y265" s="575"/>
      <c r="Z265" s="575"/>
      <c r="AA265" s="809"/>
      <c r="AB265" s="817"/>
      <c r="AC265" s="575"/>
      <c r="AD265" s="575"/>
      <c r="AE265" s="753"/>
      <c r="AF265" s="575"/>
      <c r="AG265" s="575"/>
      <c r="AH265" s="842"/>
      <c r="AI265" s="1013">
        <f t="shared" si="12"/>
        <v>0</v>
      </c>
      <c r="AJ265" s="949">
        <v>0</v>
      </c>
      <c r="AK265" s="581">
        <f t="shared" si="13"/>
        <v>0</v>
      </c>
      <c r="AL265" s="750" t="s">
        <v>1591</v>
      </c>
      <c r="AM265" s="743">
        <f t="shared" si="14"/>
        <v>81.67</v>
      </c>
    </row>
    <row r="266" spans="1:39" s="560" customFormat="1" ht="13.2" customHeight="1">
      <c r="A266" s="604" t="s">
        <v>765</v>
      </c>
      <c r="B266" s="604" t="s">
        <v>1190</v>
      </c>
      <c r="C266" s="614" t="s">
        <v>39</v>
      </c>
      <c r="D266" s="580"/>
      <c r="E266" s="581"/>
      <c r="F266" s="778"/>
      <c r="G266" s="581"/>
      <c r="H266" s="581"/>
      <c r="I266" s="949"/>
      <c r="J266" s="949"/>
      <c r="K266" s="825"/>
      <c r="L266" s="575"/>
      <c r="M266" s="809"/>
      <c r="N266" s="575"/>
      <c r="O266" s="575"/>
      <c r="P266" s="575"/>
      <c r="Q266" s="575"/>
      <c r="R266" s="575"/>
      <c r="S266" s="575"/>
      <c r="T266" s="809"/>
      <c r="U266" s="575"/>
      <c r="V266" s="575"/>
      <c r="W266" s="575"/>
      <c r="X266" s="575"/>
      <c r="Y266" s="575"/>
      <c r="Z266" s="575"/>
      <c r="AA266" s="809"/>
      <c r="AB266" s="817"/>
      <c r="AC266" s="575"/>
      <c r="AD266" s="575"/>
      <c r="AE266" s="753"/>
      <c r="AF266" s="575"/>
      <c r="AG266" s="575"/>
      <c r="AH266" s="842"/>
      <c r="AI266" s="1013">
        <f t="shared" si="12"/>
        <v>0</v>
      </c>
      <c r="AJ266" s="949">
        <v>0</v>
      </c>
      <c r="AK266" s="581">
        <f t="shared" si="13"/>
        <v>0</v>
      </c>
      <c r="AL266" s="750" t="s">
        <v>1592</v>
      </c>
      <c r="AM266" s="743">
        <f t="shared" si="14"/>
        <v>221.37</v>
      </c>
    </row>
    <row r="267" spans="1:39" s="560" customFormat="1" ht="13.2" customHeight="1">
      <c r="A267" s="604" t="s">
        <v>766</v>
      </c>
      <c r="B267" s="604" t="s">
        <v>1210</v>
      </c>
      <c r="C267" s="614" t="s">
        <v>36</v>
      </c>
      <c r="D267" s="580"/>
      <c r="E267" s="581"/>
      <c r="F267" s="778"/>
      <c r="G267" s="581"/>
      <c r="H267" s="581"/>
      <c r="I267" s="949"/>
      <c r="J267" s="949"/>
      <c r="K267" s="825"/>
      <c r="L267" s="575"/>
      <c r="M267" s="809"/>
      <c r="N267" s="575"/>
      <c r="O267" s="575"/>
      <c r="P267" s="575"/>
      <c r="Q267" s="575"/>
      <c r="R267" s="575"/>
      <c r="S267" s="575"/>
      <c r="T267" s="809"/>
      <c r="U267" s="575"/>
      <c r="V267" s="575"/>
      <c r="W267" s="575"/>
      <c r="X267" s="575"/>
      <c r="Y267" s="575"/>
      <c r="Z267" s="575"/>
      <c r="AA267" s="809"/>
      <c r="AB267" s="817"/>
      <c r="AC267" s="575"/>
      <c r="AD267" s="575"/>
      <c r="AE267" s="753"/>
      <c r="AF267" s="575"/>
      <c r="AG267" s="575"/>
      <c r="AH267" s="842"/>
      <c r="AI267" s="1013">
        <f t="shared" si="12"/>
        <v>0</v>
      </c>
      <c r="AJ267" s="949">
        <v>0</v>
      </c>
      <c r="AK267" s="581">
        <f t="shared" si="13"/>
        <v>0</v>
      </c>
      <c r="AL267" s="750"/>
      <c r="AM267" s="743">
        <f t="shared" si="14"/>
        <v>0</v>
      </c>
    </row>
    <row r="268" spans="1:39" s="560" customFormat="1" ht="13.2" customHeight="1">
      <c r="A268" s="492" t="s">
        <v>767</v>
      </c>
      <c r="B268" s="608" t="s">
        <v>1211</v>
      </c>
      <c r="C268" s="690"/>
      <c r="D268" s="580"/>
      <c r="E268" s="581"/>
      <c r="F268" s="778"/>
      <c r="G268" s="581"/>
      <c r="H268" s="581"/>
      <c r="I268" s="949"/>
      <c r="J268" s="949"/>
      <c r="K268" s="825"/>
      <c r="L268" s="575"/>
      <c r="M268" s="809"/>
      <c r="N268" s="575"/>
      <c r="O268" s="575"/>
      <c r="P268" s="575"/>
      <c r="Q268" s="575"/>
      <c r="R268" s="575"/>
      <c r="S268" s="575"/>
      <c r="T268" s="809"/>
      <c r="U268" s="575"/>
      <c r="V268" s="575"/>
      <c r="W268" s="575"/>
      <c r="X268" s="575"/>
      <c r="Y268" s="575"/>
      <c r="Z268" s="575"/>
      <c r="AA268" s="809"/>
      <c r="AB268" s="817"/>
      <c r="AC268" s="575"/>
      <c r="AD268" s="575"/>
      <c r="AE268" s="753"/>
      <c r="AF268" s="575"/>
      <c r="AG268" s="575"/>
      <c r="AH268" s="842"/>
      <c r="AI268" s="1013">
        <f t="shared" ref="AI268:AI331" si="15">ROUND((SUM(D268:AH268)),2)</f>
        <v>0</v>
      </c>
      <c r="AJ268" s="949">
        <v>0</v>
      </c>
      <c r="AK268" s="581">
        <f t="shared" si="13"/>
        <v>0</v>
      </c>
      <c r="AL268" s="750"/>
      <c r="AM268" s="743">
        <f t="shared" si="14"/>
        <v>0</v>
      </c>
    </row>
    <row r="269" spans="1:39" s="560" customFormat="1" ht="13.2" customHeight="1">
      <c r="A269" s="607" t="s">
        <v>768</v>
      </c>
      <c r="B269" s="607" t="s">
        <v>45</v>
      </c>
      <c r="C269" s="690"/>
      <c r="D269" s="580"/>
      <c r="E269" s="581"/>
      <c r="F269" s="778"/>
      <c r="G269" s="581"/>
      <c r="H269" s="581"/>
      <c r="I269" s="949"/>
      <c r="J269" s="949"/>
      <c r="K269" s="825"/>
      <c r="L269" s="575"/>
      <c r="M269" s="809"/>
      <c r="N269" s="575"/>
      <c r="O269" s="575"/>
      <c r="P269" s="575"/>
      <c r="Q269" s="575"/>
      <c r="R269" s="575"/>
      <c r="S269" s="575"/>
      <c r="T269" s="809"/>
      <c r="U269" s="575"/>
      <c r="V269" s="575"/>
      <c r="W269" s="575"/>
      <c r="X269" s="575"/>
      <c r="Y269" s="575"/>
      <c r="Z269" s="575"/>
      <c r="AA269" s="809"/>
      <c r="AB269" s="817"/>
      <c r="AC269" s="575"/>
      <c r="AD269" s="575"/>
      <c r="AE269" s="753"/>
      <c r="AF269" s="575"/>
      <c r="AG269" s="575"/>
      <c r="AH269" s="842"/>
      <c r="AI269" s="1013">
        <f t="shared" si="15"/>
        <v>0</v>
      </c>
      <c r="AJ269" s="949">
        <v>0</v>
      </c>
      <c r="AK269" s="581">
        <f t="shared" si="13"/>
        <v>0</v>
      </c>
      <c r="AL269" s="750" t="s">
        <v>1593</v>
      </c>
      <c r="AM269" s="743">
        <f t="shared" si="14"/>
        <v>2.81</v>
      </c>
    </row>
    <row r="270" spans="1:39" s="560" customFormat="1" ht="13.2" customHeight="1">
      <c r="A270" s="604" t="s">
        <v>769</v>
      </c>
      <c r="B270" s="604" t="s">
        <v>1212</v>
      </c>
      <c r="C270" s="614" t="s">
        <v>39</v>
      </c>
      <c r="D270" s="580"/>
      <c r="E270" s="581"/>
      <c r="F270" s="778"/>
      <c r="G270" s="581"/>
      <c r="H270" s="581"/>
      <c r="I270" s="949"/>
      <c r="J270" s="949"/>
      <c r="K270" s="825"/>
      <c r="L270" s="575"/>
      <c r="M270" s="809"/>
      <c r="N270" s="575"/>
      <c r="O270" s="575"/>
      <c r="P270" s="575"/>
      <c r="Q270" s="575"/>
      <c r="R270" s="575"/>
      <c r="S270" s="575"/>
      <c r="T270" s="809"/>
      <c r="U270" s="575"/>
      <c r="V270" s="575"/>
      <c r="W270" s="575"/>
      <c r="X270" s="575"/>
      <c r="Y270" s="575"/>
      <c r="Z270" s="575"/>
      <c r="AA270" s="809"/>
      <c r="AB270" s="817"/>
      <c r="AC270" s="575"/>
      <c r="AD270" s="575"/>
      <c r="AE270" s="753"/>
      <c r="AF270" s="575"/>
      <c r="AG270" s="575"/>
      <c r="AH270" s="842"/>
      <c r="AI270" s="1013">
        <f t="shared" si="15"/>
        <v>0</v>
      </c>
      <c r="AJ270" s="949">
        <v>0</v>
      </c>
      <c r="AK270" s="581">
        <f t="shared" si="13"/>
        <v>0</v>
      </c>
      <c r="AL270" s="750" t="s">
        <v>1594</v>
      </c>
      <c r="AM270" s="743">
        <f t="shared" si="14"/>
        <v>60</v>
      </c>
    </row>
    <row r="271" spans="1:39" s="560" customFormat="1" ht="13.2" customHeight="1">
      <c r="A271" s="604" t="s">
        <v>770</v>
      </c>
      <c r="B271" s="604" t="s">
        <v>268</v>
      </c>
      <c r="C271" s="614" t="s">
        <v>36</v>
      </c>
      <c r="D271" s="580"/>
      <c r="E271" s="581"/>
      <c r="F271" s="778"/>
      <c r="G271" s="581"/>
      <c r="H271" s="581"/>
      <c r="I271" s="949"/>
      <c r="J271" s="949"/>
      <c r="K271" s="825"/>
      <c r="L271" s="575"/>
      <c r="M271" s="809"/>
      <c r="N271" s="575"/>
      <c r="O271" s="575"/>
      <c r="P271" s="575"/>
      <c r="Q271" s="575"/>
      <c r="R271" s="575"/>
      <c r="S271" s="575"/>
      <c r="T271" s="809"/>
      <c r="U271" s="575"/>
      <c r="V271" s="575"/>
      <c r="W271" s="575"/>
      <c r="X271" s="575"/>
      <c r="Y271" s="575"/>
      <c r="Z271" s="575"/>
      <c r="AA271" s="809"/>
      <c r="AB271" s="817"/>
      <c r="AC271" s="575"/>
      <c r="AD271" s="575"/>
      <c r="AE271" s="753"/>
      <c r="AF271" s="575"/>
      <c r="AG271" s="575"/>
      <c r="AH271" s="842"/>
      <c r="AI271" s="1013">
        <f t="shared" si="15"/>
        <v>0</v>
      </c>
      <c r="AJ271" s="949">
        <v>0</v>
      </c>
      <c r="AK271" s="581">
        <f t="shared" si="13"/>
        <v>0</v>
      </c>
      <c r="AL271" s="750" t="s">
        <v>1595</v>
      </c>
      <c r="AM271" s="743">
        <f t="shared" si="14"/>
        <v>3.51</v>
      </c>
    </row>
    <row r="272" spans="1:39" s="560" customFormat="1" ht="13.2" customHeight="1">
      <c r="A272" s="604" t="s">
        <v>771</v>
      </c>
      <c r="B272" s="604" t="s">
        <v>1147</v>
      </c>
      <c r="C272" s="614" t="s">
        <v>39</v>
      </c>
      <c r="D272" s="580"/>
      <c r="E272" s="581"/>
      <c r="F272" s="778"/>
      <c r="G272" s="581"/>
      <c r="H272" s="581"/>
      <c r="I272" s="949"/>
      <c r="J272" s="949"/>
      <c r="K272" s="825"/>
      <c r="L272" s="575"/>
      <c r="M272" s="809"/>
      <c r="N272" s="575"/>
      <c r="O272" s="575"/>
      <c r="P272" s="575"/>
      <c r="Q272" s="575"/>
      <c r="R272" s="575"/>
      <c r="S272" s="575"/>
      <c r="T272" s="809"/>
      <c r="U272" s="575"/>
      <c r="V272" s="575"/>
      <c r="W272" s="575"/>
      <c r="X272" s="575"/>
      <c r="Y272" s="575"/>
      <c r="Z272" s="575"/>
      <c r="AA272" s="809"/>
      <c r="AB272" s="817"/>
      <c r="AC272" s="575"/>
      <c r="AD272" s="575"/>
      <c r="AE272" s="753"/>
      <c r="AF272" s="575"/>
      <c r="AG272" s="575"/>
      <c r="AH272" s="842"/>
      <c r="AI272" s="1013">
        <f t="shared" si="15"/>
        <v>0</v>
      </c>
      <c r="AJ272" s="949">
        <v>0</v>
      </c>
      <c r="AK272" s="581">
        <f t="shared" si="13"/>
        <v>0</v>
      </c>
      <c r="AL272" s="750"/>
      <c r="AM272" s="743">
        <f t="shared" si="14"/>
        <v>0</v>
      </c>
    </row>
    <row r="273" spans="1:39" s="560" customFormat="1" ht="13.2" customHeight="1">
      <c r="A273" s="607" t="s">
        <v>772</v>
      </c>
      <c r="B273" s="607" t="s">
        <v>1148</v>
      </c>
      <c r="C273" s="690"/>
      <c r="D273" s="580"/>
      <c r="E273" s="581"/>
      <c r="F273" s="778"/>
      <c r="G273" s="581"/>
      <c r="H273" s="581"/>
      <c r="I273" s="949"/>
      <c r="J273" s="949"/>
      <c r="K273" s="825"/>
      <c r="L273" s="575"/>
      <c r="M273" s="809"/>
      <c r="N273" s="575"/>
      <c r="O273" s="575"/>
      <c r="P273" s="575"/>
      <c r="Q273" s="575"/>
      <c r="R273" s="575"/>
      <c r="S273" s="575"/>
      <c r="T273" s="809"/>
      <c r="U273" s="575"/>
      <c r="V273" s="575"/>
      <c r="W273" s="575"/>
      <c r="X273" s="575"/>
      <c r="Y273" s="575"/>
      <c r="Z273" s="575"/>
      <c r="AA273" s="809"/>
      <c r="AB273" s="817"/>
      <c r="AC273" s="575"/>
      <c r="AD273" s="575"/>
      <c r="AE273" s="753"/>
      <c r="AF273" s="575"/>
      <c r="AG273" s="575"/>
      <c r="AH273" s="842"/>
      <c r="AI273" s="1013">
        <f t="shared" si="15"/>
        <v>0</v>
      </c>
      <c r="AJ273" s="949">
        <v>0</v>
      </c>
      <c r="AK273" s="581">
        <f t="shared" si="13"/>
        <v>0</v>
      </c>
      <c r="AL273" s="750" t="s">
        <v>1596</v>
      </c>
      <c r="AM273" s="743">
        <f t="shared" si="14"/>
        <v>2.16</v>
      </c>
    </row>
    <row r="274" spans="1:39" s="560" customFormat="1" ht="13.2" customHeight="1">
      <c r="A274" s="604" t="s">
        <v>773</v>
      </c>
      <c r="B274" s="604" t="s">
        <v>1189</v>
      </c>
      <c r="C274" s="614" t="s">
        <v>36</v>
      </c>
      <c r="D274" s="580"/>
      <c r="E274" s="581"/>
      <c r="F274" s="778"/>
      <c r="G274" s="581"/>
      <c r="H274" s="581"/>
      <c r="I274" s="949"/>
      <c r="J274" s="949"/>
      <c r="K274" s="825"/>
      <c r="L274" s="575"/>
      <c r="M274" s="809"/>
      <c r="N274" s="575"/>
      <c r="O274" s="575"/>
      <c r="P274" s="575"/>
      <c r="Q274" s="575"/>
      <c r="R274" s="575"/>
      <c r="S274" s="575"/>
      <c r="T274" s="809"/>
      <c r="U274" s="575"/>
      <c r="V274" s="575"/>
      <c r="W274" s="575"/>
      <c r="X274" s="575"/>
      <c r="Y274" s="575"/>
      <c r="Z274" s="575"/>
      <c r="AA274" s="809"/>
      <c r="AB274" s="817"/>
      <c r="AC274" s="575"/>
      <c r="AD274" s="575"/>
      <c r="AE274" s="753"/>
      <c r="AF274" s="575"/>
      <c r="AG274" s="575"/>
      <c r="AH274" s="842"/>
      <c r="AI274" s="1013">
        <f t="shared" si="15"/>
        <v>0</v>
      </c>
      <c r="AJ274" s="949">
        <v>0</v>
      </c>
      <c r="AK274" s="581">
        <f t="shared" si="13"/>
        <v>0</v>
      </c>
      <c r="AL274" s="750" t="s">
        <v>1594</v>
      </c>
      <c r="AM274" s="743">
        <f t="shared" si="14"/>
        <v>60</v>
      </c>
    </row>
    <row r="275" spans="1:39" s="560" customFormat="1" ht="13.2" customHeight="1">
      <c r="A275" s="604" t="s">
        <v>774</v>
      </c>
      <c r="B275" s="604" t="s">
        <v>1213</v>
      </c>
      <c r="C275" s="614" t="s">
        <v>36</v>
      </c>
      <c r="D275" s="580"/>
      <c r="E275" s="581"/>
      <c r="F275" s="778"/>
      <c r="G275" s="581"/>
      <c r="H275" s="581"/>
      <c r="I275" s="949"/>
      <c r="J275" s="949"/>
      <c r="K275" s="825"/>
      <c r="L275" s="575"/>
      <c r="M275" s="809"/>
      <c r="N275" s="575"/>
      <c r="O275" s="575"/>
      <c r="P275" s="575"/>
      <c r="Q275" s="575"/>
      <c r="R275" s="575"/>
      <c r="S275" s="575"/>
      <c r="T275" s="809"/>
      <c r="U275" s="575"/>
      <c r="V275" s="575"/>
      <c r="W275" s="575"/>
      <c r="X275" s="575"/>
      <c r="Y275" s="575"/>
      <c r="Z275" s="575"/>
      <c r="AA275" s="809"/>
      <c r="AB275" s="817"/>
      <c r="AC275" s="575"/>
      <c r="AD275" s="575"/>
      <c r="AE275" s="753"/>
      <c r="AF275" s="575"/>
      <c r="AG275" s="575"/>
      <c r="AH275" s="842"/>
      <c r="AI275" s="1013">
        <f t="shared" si="15"/>
        <v>0</v>
      </c>
      <c r="AJ275" s="949">
        <v>0</v>
      </c>
      <c r="AK275" s="581">
        <f t="shared" si="13"/>
        <v>0</v>
      </c>
      <c r="AL275" s="750"/>
      <c r="AM275" s="743">
        <f t="shared" si="14"/>
        <v>0</v>
      </c>
    </row>
    <row r="276" spans="1:39" s="560" customFormat="1" ht="13.2" customHeight="1">
      <c r="A276" s="607" t="s">
        <v>775</v>
      </c>
      <c r="B276" s="607" t="s">
        <v>1155</v>
      </c>
      <c r="C276" s="690"/>
      <c r="D276" s="580"/>
      <c r="E276" s="581"/>
      <c r="F276" s="778"/>
      <c r="G276" s="581"/>
      <c r="H276" s="581"/>
      <c r="I276" s="949"/>
      <c r="J276" s="949"/>
      <c r="K276" s="825"/>
      <c r="L276" s="575"/>
      <c r="M276" s="809"/>
      <c r="N276" s="575"/>
      <c r="O276" s="575"/>
      <c r="P276" s="575"/>
      <c r="Q276" s="575"/>
      <c r="R276" s="575"/>
      <c r="S276" s="575"/>
      <c r="T276" s="809"/>
      <c r="U276" s="575"/>
      <c r="V276" s="575"/>
      <c r="W276" s="575"/>
      <c r="X276" s="575"/>
      <c r="Y276" s="575"/>
      <c r="Z276" s="575"/>
      <c r="AA276" s="809"/>
      <c r="AB276" s="817"/>
      <c r="AC276" s="575"/>
      <c r="AD276" s="575"/>
      <c r="AE276" s="753"/>
      <c r="AF276" s="575"/>
      <c r="AG276" s="575"/>
      <c r="AH276" s="842"/>
      <c r="AI276" s="1013">
        <f t="shared" si="15"/>
        <v>0</v>
      </c>
      <c r="AJ276" s="949">
        <v>0</v>
      </c>
      <c r="AK276" s="581">
        <f t="shared" ref="AK276:AK339" si="16">AI276+AJ276</f>
        <v>0</v>
      </c>
      <c r="AL276" s="750"/>
      <c r="AM276" s="743">
        <f t="shared" ref="AM276:AM339" si="17">AL276-AK276</f>
        <v>0</v>
      </c>
    </row>
    <row r="277" spans="1:39" s="560" customFormat="1" ht="13.2" customHeight="1">
      <c r="A277" s="604" t="s">
        <v>776</v>
      </c>
      <c r="B277" s="604" t="s">
        <v>1156</v>
      </c>
      <c r="C277" s="690"/>
      <c r="D277" s="580"/>
      <c r="E277" s="581"/>
      <c r="F277" s="778"/>
      <c r="G277" s="581"/>
      <c r="H277" s="581"/>
      <c r="I277" s="949"/>
      <c r="J277" s="949"/>
      <c r="K277" s="825"/>
      <c r="L277" s="575"/>
      <c r="M277" s="809"/>
      <c r="N277" s="575"/>
      <c r="O277" s="575"/>
      <c r="P277" s="575"/>
      <c r="Q277" s="575"/>
      <c r="R277" s="575"/>
      <c r="S277" s="575"/>
      <c r="T277" s="809"/>
      <c r="U277" s="575"/>
      <c r="V277" s="575"/>
      <c r="W277" s="575"/>
      <c r="X277" s="575"/>
      <c r="Y277" s="575"/>
      <c r="Z277" s="575"/>
      <c r="AA277" s="809"/>
      <c r="AB277" s="817"/>
      <c r="AC277" s="575"/>
      <c r="AD277" s="575"/>
      <c r="AE277" s="753"/>
      <c r="AF277" s="575"/>
      <c r="AG277" s="575"/>
      <c r="AH277" s="842"/>
      <c r="AI277" s="1013">
        <f t="shared" si="15"/>
        <v>0</v>
      </c>
      <c r="AJ277" s="949">
        <v>0</v>
      </c>
      <c r="AK277" s="581">
        <f t="shared" si="16"/>
        <v>0</v>
      </c>
      <c r="AL277" s="750" t="s">
        <v>1597</v>
      </c>
      <c r="AM277" s="743">
        <f t="shared" si="17"/>
        <v>2.52</v>
      </c>
    </row>
    <row r="278" spans="1:39" s="560" customFormat="1" ht="13.2" customHeight="1">
      <c r="A278" s="604" t="s">
        <v>777</v>
      </c>
      <c r="B278" s="604" t="s">
        <v>1192</v>
      </c>
      <c r="C278" s="614" t="s">
        <v>39</v>
      </c>
      <c r="D278" s="580"/>
      <c r="E278" s="581"/>
      <c r="F278" s="778"/>
      <c r="G278" s="581"/>
      <c r="H278" s="581"/>
      <c r="I278" s="949"/>
      <c r="J278" s="949"/>
      <c r="K278" s="825"/>
      <c r="L278" s="575"/>
      <c r="M278" s="809"/>
      <c r="N278" s="575"/>
      <c r="O278" s="575"/>
      <c r="P278" s="575"/>
      <c r="Q278" s="575"/>
      <c r="R278" s="575"/>
      <c r="S278" s="575"/>
      <c r="T278" s="809"/>
      <c r="U278" s="575"/>
      <c r="V278" s="575"/>
      <c r="W278" s="575"/>
      <c r="X278" s="575"/>
      <c r="Y278" s="575"/>
      <c r="Z278" s="575"/>
      <c r="AA278" s="809"/>
      <c r="AB278" s="817"/>
      <c r="AC278" s="575"/>
      <c r="AD278" s="575"/>
      <c r="AE278" s="753"/>
      <c r="AF278" s="575"/>
      <c r="AG278" s="575"/>
      <c r="AH278" s="842"/>
      <c r="AI278" s="1013">
        <f t="shared" si="15"/>
        <v>0</v>
      </c>
      <c r="AJ278" s="949">
        <v>0</v>
      </c>
      <c r="AK278" s="581">
        <f t="shared" si="16"/>
        <v>0</v>
      </c>
      <c r="AL278" s="750" t="s">
        <v>1598</v>
      </c>
      <c r="AM278" s="743">
        <f t="shared" si="17"/>
        <v>186.08</v>
      </c>
    </row>
    <row r="279" spans="1:39" s="560" customFormat="1" ht="13.2" customHeight="1">
      <c r="A279" s="604" t="s">
        <v>778</v>
      </c>
      <c r="B279" s="604" t="s">
        <v>1158</v>
      </c>
      <c r="C279" s="614" t="s">
        <v>47</v>
      </c>
      <c r="D279" s="580"/>
      <c r="E279" s="581"/>
      <c r="F279" s="778"/>
      <c r="G279" s="581"/>
      <c r="H279" s="581"/>
      <c r="I279" s="949"/>
      <c r="J279" s="949"/>
      <c r="K279" s="825"/>
      <c r="L279" s="575"/>
      <c r="M279" s="809"/>
      <c r="N279" s="575"/>
      <c r="O279" s="575"/>
      <c r="P279" s="575"/>
      <c r="Q279" s="575"/>
      <c r="R279" s="575"/>
      <c r="S279" s="575"/>
      <c r="T279" s="809"/>
      <c r="U279" s="575"/>
      <c r="V279" s="575"/>
      <c r="W279" s="575"/>
      <c r="X279" s="575"/>
      <c r="Y279" s="575"/>
      <c r="Z279" s="575"/>
      <c r="AA279" s="809"/>
      <c r="AB279" s="817"/>
      <c r="AC279" s="575"/>
      <c r="AD279" s="575"/>
      <c r="AE279" s="753"/>
      <c r="AF279" s="575"/>
      <c r="AG279" s="575"/>
      <c r="AH279" s="842"/>
      <c r="AI279" s="1013">
        <f t="shared" si="15"/>
        <v>0</v>
      </c>
      <c r="AJ279" s="949">
        <v>0</v>
      </c>
      <c r="AK279" s="581">
        <f t="shared" si="16"/>
        <v>0</v>
      </c>
      <c r="AL279" s="750"/>
      <c r="AM279" s="743">
        <f t="shared" si="17"/>
        <v>0</v>
      </c>
    </row>
    <row r="280" spans="1:39" s="560" customFormat="1" ht="13.2" customHeight="1">
      <c r="A280" s="607" t="s">
        <v>779</v>
      </c>
      <c r="B280" s="607" t="s">
        <v>1214</v>
      </c>
      <c r="C280" s="690"/>
      <c r="D280" s="580"/>
      <c r="E280" s="581"/>
      <c r="F280" s="778"/>
      <c r="G280" s="581"/>
      <c r="H280" s="581"/>
      <c r="I280" s="949"/>
      <c r="J280" s="949"/>
      <c r="K280" s="825"/>
      <c r="L280" s="575"/>
      <c r="M280" s="809"/>
      <c r="N280" s="575"/>
      <c r="O280" s="575"/>
      <c r="P280" s="575"/>
      <c r="Q280" s="575"/>
      <c r="R280" s="575"/>
      <c r="S280" s="575"/>
      <c r="T280" s="809"/>
      <c r="U280" s="575"/>
      <c r="V280" s="575"/>
      <c r="W280" s="575"/>
      <c r="X280" s="575"/>
      <c r="Y280" s="575"/>
      <c r="Z280" s="575"/>
      <c r="AA280" s="809"/>
      <c r="AB280" s="817"/>
      <c r="AC280" s="575"/>
      <c r="AD280" s="575"/>
      <c r="AE280" s="753"/>
      <c r="AF280" s="575"/>
      <c r="AG280" s="575"/>
      <c r="AH280" s="842"/>
      <c r="AI280" s="1013">
        <f t="shared" si="15"/>
        <v>0</v>
      </c>
      <c r="AJ280" s="949">
        <v>0</v>
      </c>
      <c r="AK280" s="581">
        <f t="shared" si="16"/>
        <v>0</v>
      </c>
      <c r="AL280" s="750" t="s">
        <v>1599</v>
      </c>
      <c r="AM280" s="743">
        <f t="shared" si="17"/>
        <v>899.99</v>
      </c>
    </row>
    <row r="281" spans="1:39" s="560" customFormat="1" ht="13.2" customHeight="1">
      <c r="A281" s="604" t="s">
        <v>780</v>
      </c>
      <c r="B281" s="604" t="s">
        <v>1215</v>
      </c>
      <c r="C281" s="614" t="s">
        <v>47</v>
      </c>
      <c r="D281" s="580"/>
      <c r="E281" s="581"/>
      <c r="F281" s="778"/>
      <c r="G281" s="581"/>
      <c r="H281" s="581"/>
      <c r="I281" s="949"/>
      <c r="J281" s="949"/>
      <c r="K281" s="825"/>
      <c r="L281" s="575"/>
      <c r="M281" s="809"/>
      <c r="N281" s="575"/>
      <c r="O281" s="575"/>
      <c r="P281" s="575"/>
      <c r="Q281" s="575"/>
      <c r="R281" s="575"/>
      <c r="S281" s="575"/>
      <c r="T281" s="809"/>
      <c r="U281" s="575"/>
      <c r="V281" s="575"/>
      <c r="W281" s="575"/>
      <c r="X281" s="575"/>
      <c r="Y281" s="575"/>
      <c r="Z281" s="575"/>
      <c r="AA281" s="809"/>
      <c r="AB281" s="817"/>
      <c r="AC281" s="575"/>
      <c r="AD281" s="575"/>
      <c r="AE281" s="753"/>
      <c r="AF281" s="575"/>
      <c r="AG281" s="575"/>
      <c r="AH281" s="842"/>
      <c r="AI281" s="1013">
        <f t="shared" si="15"/>
        <v>0</v>
      </c>
      <c r="AJ281" s="949">
        <v>0</v>
      </c>
      <c r="AK281" s="581">
        <f t="shared" si="16"/>
        <v>0</v>
      </c>
      <c r="AL281" s="750" t="s">
        <v>1600</v>
      </c>
      <c r="AM281" s="743">
        <f t="shared" si="17"/>
        <v>394.52</v>
      </c>
    </row>
    <row r="282" spans="1:39" s="560" customFormat="1" ht="13.2" customHeight="1">
      <c r="A282" s="604" t="s">
        <v>781</v>
      </c>
      <c r="B282" s="604" t="s">
        <v>1216</v>
      </c>
      <c r="C282" s="614" t="s">
        <v>47</v>
      </c>
      <c r="D282" s="580"/>
      <c r="E282" s="581"/>
      <c r="F282" s="778"/>
      <c r="G282" s="581"/>
      <c r="H282" s="581"/>
      <c r="I282" s="949"/>
      <c r="J282" s="949"/>
      <c r="K282" s="825"/>
      <c r="L282" s="575"/>
      <c r="M282" s="809"/>
      <c r="N282" s="575"/>
      <c r="O282" s="575"/>
      <c r="P282" s="575"/>
      <c r="Q282" s="575"/>
      <c r="R282" s="575"/>
      <c r="S282" s="575"/>
      <c r="T282" s="809"/>
      <c r="U282" s="575"/>
      <c r="V282" s="575"/>
      <c r="W282" s="575"/>
      <c r="X282" s="575"/>
      <c r="Y282" s="575"/>
      <c r="Z282" s="575"/>
      <c r="AA282" s="809"/>
      <c r="AB282" s="817"/>
      <c r="AC282" s="575"/>
      <c r="AD282" s="575"/>
      <c r="AE282" s="753"/>
      <c r="AF282" s="575"/>
      <c r="AG282" s="575"/>
      <c r="AH282" s="842"/>
      <c r="AI282" s="1013">
        <f t="shared" si="15"/>
        <v>0</v>
      </c>
      <c r="AJ282" s="949">
        <v>0</v>
      </c>
      <c r="AK282" s="581">
        <f t="shared" si="16"/>
        <v>0</v>
      </c>
      <c r="AL282" s="750" t="s">
        <v>1601</v>
      </c>
      <c r="AM282" s="743">
        <f t="shared" si="17"/>
        <v>271.91000000000003</v>
      </c>
    </row>
    <row r="283" spans="1:39" s="560" customFormat="1" ht="13.2" customHeight="1">
      <c r="A283" s="604" t="s">
        <v>782</v>
      </c>
      <c r="B283" s="604" t="s">
        <v>1217</v>
      </c>
      <c r="C283" s="614" t="s">
        <v>47</v>
      </c>
      <c r="D283" s="580"/>
      <c r="E283" s="581"/>
      <c r="F283" s="778"/>
      <c r="G283" s="581"/>
      <c r="H283" s="581"/>
      <c r="I283" s="949"/>
      <c r="J283" s="949"/>
      <c r="K283" s="825"/>
      <c r="L283" s="575"/>
      <c r="M283" s="809"/>
      <c r="N283" s="575"/>
      <c r="O283" s="575"/>
      <c r="P283" s="575"/>
      <c r="Q283" s="575"/>
      <c r="R283" s="575"/>
      <c r="S283" s="575"/>
      <c r="T283" s="809"/>
      <c r="U283" s="575"/>
      <c r="V283" s="575"/>
      <c r="W283" s="575"/>
      <c r="X283" s="575"/>
      <c r="Y283" s="575"/>
      <c r="Z283" s="575"/>
      <c r="AA283" s="809"/>
      <c r="AB283" s="817"/>
      <c r="AC283" s="575"/>
      <c r="AD283" s="575"/>
      <c r="AE283" s="753"/>
      <c r="AF283" s="575"/>
      <c r="AG283" s="575"/>
      <c r="AH283" s="842"/>
      <c r="AI283" s="1013">
        <f t="shared" si="15"/>
        <v>0</v>
      </c>
      <c r="AJ283" s="949">
        <v>0</v>
      </c>
      <c r="AK283" s="581">
        <f t="shared" si="16"/>
        <v>0</v>
      </c>
      <c r="AL283" s="750" t="s">
        <v>1602</v>
      </c>
      <c r="AM283" s="743">
        <f t="shared" si="17"/>
        <v>80.92</v>
      </c>
    </row>
    <row r="284" spans="1:39" s="560" customFormat="1" ht="13.2" customHeight="1">
      <c r="A284" s="604" t="s">
        <v>783</v>
      </c>
      <c r="B284" s="604" t="s">
        <v>1218</v>
      </c>
      <c r="C284" s="614" t="s">
        <v>37</v>
      </c>
      <c r="D284" s="580"/>
      <c r="E284" s="581"/>
      <c r="F284" s="778"/>
      <c r="G284" s="581"/>
      <c r="H284" s="581"/>
      <c r="I284" s="949"/>
      <c r="J284" s="949"/>
      <c r="K284" s="825"/>
      <c r="L284" s="575"/>
      <c r="M284" s="809"/>
      <c r="N284" s="575"/>
      <c r="O284" s="575"/>
      <c r="P284" s="575"/>
      <c r="Q284" s="575"/>
      <c r="R284" s="575"/>
      <c r="S284" s="575"/>
      <c r="T284" s="809"/>
      <c r="U284" s="575"/>
      <c r="V284" s="575"/>
      <c r="W284" s="575"/>
      <c r="X284" s="575"/>
      <c r="Y284" s="575"/>
      <c r="Z284" s="575"/>
      <c r="AA284" s="809"/>
      <c r="AB284" s="817"/>
      <c r="AC284" s="575"/>
      <c r="AD284" s="575"/>
      <c r="AE284" s="753"/>
      <c r="AF284" s="575"/>
      <c r="AG284" s="575"/>
      <c r="AH284" s="842"/>
      <c r="AI284" s="1013">
        <f t="shared" si="15"/>
        <v>0</v>
      </c>
      <c r="AJ284" s="949">
        <v>0</v>
      </c>
      <c r="AK284" s="581">
        <f t="shared" si="16"/>
        <v>0</v>
      </c>
      <c r="AL284" s="750" t="s">
        <v>1603</v>
      </c>
      <c r="AM284" s="743">
        <f t="shared" si="17"/>
        <v>6</v>
      </c>
    </row>
    <row r="285" spans="1:39" s="560" customFormat="1" ht="13.2" customHeight="1">
      <c r="A285" s="604" t="s">
        <v>784</v>
      </c>
      <c r="B285" s="604" t="s">
        <v>1219</v>
      </c>
      <c r="C285" s="614" t="s">
        <v>1436</v>
      </c>
      <c r="D285" s="580"/>
      <c r="E285" s="581"/>
      <c r="F285" s="778"/>
      <c r="G285" s="581"/>
      <c r="H285" s="581"/>
      <c r="I285" s="949"/>
      <c r="J285" s="949"/>
      <c r="K285" s="825"/>
      <c r="L285" s="575"/>
      <c r="M285" s="809"/>
      <c r="N285" s="575"/>
      <c r="O285" s="575"/>
      <c r="P285" s="575"/>
      <c r="Q285" s="575"/>
      <c r="R285" s="575"/>
      <c r="S285" s="575"/>
      <c r="T285" s="809"/>
      <c r="U285" s="575"/>
      <c r="V285" s="575"/>
      <c r="W285" s="575"/>
      <c r="X285" s="575"/>
      <c r="Y285" s="575"/>
      <c r="Z285" s="575"/>
      <c r="AA285" s="809"/>
      <c r="AB285" s="817"/>
      <c r="AC285" s="575"/>
      <c r="AD285" s="575"/>
      <c r="AE285" s="753"/>
      <c r="AF285" s="575"/>
      <c r="AG285" s="575"/>
      <c r="AH285" s="842"/>
      <c r="AI285" s="1013">
        <f t="shared" si="15"/>
        <v>0</v>
      </c>
      <c r="AJ285" s="949">
        <v>0</v>
      </c>
      <c r="AK285" s="581">
        <f t="shared" si="16"/>
        <v>0</v>
      </c>
      <c r="AL285" s="750"/>
      <c r="AM285" s="743">
        <f t="shared" si="17"/>
        <v>0</v>
      </c>
    </row>
    <row r="286" spans="1:39" s="560" customFormat="1" ht="13.2" customHeight="1">
      <c r="A286" s="607" t="s">
        <v>785</v>
      </c>
      <c r="B286" s="607" t="s">
        <v>1186</v>
      </c>
      <c r="C286" s="690"/>
      <c r="D286" s="580"/>
      <c r="E286" s="581"/>
      <c r="F286" s="778"/>
      <c r="G286" s="581"/>
      <c r="H286" s="581"/>
      <c r="I286" s="949"/>
      <c r="J286" s="949"/>
      <c r="K286" s="825"/>
      <c r="L286" s="575"/>
      <c r="M286" s="809"/>
      <c r="N286" s="575"/>
      <c r="O286" s="575"/>
      <c r="P286" s="575"/>
      <c r="Q286" s="575"/>
      <c r="R286" s="575"/>
      <c r="S286" s="575"/>
      <c r="T286" s="809"/>
      <c r="U286" s="575"/>
      <c r="V286" s="575"/>
      <c r="W286" s="575"/>
      <c r="X286" s="575"/>
      <c r="Y286" s="575"/>
      <c r="Z286" s="575"/>
      <c r="AA286" s="809"/>
      <c r="AB286" s="817"/>
      <c r="AC286" s="575"/>
      <c r="AD286" s="575"/>
      <c r="AE286" s="753"/>
      <c r="AF286" s="575"/>
      <c r="AG286" s="575"/>
      <c r="AH286" s="842"/>
      <c r="AI286" s="1013">
        <f t="shared" si="15"/>
        <v>0</v>
      </c>
      <c r="AJ286" s="949">
        <v>0</v>
      </c>
      <c r="AK286" s="581">
        <f t="shared" si="16"/>
        <v>0</v>
      </c>
      <c r="AL286" s="750" t="s">
        <v>1604</v>
      </c>
      <c r="AM286" s="743">
        <f t="shared" si="17"/>
        <v>3</v>
      </c>
    </row>
    <row r="287" spans="1:39" s="560" customFormat="1" ht="13.95" customHeight="1" thickBot="1">
      <c r="A287" s="604" t="s">
        <v>786</v>
      </c>
      <c r="B287" s="604" t="s">
        <v>224</v>
      </c>
      <c r="C287" s="614" t="s">
        <v>1436</v>
      </c>
      <c r="D287" s="580"/>
      <c r="E287" s="581"/>
      <c r="F287" s="778"/>
      <c r="G287" s="581"/>
      <c r="H287" s="581"/>
      <c r="I287" s="949"/>
      <c r="J287" s="949"/>
      <c r="K287" s="825"/>
      <c r="L287" s="575"/>
      <c r="M287" s="809"/>
      <c r="N287" s="575"/>
      <c r="O287" s="575"/>
      <c r="P287" s="575"/>
      <c r="Q287" s="575"/>
      <c r="R287" s="575"/>
      <c r="S287" s="575"/>
      <c r="T287" s="809"/>
      <c r="U287" s="575"/>
      <c r="V287" s="575"/>
      <c r="W287" s="575"/>
      <c r="X287" s="575"/>
      <c r="Y287" s="575"/>
      <c r="Z287" s="575"/>
      <c r="AA287" s="809"/>
      <c r="AB287" s="817"/>
      <c r="AC287" s="575"/>
      <c r="AD287" s="575"/>
      <c r="AE287" s="753"/>
      <c r="AF287" s="575"/>
      <c r="AG287" s="575"/>
      <c r="AH287" s="842"/>
      <c r="AI287" s="1013">
        <f t="shared" si="15"/>
        <v>0</v>
      </c>
      <c r="AJ287" s="949">
        <v>0</v>
      </c>
      <c r="AK287" s="581">
        <f t="shared" si="16"/>
        <v>0</v>
      </c>
      <c r="AL287" s="750"/>
      <c r="AM287" s="743">
        <f t="shared" si="17"/>
        <v>0</v>
      </c>
    </row>
    <row r="288" spans="1:39" s="560" customFormat="1" ht="13.2" customHeight="1">
      <c r="A288" s="606" t="s">
        <v>44</v>
      </c>
      <c r="B288" s="606" t="s">
        <v>1220</v>
      </c>
      <c r="C288" s="690"/>
      <c r="D288" s="580"/>
      <c r="E288" s="581"/>
      <c r="F288" s="778"/>
      <c r="G288" s="581"/>
      <c r="H288" s="581"/>
      <c r="I288" s="949"/>
      <c r="J288" s="949"/>
      <c r="K288" s="825"/>
      <c r="L288" s="575"/>
      <c r="M288" s="809"/>
      <c r="N288" s="575"/>
      <c r="O288" s="575"/>
      <c r="P288" s="575"/>
      <c r="Q288" s="575"/>
      <c r="R288" s="575"/>
      <c r="S288" s="575"/>
      <c r="T288" s="809"/>
      <c r="U288" s="575"/>
      <c r="V288" s="575"/>
      <c r="W288" s="575"/>
      <c r="X288" s="575"/>
      <c r="Y288" s="575"/>
      <c r="Z288" s="575"/>
      <c r="AA288" s="809"/>
      <c r="AB288" s="817"/>
      <c r="AC288" s="575"/>
      <c r="AD288" s="575"/>
      <c r="AE288" s="753"/>
      <c r="AF288" s="575"/>
      <c r="AG288" s="575"/>
      <c r="AH288" s="842"/>
      <c r="AI288" s="1013">
        <f t="shared" si="15"/>
        <v>0</v>
      </c>
      <c r="AJ288" s="949">
        <v>0</v>
      </c>
      <c r="AK288" s="581">
        <f t="shared" si="16"/>
        <v>0</v>
      </c>
      <c r="AL288" s="750"/>
      <c r="AM288" s="743">
        <f t="shared" si="17"/>
        <v>0</v>
      </c>
    </row>
    <row r="289" spans="1:39" s="560" customFormat="1" ht="13.2" customHeight="1">
      <c r="A289" s="492" t="s">
        <v>46</v>
      </c>
      <c r="B289" s="608" t="s">
        <v>1221</v>
      </c>
      <c r="C289" s="690"/>
      <c r="D289" s="580"/>
      <c r="E289" s="581"/>
      <c r="F289" s="778"/>
      <c r="G289" s="581"/>
      <c r="H289" s="581"/>
      <c r="I289" s="949"/>
      <c r="J289" s="949"/>
      <c r="K289" s="825"/>
      <c r="L289" s="575"/>
      <c r="M289" s="809"/>
      <c r="N289" s="575"/>
      <c r="O289" s="575"/>
      <c r="P289" s="575"/>
      <c r="Q289" s="575"/>
      <c r="R289" s="575"/>
      <c r="S289" s="575"/>
      <c r="T289" s="809"/>
      <c r="U289" s="575"/>
      <c r="V289" s="575"/>
      <c r="W289" s="575"/>
      <c r="X289" s="575"/>
      <c r="Y289" s="575"/>
      <c r="Z289" s="575"/>
      <c r="AA289" s="809"/>
      <c r="AB289" s="817"/>
      <c r="AC289" s="575"/>
      <c r="AD289" s="575"/>
      <c r="AE289" s="753"/>
      <c r="AF289" s="575"/>
      <c r="AG289" s="575"/>
      <c r="AH289" s="842"/>
      <c r="AI289" s="1013">
        <f t="shared" si="15"/>
        <v>0</v>
      </c>
      <c r="AJ289" s="949">
        <v>0</v>
      </c>
      <c r="AK289" s="581">
        <f t="shared" si="16"/>
        <v>0</v>
      </c>
      <c r="AL289" s="750"/>
      <c r="AM289" s="743">
        <f t="shared" si="17"/>
        <v>0</v>
      </c>
    </row>
    <row r="290" spans="1:39" s="560" customFormat="1" ht="13.2" customHeight="1">
      <c r="A290" s="607" t="s">
        <v>48</v>
      </c>
      <c r="B290" s="607" t="s">
        <v>1222</v>
      </c>
      <c r="C290" s="690"/>
      <c r="D290" s="580"/>
      <c r="E290" s="581"/>
      <c r="F290" s="778"/>
      <c r="G290" s="581"/>
      <c r="H290" s="581"/>
      <c r="I290" s="949"/>
      <c r="J290" s="949"/>
      <c r="K290" s="825"/>
      <c r="L290" s="575"/>
      <c r="M290" s="809"/>
      <c r="N290" s="575"/>
      <c r="O290" s="575"/>
      <c r="P290" s="575"/>
      <c r="Q290" s="575"/>
      <c r="R290" s="575"/>
      <c r="S290" s="575"/>
      <c r="T290" s="809"/>
      <c r="U290" s="575"/>
      <c r="V290" s="575"/>
      <c r="W290" s="575"/>
      <c r="X290" s="575"/>
      <c r="Y290" s="575"/>
      <c r="Z290" s="575"/>
      <c r="AA290" s="809"/>
      <c r="AB290" s="817"/>
      <c r="AC290" s="575"/>
      <c r="AD290" s="575"/>
      <c r="AE290" s="753"/>
      <c r="AF290" s="575"/>
      <c r="AG290" s="575"/>
      <c r="AH290" s="842"/>
      <c r="AI290" s="1013">
        <f t="shared" si="15"/>
        <v>0</v>
      </c>
      <c r="AJ290" s="949">
        <v>0</v>
      </c>
      <c r="AK290" s="581">
        <f t="shared" si="16"/>
        <v>0</v>
      </c>
      <c r="AL290" s="750" t="s">
        <v>1605</v>
      </c>
      <c r="AM290" s="743">
        <f t="shared" si="17"/>
        <v>72.27</v>
      </c>
    </row>
    <row r="291" spans="1:39" s="560" customFormat="1" ht="13.2" customHeight="1">
      <c r="A291" s="604" t="s">
        <v>787</v>
      </c>
      <c r="B291" s="604" t="s">
        <v>1223</v>
      </c>
      <c r="C291" s="614" t="s">
        <v>36</v>
      </c>
      <c r="D291" s="580"/>
      <c r="E291" s="581"/>
      <c r="F291" s="778"/>
      <c r="G291" s="581"/>
      <c r="H291" s="581"/>
      <c r="I291" s="949"/>
      <c r="J291" s="949"/>
      <c r="K291" s="825"/>
      <c r="L291" s="575"/>
      <c r="M291" s="809"/>
      <c r="N291" s="575"/>
      <c r="O291" s="575"/>
      <c r="P291" s="575"/>
      <c r="Q291" s="575"/>
      <c r="R291" s="575"/>
      <c r="S291" s="575"/>
      <c r="T291" s="809"/>
      <c r="U291" s="575"/>
      <c r="V291" s="575"/>
      <c r="W291" s="575"/>
      <c r="X291" s="575"/>
      <c r="Y291" s="575"/>
      <c r="Z291" s="575"/>
      <c r="AA291" s="809"/>
      <c r="AB291" s="817"/>
      <c r="AC291" s="575"/>
      <c r="AD291" s="575"/>
      <c r="AE291" s="753"/>
      <c r="AF291" s="575"/>
      <c r="AG291" s="575"/>
      <c r="AH291" s="842"/>
      <c r="AI291" s="1013">
        <f t="shared" si="15"/>
        <v>0</v>
      </c>
      <c r="AJ291" s="949">
        <v>0</v>
      </c>
      <c r="AK291" s="581">
        <f t="shared" si="16"/>
        <v>0</v>
      </c>
      <c r="AL291" s="750" t="s">
        <v>1606</v>
      </c>
      <c r="AM291" s="743">
        <f t="shared" si="17"/>
        <v>15.22</v>
      </c>
    </row>
    <row r="292" spans="1:39" s="560" customFormat="1" ht="13.2" customHeight="1">
      <c r="A292" s="604" t="s">
        <v>788</v>
      </c>
      <c r="B292" s="604" t="s">
        <v>1224</v>
      </c>
      <c r="C292" s="614" t="s">
        <v>36</v>
      </c>
      <c r="D292" s="580"/>
      <c r="E292" s="581"/>
      <c r="F292" s="778"/>
      <c r="G292" s="581"/>
      <c r="H292" s="581"/>
      <c r="I292" s="949"/>
      <c r="J292" s="949"/>
      <c r="K292" s="825"/>
      <c r="L292" s="575"/>
      <c r="M292" s="809"/>
      <c r="N292" s="575"/>
      <c r="O292" s="575"/>
      <c r="P292" s="575"/>
      <c r="Q292" s="575"/>
      <c r="R292" s="575"/>
      <c r="S292" s="575"/>
      <c r="T292" s="809"/>
      <c r="U292" s="575"/>
      <c r="V292" s="575"/>
      <c r="W292" s="575"/>
      <c r="X292" s="575"/>
      <c r="Y292" s="575"/>
      <c r="Z292" s="575"/>
      <c r="AA292" s="809"/>
      <c r="AB292" s="817"/>
      <c r="AC292" s="575"/>
      <c r="AD292" s="575"/>
      <c r="AE292" s="753"/>
      <c r="AF292" s="575"/>
      <c r="AG292" s="575"/>
      <c r="AH292" s="842"/>
      <c r="AI292" s="1013">
        <f t="shared" si="15"/>
        <v>0</v>
      </c>
      <c r="AJ292" s="949">
        <v>0</v>
      </c>
      <c r="AK292" s="581">
        <f t="shared" si="16"/>
        <v>0</v>
      </c>
      <c r="AL292" s="750"/>
      <c r="AM292" s="743">
        <f t="shared" si="17"/>
        <v>0</v>
      </c>
    </row>
    <row r="293" spans="1:39" s="560" customFormat="1" ht="13.2" customHeight="1">
      <c r="A293" s="607" t="s">
        <v>49</v>
      </c>
      <c r="B293" s="607" t="s">
        <v>1225</v>
      </c>
      <c r="C293" s="690"/>
      <c r="D293" s="580"/>
      <c r="E293" s="581"/>
      <c r="F293" s="778"/>
      <c r="G293" s="581"/>
      <c r="H293" s="581"/>
      <c r="I293" s="949"/>
      <c r="J293" s="949"/>
      <c r="K293" s="825"/>
      <c r="L293" s="575"/>
      <c r="M293" s="809"/>
      <c r="N293" s="575"/>
      <c r="O293" s="575"/>
      <c r="P293" s="575"/>
      <c r="Q293" s="575"/>
      <c r="R293" s="575"/>
      <c r="S293" s="575"/>
      <c r="T293" s="809"/>
      <c r="U293" s="575"/>
      <c r="V293" s="575"/>
      <c r="W293" s="575"/>
      <c r="X293" s="575"/>
      <c r="Y293" s="575"/>
      <c r="Z293" s="575"/>
      <c r="AA293" s="809"/>
      <c r="AB293" s="817"/>
      <c r="AC293" s="575"/>
      <c r="AD293" s="575"/>
      <c r="AE293" s="753"/>
      <c r="AF293" s="575"/>
      <c r="AG293" s="575"/>
      <c r="AH293" s="842"/>
      <c r="AI293" s="1013">
        <f t="shared" si="15"/>
        <v>0</v>
      </c>
      <c r="AJ293" s="949">
        <v>0</v>
      </c>
      <c r="AK293" s="581">
        <f t="shared" si="16"/>
        <v>0</v>
      </c>
      <c r="AL293" s="750" t="s">
        <v>1607</v>
      </c>
      <c r="AM293" s="743">
        <f t="shared" si="17"/>
        <v>123.1</v>
      </c>
    </row>
    <row r="294" spans="1:39" s="560" customFormat="1" ht="13.2" customHeight="1">
      <c r="A294" s="604" t="s">
        <v>789</v>
      </c>
      <c r="B294" s="604" t="s">
        <v>1226</v>
      </c>
      <c r="C294" s="614" t="s">
        <v>36</v>
      </c>
      <c r="D294" s="580"/>
      <c r="E294" s="581"/>
      <c r="F294" s="778"/>
      <c r="G294" s="581"/>
      <c r="H294" s="581"/>
      <c r="I294" s="949"/>
      <c r="J294" s="949"/>
      <c r="K294" s="825"/>
      <c r="L294" s="575"/>
      <c r="M294" s="809"/>
      <c r="N294" s="575"/>
      <c r="O294" s="575"/>
      <c r="P294" s="575"/>
      <c r="Q294" s="575"/>
      <c r="R294" s="575"/>
      <c r="S294" s="575"/>
      <c r="T294" s="809"/>
      <c r="U294" s="575"/>
      <c r="V294" s="575"/>
      <c r="W294" s="575"/>
      <c r="X294" s="575"/>
      <c r="Y294" s="575"/>
      <c r="Z294" s="575"/>
      <c r="AA294" s="809"/>
      <c r="AB294" s="817"/>
      <c r="AC294" s="575"/>
      <c r="AD294" s="575"/>
      <c r="AE294" s="753"/>
      <c r="AF294" s="575"/>
      <c r="AG294" s="575"/>
      <c r="AH294" s="842"/>
      <c r="AI294" s="1013">
        <f t="shared" si="15"/>
        <v>0</v>
      </c>
      <c r="AJ294" s="949">
        <v>0</v>
      </c>
      <c r="AK294" s="581">
        <f t="shared" si="16"/>
        <v>0</v>
      </c>
      <c r="AL294" s="750" t="s">
        <v>1608</v>
      </c>
      <c r="AM294" s="743">
        <f t="shared" si="17"/>
        <v>54.38</v>
      </c>
    </row>
    <row r="295" spans="1:39" s="560" customFormat="1" ht="13.2" customHeight="1">
      <c r="A295" s="604" t="s">
        <v>790</v>
      </c>
      <c r="B295" s="604" t="s">
        <v>1227</v>
      </c>
      <c r="C295" s="614" t="s">
        <v>36</v>
      </c>
      <c r="D295" s="580"/>
      <c r="E295" s="581"/>
      <c r="F295" s="778"/>
      <c r="G295" s="581"/>
      <c r="H295" s="581"/>
      <c r="I295" s="949"/>
      <c r="J295" s="949"/>
      <c r="K295" s="825"/>
      <c r="L295" s="575"/>
      <c r="M295" s="809"/>
      <c r="N295" s="575"/>
      <c r="O295" s="575"/>
      <c r="P295" s="575"/>
      <c r="Q295" s="575"/>
      <c r="R295" s="575"/>
      <c r="S295" s="575"/>
      <c r="T295" s="809"/>
      <c r="U295" s="575"/>
      <c r="V295" s="575"/>
      <c r="W295" s="575"/>
      <c r="X295" s="575"/>
      <c r="Y295" s="575"/>
      <c r="Z295" s="575"/>
      <c r="AA295" s="809"/>
      <c r="AB295" s="817"/>
      <c r="AC295" s="575"/>
      <c r="AD295" s="575"/>
      <c r="AE295" s="753"/>
      <c r="AF295" s="575"/>
      <c r="AG295" s="575"/>
      <c r="AH295" s="842"/>
      <c r="AI295" s="1013">
        <f t="shared" si="15"/>
        <v>0</v>
      </c>
      <c r="AJ295" s="949">
        <v>0</v>
      </c>
      <c r="AK295" s="581">
        <f t="shared" si="16"/>
        <v>0</v>
      </c>
      <c r="AL295" s="750" t="s">
        <v>1609</v>
      </c>
      <c r="AM295" s="743">
        <f t="shared" si="17"/>
        <v>34.44</v>
      </c>
    </row>
    <row r="296" spans="1:39" s="560" customFormat="1" ht="13.2" customHeight="1">
      <c r="A296" s="604" t="s">
        <v>791</v>
      </c>
      <c r="B296" s="604" t="s">
        <v>1228</v>
      </c>
      <c r="C296" s="614" t="s">
        <v>36</v>
      </c>
      <c r="D296" s="580"/>
      <c r="E296" s="581"/>
      <c r="F296" s="778"/>
      <c r="G296" s="581"/>
      <c r="H296" s="581"/>
      <c r="I296" s="949"/>
      <c r="J296" s="949"/>
      <c r="K296" s="825"/>
      <c r="L296" s="575"/>
      <c r="M296" s="809"/>
      <c r="N296" s="575"/>
      <c r="O296" s="575"/>
      <c r="P296" s="575"/>
      <c r="Q296" s="575"/>
      <c r="R296" s="575"/>
      <c r="S296" s="575"/>
      <c r="T296" s="809"/>
      <c r="U296" s="575"/>
      <c r="V296" s="575"/>
      <c r="W296" s="575"/>
      <c r="X296" s="575"/>
      <c r="Y296" s="575"/>
      <c r="Z296" s="575"/>
      <c r="AA296" s="809"/>
      <c r="AB296" s="817"/>
      <c r="AC296" s="575"/>
      <c r="AD296" s="575"/>
      <c r="AE296" s="753"/>
      <c r="AF296" s="575"/>
      <c r="AG296" s="575"/>
      <c r="AH296" s="842"/>
      <c r="AI296" s="1013">
        <f t="shared" si="15"/>
        <v>0</v>
      </c>
      <c r="AJ296" s="949">
        <v>0</v>
      </c>
      <c r="AK296" s="581">
        <f t="shared" si="16"/>
        <v>0</v>
      </c>
      <c r="AL296" s="750" t="s">
        <v>1610</v>
      </c>
      <c r="AM296" s="743">
        <f t="shared" si="17"/>
        <v>30.39</v>
      </c>
    </row>
    <row r="297" spans="1:39" s="560" customFormat="1" ht="13.2" customHeight="1">
      <c r="A297" s="604" t="s">
        <v>792</v>
      </c>
      <c r="B297" s="604" t="s">
        <v>1229</v>
      </c>
      <c r="C297" s="614" t="s">
        <v>36</v>
      </c>
      <c r="D297" s="580"/>
      <c r="E297" s="581"/>
      <c r="F297" s="778"/>
      <c r="G297" s="581"/>
      <c r="H297" s="581"/>
      <c r="I297" s="949"/>
      <c r="J297" s="949"/>
      <c r="K297" s="825"/>
      <c r="L297" s="575"/>
      <c r="M297" s="809"/>
      <c r="N297" s="575"/>
      <c r="O297" s="575"/>
      <c r="P297" s="575"/>
      <c r="Q297" s="575"/>
      <c r="R297" s="575"/>
      <c r="S297" s="575"/>
      <c r="T297" s="809"/>
      <c r="U297" s="575"/>
      <c r="V297" s="575"/>
      <c r="W297" s="575"/>
      <c r="X297" s="575"/>
      <c r="Y297" s="575"/>
      <c r="Z297" s="575"/>
      <c r="AA297" s="809"/>
      <c r="AB297" s="817"/>
      <c r="AC297" s="575"/>
      <c r="AD297" s="575"/>
      <c r="AE297" s="753"/>
      <c r="AF297" s="575"/>
      <c r="AG297" s="575"/>
      <c r="AH297" s="842"/>
      <c r="AI297" s="1013">
        <f t="shared" si="15"/>
        <v>0</v>
      </c>
      <c r="AJ297" s="949">
        <v>0</v>
      </c>
      <c r="AK297" s="581">
        <f t="shared" si="16"/>
        <v>0</v>
      </c>
      <c r="AL297" s="750" t="s">
        <v>1611</v>
      </c>
      <c r="AM297" s="743">
        <f t="shared" si="17"/>
        <v>39.17</v>
      </c>
    </row>
    <row r="298" spans="1:39" s="560" customFormat="1" ht="13.2" customHeight="1">
      <c r="A298" s="604" t="s">
        <v>793</v>
      </c>
      <c r="B298" s="604" t="s">
        <v>1230</v>
      </c>
      <c r="C298" s="614" t="s">
        <v>36</v>
      </c>
      <c r="D298" s="580"/>
      <c r="E298" s="581"/>
      <c r="F298" s="778"/>
      <c r="G298" s="581"/>
      <c r="H298" s="581"/>
      <c r="I298" s="949"/>
      <c r="J298" s="949"/>
      <c r="K298" s="825"/>
      <c r="L298" s="575"/>
      <c r="M298" s="809"/>
      <c r="N298" s="575"/>
      <c r="O298" s="575"/>
      <c r="P298" s="575"/>
      <c r="Q298" s="575"/>
      <c r="R298" s="575"/>
      <c r="S298" s="575"/>
      <c r="T298" s="809"/>
      <c r="U298" s="575"/>
      <c r="V298" s="575"/>
      <c r="W298" s="575"/>
      <c r="X298" s="575"/>
      <c r="Y298" s="575"/>
      <c r="Z298" s="575"/>
      <c r="AA298" s="809"/>
      <c r="AB298" s="817"/>
      <c r="AC298" s="575"/>
      <c r="AD298" s="583"/>
      <c r="AE298" s="753"/>
      <c r="AF298" s="575"/>
      <c r="AG298" s="575"/>
      <c r="AH298" s="842"/>
      <c r="AI298" s="1013">
        <f t="shared" si="15"/>
        <v>0</v>
      </c>
      <c r="AJ298" s="949">
        <v>0</v>
      </c>
      <c r="AK298" s="581">
        <f t="shared" si="16"/>
        <v>0</v>
      </c>
      <c r="AL298" s="750" t="s">
        <v>1612</v>
      </c>
      <c r="AM298" s="743">
        <f t="shared" si="17"/>
        <v>68.38</v>
      </c>
    </row>
    <row r="299" spans="1:39" s="560" customFormat="1" ht="13.2" customHeight="1">
      <c r="A299" s="604" t="s">
        <v>794</v>
      </c>
      <c r="B299" s="604" t="s">
        <v>1231</v>
      </c>
      <c r="C299" s="614" t="s">
        <v>37</v>
      </c>
      <c r="D299" s="580"/>
      <c r="E299" s="581"/>
      <c r="F299" s="778"/>
      <c r="G299" s="581"/>
      <c r="H299" s="581"/>
      <c r="I299" s="949"/>
      <c r="J299" s="949"/>
      <c r="K299" s="825"/>
      <c r="L299" s="575"/>
      <c r="M299" s="809"/>
      <c r="N299" s="575"/>
      <c r="O299" s="575"/>
      <c r="P299" s="575"/>
      <c r="Q299" s="575"/>
      <c r="R299" s="575"/>
      <c r="S299" s="575"/>
      <c r="T299" s="809"/>
      <c r="U299" s="575"/>
      <c r="V299" s="575"/>
      <c r="W299" s="575"/>
      <c r="X299" s="575"/>
      <c r="Y299" s="575"/>
      <c r="Z299" s="575"/>
      <c r="AA299" s="809"/>
      <c r="AB299" s="817"/>
      <c r="AC299" s="575"/>
      <c r="AD299" s="575"/>
      <c r="AE299" s="753"/>
      <c r="AF299" s="575"/>
      <c r="AG299" s="575"/>
      <c r="AH299" s="842"/>
      <c r="AI299" s="1013">
        <f t="shared" si="15"/>
        <v>0</v>
      </c>
      <c r="AJ299" s="949">
        <v>0</v>
      </c>
      <c r="AK299" s="581">
        <f t="shared" si="16"/>
        <v>0</v>
      </c>
      <c r="AL299" s="750" t="s">
        <v>1613</v>
      </c>
      <c r="AM299" s="743">
        <f t="shared" si="17"/>
        <v>228.32</v>
      </c>
    </row>
    <row r="300" spans="1:39" s="560" customFormat="1" ht="13.2" customHeight="1">
      <c r="A300" s="604" t="s">
        <v>795</v>
      </c>
      <c r="B300" s="604" t="s">
        <v>1232</v>
      </c>
      <c r="C300" s="614" t="s">
        <v>37</v>
      </c>
      <c r="D300" s="580"/>
      <c r="E300" s="581"/>
      <c r="F300" s="778"/>
      <c r="G300" s="581"/>
      <c r="H300" s="581"/>
      <c r="I300" s="949"/>
      <c r="J300" s="949"/>
      <c r="K300" s="825"/>
      <c r="L300" s="575"/>
      <c r="M300" s="809"/>
      <c r="N300" s="575"/>
      <c r="O300" s="575"/>
      <c r="P300" s="575"/>
      <c r="Q300" s="575"/>
      <c r="R300" s="575"/>
      <c r="S300" s="575"/>
      <c r="T300" s="809"/>
      <c r="U300" s="575"/>
      <c r="V300" s="575"/>
      <c r="W300" s="575"/>
      <c r="X300" s="575"/>
      <c r="Y300" s="575"/>
      <c r="Z300" s="575"/>
      <c r="AA300" s="809"/>
      <c r="AB300" s="817"/>
      <c r="AC300" s="575"/>
      <c r="AD300" s="575"/>
      <c r="AE300" s="753"/>
      <c r="AF300" s="575"/>
      <c r="AG300" s="575"/>
      <c r="AH300" s="842"/>
      <c r="AI300" s="1013">
        <f t="shared" si="15"/>
        <v>0</v>
      </c>
      <c r="AJ300" s="949">
        <v>0</v>
      </c>
      <c r="AK300" s="581">
        <f t="shared" si="16"/>
        <v>0</v>
      </c>
      <c r="AL300" s="750"/>
      <c r="AM300" s="743">
        <f t="shared" si="17"/>
        <v>0</v>
      </c>
    </row>
    <row r="301" spans="1:39" s="560" customFormat="1" ht="13.2" customHeight="1">
      <c r="A301" s="607" t="s">
        <v>50</v>
      </c>
      <c r="B301" s="607" t="s">
        <v>1233</v>
      </c>
      <c r="C301" s="690"/>
      <c r="D301" s="580"/>
      <c r="E301" s="581"/>
      <c r="F301" s="778"/>
      <c r="G301" s="581"/>
      <c r="H301" s="581"/>
      <c r="I301" s="949"/>
      <c r="J301" s="949"/>
      <c r="K301" s="825"/>
      <c r="L301" s="575"/>
      <c r="M301" s="809"/>
      <c r="N301" s="575"/>
      <c r="O301" s="575"/>
      <c r="P301" s="575"/>
      <c r="Q301" s="575"/>
      <c r="R301" s="575"/>
      <c r="S301" s="575"/>
      <c r="T301" s="809"/>
      <c r="U301" s="575"/>
      <c r="V301" s="575"/>
      <c r="W301" s="575"/>
      <c r="X301" s="575"/>
      <c r="Y301" s="575"/>
      <c r="Z301" s="575"/>
      <c r="AA301" s="809"/>
      <c r="AB301" s="817"/>
      <c r="AC301" s="575"/>
      <c r="AD301" s="575"/>
      <c r="AE301" s="753"/>
      <c r="AF301" s="575"/>
      <c r="AG301" s="575"/>
      <c r="AH301" s="842"/>
      <c r="AI301" s="1013">
        <f t="shared" si="15"/>
        <v>0</v>
      </c>
      <c r="AJ301" s="949">
        <v>0</v>
      </c>
      <c r="AK301" s="581">
        <f t="shared" si="16"/>
        <v>0</v>
      </c>
      <c r="AL301" s="750" t="s">
        <v>1614</v>
      </c>
      <c r="AM301" s="743">
        <f t="shared" si="17"/>
        <v>90.62</v>
      </c>
    </row>
    <row r="302" spans="1:39" s="560" customFormat="1" ht="13.2" customHeight="1">
      <c r="A302" s="604" t="s">
        <v>796</v>
      </c>
      <c r="B302" s="604" t="s">
        <v>1234</v>
      </c>
      <c r="C302" s="614" t="s">
        <v>36</v>
      </c>
      <c r="D302" s="580"/>
      <c r="E302" s="581"/>
      <c r="F302" s="778"/>
      <c r="G302" s="581"/>
      <c r="H302" s="581"/>
      <c r="I302" s="949"/>
      <c r="J302" s="949"/>
      <c r="K302" s="825"/>
      <c r="L302" s="575"/>
      <c r="M302" s="809"/>
      <c r="N302" s="575"/>
      <c r="O302" s="575"/>
      <c r="P302" s="575"/>
      <c r="Q302" s="575"/>
      <c r="R302" s="575"/>
      <c r="S302" s="575"/>
      <c r="T302" s="809"/>
      <c r="U302" s="575"/>
      <c r="V302" s="583"/>
      <c r="W302" s="583"/>
      <c r="X302" s="575"/>
      <c r="Y302" s="575"/>
      <c r="Z302" s="575"/>
      <c r="AA302" s="809"/>
      <c r="AB302" s="817"/>
      <c r="AC302" s="575"/>
      <c r="AD302" s="575"/>
      <c r="AE302" s="753"/>
      <c r="AF302" s="575"/>
      <c r="AG302" s="575"/>
      <c r="AH302" s="842"/>
      <c r="AI302" s="1013">
        <f t="shared" si="15"/>
        <v>0</v>
      </c>
      <c r="AJ302" s="949">
        <v>0</v>
      </c>
      <c r="AK302" s="581">
        <f t="shared" si="16"/>
        <v>0</v>
      </c>
      <c r="AL302" s="750"/>
      <c r="AM302" s="743">
        <f t="shared" si="17"/>
        <v>0</v>
      </c>
    </row>
    <row r="303" spans="1:39" s="560" customFormat="1" ht="13.2" customHeight="1">
      <c r="A303" s="607" t="s">
        <v>276</v>
      </c>
      <c r="B303" s="607" t="s">
        <v>1235</v>
      </c>
      <c r="C303" s="690"/>
      <c r="D303" s="580"/>
      <c r="E303" s="581"/>
      <c r="F303" s="778"/>
      <c r="G303" s="581"/>
      <c r="H303" s="581"/>
      <c r="I303" s="949"/>
      <c r="J303" s="949"/>
      <c r="K303" s="825"/>
      <c r="L303" s="575"/>
      <c r="M303" s="809"/>
      <c r="N303" s="575"/>
      <c r="O303" s="575"/>
      <c r="P303" s="575"/>
      <c r="Q303" s="575"/>
      <c r="R303" s="575"/>
      <c r="S303" s="575"/>
      <c r="T303" s="809"/>
      <c r="U303" s="575"/>
      <c r="V303" s="575"/>
      <c r="W303" s="575"/>
      <c r="X303" s="575"/>
      <c r="Y303" s="575"/>
      <c r="Z303" s="575"/>
      <c r="AA303" s="809"/>
      <c r="AB303" s="817"/>
      <c r="AC303" s="575"/>
      <c r="AD303" s="575"/>
      <c r="AE303" s="753"/>
      <c r="AF303" s="575"/>
      <c r="AG303" s="575"/>
      <c r="AH303" s="842"/>
      <c r="AI303" s="1013">
        <f t="shared" si="15"/>
        <v>0</v>
      </c>
      <c r="AJ303" s="949">
        <v>0</v>
      </c>
      <c r="AK303" s="581">
        <f t="shared" si="16"/>
        <v>0</v>
      </c>
      <c r="AL303" s="750" t="s">
        <v>1615</v>
      </c>
      <c r="AM303" s="743">
        <f t="shared" si="17"/>
        <v>72.22</v>
      </c>
    </row>
    <row r="304" spans="1:39" s="560" customFormat="1" ht="13.2" customHeight="1">
      <c r="A304" s="604" t="s">
        <v>797</v>
      </c>
      <c r="B304" s="604" t="s">
        <v>1236</v>
      </c>
      <c r="C304" s="614" t="s">
        <v>36</v>
      </c>
      <c r="D304" s="580"/>
      <c r="E304" s="581"/>
      <c r="F304" s="778"/>
      <c r="G304" s="581"/>
      <c r="H304" s="581"/>
      <c r="I304" s="949"/>
      <c r="J304" s="949"/>
      <c r="K304" s="825"/>
      <c r="L304" s="575"/>
      <c r="M304" s="809"/>
      <c r="N304" s="575"/>
      <c r="O304" s="575"/>
      <c r="P304" s="575"/>
      <c r="Q304" s="575"/>
      <c r="R304" s="575"/>
      <c r="S304" s="575"/>
      <c r="T304" s="809"/>
      <c r="U304" s="575"/>
      <c r="V304" s="575"/>
      <c r="W304" s="575"/>
      <c r="X304" s="575"/>
      <c r="Y304" s="575"/>
      <c r="Z304" s="575"/>
      <c r="AA304" s="809"/>
      <c r="AB304" s="817"/>
      <c r="AC304" s="575"/>
      <c r="AD304" s="575"/>
      <c r="AE304" s="753"/>
      <c r="AF304" s="575"/>
      <c r="AG304" s="575"/>
      <c r="AH304" s="842"/>
      <c r="AI304" s="1013">
        <f t="shared" si="15"/>
        <v>0</v>
      </c>
      <c r="AJ304" s="949">
        <v>0</v>
      </c>
      <c r="AK304" s="581">
        <f t="shared" si="16"/>
        <v>0</v>
      </c>
      <c r="AL304" s="750" t="s">
        <v>1616</v>
      </c>
      <c r="AM304" s="743">
        <f t="shared" si="17"/>
        <v>56.44</v>
      </c>
    </row>
    <row r="305" spans="1:39" s="560" customFormat="1" ht="13.2" customHeight="1">
      <c r="A305" s="604" t="s">
        <v>798</v>
      </c>
      <c r="B305" s="604" t="s">
        <v>1237</v>
      </c>
      <c r="C305" s="614" t="s">
        <v>36</v>
      </c>
      <c r="D305" s="580"/>
      <c r="E305" s="581"/>
      <c r="F305" s="778"/>
      <c r="G305" s="581"/>
      <c r="H305" s="581"/>
      <c r="I305" s="949"/>
      <c r="J305" s="949"/>
      <c r="K305" s="825"/>
      <c r="L305" s="575"/>
      <c r="M305" s="809"/>
      <c r="N305" s="575"/>
      <c r="O305" s="575"/>
      <c r="P305" s="575"/>
      <c r="Q305" s="575"/>
      <c r="R305" s="575"/>
      <c r="S305" s="575"/>
      <c r="T305" s="809"/>
      <c r="U305" s="575"/>
      <c r="V305" s="575"/>
      <c r="W305" s="575"/>
      <c r="X305" s="575"/>
      <c r="Y305" s="575"/>
      <c r="Z305" s="575"/>
      <c r="AA305" s="809"/>
      <c r="AB305" s="817"/>
      <c r="AC305" s="575"/>
      <c r="AD305" s="575"/>
      <c r="AE305" s="753"/>
      <c r="AF305" s="575"/>
      <c r="AG305" s="575"/>
      <c r="AH305" s="842"/>
      <c r="AI305" s="1013">
        <f t="shared" si="15"/>
        <v>0</v>
      </c>
      <c r="AJ305" s="949">
        <v>0</v>
      </c>
      <c r="AK305" s="581">
        <f t="shared" si="16"/>
        <v>0</v>
      </c>
      <c r="AL305" s="750" t="s">
        <v>1617</v>
      </c>
      <c r="AM305" s="743">
        <f t="shared" si="17"/>
        <v>15.78</v>
      </c>
    </row>
    <row r="306" spans="1:39" s="560" customFormat="1" ht="13.2" customHeight="1">
      <c r="A306" s="604" t="s">
        <v>799</v>
      </c>
      <c r="B306" s="604" t="s">
        <v>1238</v>
      </c>
      <c r="C306" s="614" t="s">
        <v>36</v>
      </c>
      <c r="D306" s="580"/>
      <c r="E306" s="581"/>
      <c r="F306" s="778"/>
      <c r="G306" s="581"/>
      <c r="H306" s="581"/>
      <c r="I306" s="949"/>
      <c r="J306" s="949"/>
      <c r="K306" s="825"/>
      <c r="L306" s="575"/>
      <c r="M306" s="809"/>
      <c r="N306" s="575"/>
      <c r="O306" s="575"/>
      <c r="P306" s="575"/>
      <c r="Q306" s="575"/>
      <c r="R306" s="575"/>
      <c r="S306" s="575"/>
      <c r="T306" s="809"/>
      <c r="U306" s="575"/>
      <c r="V306" s="575"/>
      <c r="W306" s="575"/>
      <c r="X306" s="575"/>
      <c r="Y306" s="575"/>
      <c r="Z306" s="575"/>
      <c r="AA306" s="809"/>
      <c r="AB306" s="817"/>
      <c r="AC306" s="575"/>
      <c r="AD306" s="575"/>
      <c r="AE306" s="753"/>
      <c r="AF306" s="575"/>
      <c r="AG306" s="575"/>
      <c r="AH306" s="842"/>
      <c r="AI306" s="1013">
        <f t="shared" si="15"/>
        <v>0</v>
      </c>
      <c r="AJ306" s="949">
        <v>0</v>
      </c>
      <c r="AK306" s="581">
        <f t="shared" si="16"/>
        <v>0</v>
      </c>
      <c r="AL306" s="750"/>
      <c r="AM306" s="743">
        <f t="shared" si="17"/>
        <v>0</v>
      </c>
    </row>
    <row r="307" spans="1:39" s="560" customFormat="1" ht="13.2" customHeight="1">
      <c r="A307" s="607" t="s">
        <v>278</v>
      </c>
      <c r="B307" s="607" t="s">
        <v>1239</v>
      </c>
      <c r="C307" s="690"/>
      <c r="D307" s="580"/>
      <c r="E307" s="581"/>
      <c r="F307" s="778"/>
      <c r="G307" s="581"/>
      <c r="H307" s="581"/>
      <c r="I307" s="949"/>
      <c r="J307" s="949"/>
      <c r="K307" s="825"/>
      <c r="L307" s="575"/>
      <c r="M307" s="809"/>
      <c r="N307" s="575"/>
      <c r="O307" s="575"/>
      <c r="P307" s="575"/>
      <c r="Q307" s="575"/>
      <c r="R307" s="575"/>
      <c r="S307" s="575"/>
      <c r="T307" s="809"/>
      <c r="U307" s="575"/>
      <c r="V307" s="575"/>
      <c r="W307" s="575"/>
      <c r="X307" s="575"/>
      <c r="Y307" s="575"/>
      <c r="Z307" s="575"/>
      <c r="AA307" s="809"/>
      <c r="AB307" s="817"/>
      <c r="AC307" s="575"/>
      <c r="AD307" s="575"/>
      <c r="AE307" s="753"/>
      <c r="AF307" s="575"/>
      <c r="AG307" s="575"/>
      <c r="AH307" s="842"/>
      <c r="AI307" s="1013">
        <f t="shared" si="15"/>
        <v>0</v>
      </c>
      <c r="AJ307" s="949">
        <v>0</v>
      </c>
      <c r="AK307" s="581">
        <f t="shared" si="16"/>
        <v>0</v>
      </c>
      <c r="AL307" s="750" t="s">
        <v>1618</v>
      </c>
      <c r="AM307" s="743">
        <f t="shared" si="17"/>
        <v>11.52</v>
      </c>
    </row>
    <row r="308" spans="1:39" s="560" customFormat="1" ht="13.2" customHeight="1">
      <c r="A308" s="604" t="s">
        <v>800</v>
      </c>
      <c r="B308" s="604" t="s">
        <v>1240</v>
      </c>
      <c r="C308" s="614" t="s">
        <v>37</v>
      </c>
      <c r="D308" s="580"/>
      <c r="E308" s="581"/>
      <c r="F308" s="778"/>
      <c r="G308" s="581"/>
      <c r="H308" s="581"/>
      <c r="I308" s="949"/>
      <c r="J308" s="949"/>
      <c r="K308" s="825"/>
      <c r="L308" s="575"/>
      <c r="M308" s="809"/>
      <c r="N308" s="575"/>
      <c r="O308" s="575"/>
      <c r="P308" s="575"/>
      <c r="Q308" s="575"/>
      <c r="R308" s="575"/>
      <c r="S308" s="575"/>
      <c r="T308" s="809"/>
      <c r="U308" s="575"/>
      <c r="V308" s="575"/>
      <c r="W308" s="575"/>
      <c r="X308" s="575"/>
      <c r="Y308" s="575"/>
      <c r="Z308" s="575"/>
      <c r="AA308" s="809"/>
      <c r="AB308" s="817"/>
      <c r="AC308" s="575"/>
      <c r="AD308" s="575"/>
      <c r="AE308" s="753"/>
      <c r="AF308" s="575"/>
      <c r="AG308" s="575"/>
      <c r="AH308" s="842"/>
      <c r="AI308" s="1013">
        <f t="shared" si="15"/>
        <v>0</v>
      </c>
      <c r="AJ308" s="949">
        <v>0</v>
      </c>
      <c r="AK308" s="581">
        <f t="shared" si="16"/>
        <v>0</v>
      </c>
      <c r="AL308" s="750" t="s">
        <v>1619</v>
      </c>
      <c r="AM308" s="743">
        <f t="shared" si="17"/>
        <v>5.18</v>
      </c>
    </row>
    <row r="309" spans="1:39" s="560" customFormat="1" ht="13.2" customHeight="1">
      <c r="A309" s="604" t="s">
        <v>801</v>
      </c>
      <c r="B309" s="604" t="s">
        <v>1241</v>
      </c>
      <c r="C309" s="614" t="s">
        <v>36</v>
      </c>
      <c r="D309" s="580"/>
      <c r="E309" s="581"/>
      <c r="F309" s="778"/>
      <c r="G309" s="581"/>
      <c r="H309" s="581"/>
      <c r="I309" s="949"/>
      <c r="J309" s="949"/>
      <c r="K309" s="825"/>
      <c r="L309" s="575"/>
      <c r="M309" s="809"/>
      <c r="N309" s="575"/>
      <c r="O309" s="575"/>
      <c r="P309" s="575"/>
      <c r="Q309" s="575"/>
      <c r="R309" s="575"/>
      <c r="S309" s="575"/>
      <c r="T309" s="809"/>
      <c r="U309" s="575"/>
      <c r="V309" s="575"/>
      <c r="W309" s="575"/>
      <c r="X309" s="575"/>
      <c r="Y309" s="575"/>
      <c r="Z309" s="575"/>
      <c r="AA309" s="809"/>
      <c r="AB309" s="817"/>
      <c r="AC309" s="575"/>
      <c r="AD309" s="575"/>
      <c r="AE309" s="753"/>
      <c r="AF309" s="575"/>
      <c r="AG309" s="575"/>
      <c r="AH309" s="842"/>
      <c r="AI309" s="1013">
        <f t="shared" si="15"/>
        <v>0</v>
      </c>
      <c r="AJ309" s="949">
        <v>0</v>
      </c>
      <c r="AK309" s="581">
        <f t="shared" si="16"/>
        <v>0</v>
      </c>
      <c r="AL309" s="750"/>
      <c r="AM309" s="743">
        <f t="shared" si="17"/>
        <v>0</v>
      </c>
    </row>
    <row r="310" spans="1:39" s="560" customFormat="1" ht="13.2" customHeight="1">
      <c r="A310" s="607" t="s">
        <v>279</v>
      </c>
      <c r="B310" s="607" t="s">
        <v>1242</v>
      </c>
      <c r="C310" s="690"/>
      <c r="D310" s="580"/>
      <c r="E310" s="581"/>
      <c r="F310" s="778"/>
      <c r="G310" s="581"/>
      <c r="H310" s="581"/>
      <c r="I310" s="949"/>
      <c r="J310" s="949"/>
      <c r="K310" s="825"/>
      <c r="L310" s="575"/>
      <c r="M310" s="809"/>
      <c r="N310" s="575"/>
      <c r="O310" s="575"/>
      <c r="P310" s="575"/>
      <c r="Q310" s="575"/>
      <c r="R310" s="575"/>
      <c r="S310" s="575"/>
      <c r="T310" s="809"/>
      <c r="U310" s="575"/>
      <c r="V310" s="575"/>
      <c r="W310" s="575"/>
      <c r="X310" s="575"/>
      <c r="Y310" s="575"/>
      <c r="Z310" s="575"/>
      <c r="AA310" s="809"/>
      <c r="AB310" s="817"/>
      <c r="AC310" s="575"/>
      <c r="AD310" s="575"/>
      <c r="AE310" s="753"/>
      <c r="AF310" s="575"/>
      <c r="AG310" s="575"/>
      <c r="AH310" s="842"/>
      <c r="AI310" s="1013">
        <f t="shared" si="15"/>
        <v>0</v>
      </c>
      <c r="AJ310" s="949">
        <v>0</v>
      </c>
      <c r="AK310" s="581">
        <f t="shared" si="16"/>
        <v>0</v>
      </c>
      <c r="AL310" s="750" t="s">
        <v>1620</v>
      </c>
      <c r="AM310" s="743">
        <f t="shared" si="17"/>
        <v>73.5</v>
      </c>
    </row>
    <row r="311" spans="1:39" s="560" customFormat="1" ht="13.2" customHeight="1">
      <c r="A311" s="604" t="s">
        <v>802</v>
      </c>
      <c r="B311" s="604" t="s">
        <v>1243</v>
      </c>
      <c r="C311" s="614" t="s">
        <v>36</v>
      </c>
      <c r="D311" s="580"/>
      <c r="E311" s="581"/>
      <c r="F311" s="778"/>
      <c r="G311" s="581"/>
      <c r="H311" s="581"/>
      <c r="I311" s="949"/>
      <c r="J311" s="949"/>
      <c r="K311" s="825"/>
      <c r="L311" s="575"/>
      <c r="M311" s="809"/>
      <c r="N311" s="575"/>
      <c r="O311" s="575"/>
      <c r="P311" s="575"/>
      <c r="Q311" s="575"/>
      <c r="R311" s="575"/>
      <c r="S311" s="575"/>
      <c r="T311" s="809"/>
      <c r="U311" s="575"/>
      <c r="V311" s="575"/>
      <c r="W311" s="575"/>
      <c r="X311" s="575"/>
      <c r="Y311" s="575"/>
      <c r="Z311" s="575"/>
      <c r="AA311" s="809"/>
      <c r="AB311" s="817"/>
      <c r="AC311" s="575"/>
      <c r="AD311" s="575"/>
      <c r="AE311" s="753"/>
      <c r="AF311" s="575"/>
      <c r="AG311" s="575"/>
      <c r="AH311" s="842"/>
      <c r="AI311" s="1013">
        <f t="shared" si="15"/>
        <v>0</v>
      </c>
      <c r="AJ311" s="949">
        <v>0</v>
      </c>
      <c r="AK311" s="581">
        <f t="shared" si="16"/>
        <v>0</v>
      </c>
      <c r="AL311" s="750"/>
      <c r="AM311" s="743">
        <f t="shared" si="17"/>
        <v>0</v>
      </c>
    </row>
    <row r="312" spans="1:39" s="560" customFormat="1" ht="13.2" customHeight="1">
      <c r="A312" s="607" t="s">
        <v>280</v>
      </c>
      <c r="B312" s="607" t="s">
        <v>1244</v>
      </c>
      <c r="C312" s="690"/>
      <c r="D312" s="580"/>
      <c r="E312" s="581"/>
      <c r="F312" s="778"/>
      <c r="G312" s="581"/>
      <c r="H312" s="581"/>
      <c r="I312" s="949"/>
      <c r="J312" s="949"/>
      <c r="K312" s="825"/>
      <c r="L312" s="575"/>
      <c r="M312" s="809"/>
      <c r="N312" s="575"/>
      <c r="O312" s="575"/>
      <c r="P312" s="575"/>
      <c r="Q312" s="575"/>
      <c r="R312" s="575"/>
      <c r="S312" s="575"/>
      <c r="T312" s="809"/>
      <c r="U312" s="575"/>
      <c r="V312" s="575"/>
      <c r="W312" s="575"/>
      <c r="X312" s="575"/>
      <c r="Y312" s="575"/>
      <c r="Z312" s="575"/>
      <c r="AA312" s="809"/>
      <c r="AB312" s="817"/>
      <c r="AC312" s="575"/>
      <c r="AD312" s="575"/>
      <c r="AE312" s="753"/>
      <c r="AF312" s="575"/>
      <c r="AG312" s="575"/>
      <c r="AH312" s="842"/>
      <c r="AI312" s="1013">
        <f t="shared" si="15"/>
        <v>0</v>
      </c>
      <c r="AJ312" s="949">
        <v>0</v>
      </c>
      <c r="AK312" s="581">
        <f t="shared" si="16"/>
        <v>0</v>
      </c>
      <c r="AL312" s="750" t="s">
        <v>1621</v>
      </c>
      <c r="AM312" s="743">
        <f t="shared" si="17"/>
        <v>15.8</v>
      </c>
    </row>
    <row r="313" spans="1:39" s="560" customFormat="1" ht="13.2" customHeight="1">
      <c r="A313" s="604" t="s">
        <v>803</v>
      </c>
      <c r="B313" s="604" t="s">
        <v>1245</v>
      </c>
      <c r="C313" s="614" t="s">
        <v>36</v>
      </c>
      <c r="D313" s="580"/>
      <c r="E313" s="581"/>
      <c r="F313" s="778"/>
      <c r="G313" s="581"/>
      <c r="H313" s="581"/>
      <c r="I313" s="949"/>
      <c r="J313" s="949"/>
      <c r="K313" s="825"/>
      <c r="L313" s="575"/>
      <c r="M313" s="809"/>
      <c r="N313" s="575"/>
      <c r="O313" s="575"/>
      <c r="P313" s="575"/>
      <c r="Q313" s="575"/>
      <c r="R313" s="575"/>
      <c r="S313" s="575"/>
      <c r="T313" s="809"/>
      <c r="U313" s="575"/>
      <c r="V313" s="575"/>
      <c r="W313" s="575"/>
      <c r="X313" s="575"/>
      <c r="Y313" s="575"/>
      <c r="Z313" s="575"/>
      <c r="AA313" s="809"/>
      <c r="AB313" s="817"/>
      <c r="AC313" s="575"/>
      <c r="AD313" s="575"/>
      <c r="AE313" s="753"/>
      <c r="AF313" s="575"/>
      <c r="AG313" s="575"/>
      <c r="AH313" s="842"/>
      <c r="AI313" s="1013">
        <f t="shared" si="15"/>
        <v>0</v>
      </c>
      <c r="AJ313" s="949">
        <v>0</v>
      </c>
      <c r="AK313" s="581">
        <f t="shared" si="16"/>
        <v>0</v>
      </c>
      <c r="AL313" s="750" t="s">
        <v>1622</v>
      </c>
      <c r="AM313" s="743">
        <f t="shared" si="17"/>
        <v>27.62</v>
      </c>
    </row>
    <row r="314" spans="1:39" s="560" customFormat="1" ht="13.2" customHeight="1">
      <c r="A314" s="604" t="s">
        <v>804</v>
      </c>
      <c r="B314" s="604" t="s">
        <v>1246</v>
      </c>
      <c r="C314" s="614" t="s">
        <v>37</v>
      </c>
      <c r="D314" s="580"/>
      <c r="E314" s="581"/>
      <c r="F314" s="778"/>
      <c r="G314" s="581"/>
      <c r="H314" s="581"/>
      <c r="I314" s="949"/>
      <c r="J314" s="949"/>
      <c r="K314" s="825"/>
      <c r="L314" s="575"/>
      <c r="M314" s="809"/>
      <c r="N314" s="575"/>
      <c r="O314" s="575"/>
      <c r="P314" s="575"/>
      <c r="Q314" s="575"/>
      <c r="R314" s="575"/>
      <c r="S314" s="575"/>
      <c r="T314" s="809"/>
      <c r="U314" s="575"/>
      <c r="V314" s="575"/>
      <c r="W314" s="575"/>
      <c r="X314" s="575"/>
      <c r="Y314" s="575"/>
      <c r="Z314" s="575"/>
      <c r="AA314" s="809"/>
      <c r="AB314" s="817"/>
      <c r="AC314" s="575"/>
      <c r="AD314" s="575"/>
      <c r="AE314" s="753"/>
      <c r="AF314" s="575"/>
      <c r="AG314" s="575"/>
      <c r="AH314" s="842"/>
      <c r="AI314" s="1013">
        <f t="shared" si="15"/>
        <v>0</v>
      </c>
      <c r="AJ314" s="949">
        <v>0</v>
      </c>
      <c r="AK314" s="581">
        <f t="shared" si="16"/>
        <v>0</v>
      </c>
      <c r="AL314" s="750" t="s">
        <v>1623</v>
      </c>
      <c r="AM314" s="743">
        <f t="shared" si="17"/>
        <v>30.2</v>
      </c>
    </row>
    <row r="315" spans="1:39" s="560" customFormat="1" ht="13.2" customHeight="1">
      <c r="A315" s="604" t="s">
        <v>805</v>
      </c>
      <c r="B315" s="604" t="s">
        <v>1247</v>
      </c>
      <c r="C315" s="614" t="s">
        <v>37</v>
      </c>
      <c r="D315" s="580"/>
      <c r="E315" s="581"/>
      <c r="F315" s="778"/>
      <c r="G315" s="581"/>
      <c r="H315" s="581"/>
      <c r="I315" s="949"/>
      <c r="J315" s="949"/>
      <c r="K315" s="825"/>
      <c r="L315" s="575"/>
      <c r="M315" s="809"/>
      <c r="N315" s="575"/>
      <c r="O315" s="575"/>
      <c r="P315" s="575"/>
      <c r="Q315" s="575"/>
      <c r="R315" s="575"/>
      <c r="S315" s="575"/>
      <c r="T315" s="809"/>
      <c r="U315" s="575"/>
      <c r="V315" s="575"/>
      <c r="W315" s="575"/>
      <c r="X315" s="575"/>
      <c r="Y315" s="575"/>
      <c r="Z315" s="575"/>
      <c r="AA315" s="809"/>
      <c r="AB315" s="817"/>
      <c r="AC315" s="575"/>
      <c r="AD315" s="575"/>
      <c r="AE315" s="753"/>
      <c r="AF315" s="575"/>
      <c r="AG315" s="575"/>
      <c r="AH315" s="842"/>
      <c r="AI315" s="1013">
        <f t="shared" si="15"/>
        <v>0</v>
      </c>
      <c r="AJ315" s="949">
        <v>0</v>
      </c>
      <c r="AK315" s="581">
        <f t="shared" si="16"/>
        <v>0</v>
      </c>
      <c r="AL315" s="750"/>
      <c r="AM315" s="743">
        <f t="shared" si="17"/>
        <v>0</v>
      </c>
    </row>
    <row r="316" spans="1:39" s="560" customFormat="1" ht="13.2" customHeight="1">
      <c r="A316" s="607" t="s">
        <v>281</v>
      </c>
      <c r="B316" s="607" t="s">
        <v>1184</v>
      </c>
      <c r="C316" s="690"/>
      <c r="D316" s="580"/>
      <c r="E316" s="581"/>
      <c r="F316" s="778"/>
      <c r="G316" s="581"/>
      <c r="H316" s="581"/>
      <c r="I316" s="949"/>
      <c r="J316" s="949"/>
      <c r="K316" s="825"/>
      <c r="L316" s="575"/>
      <c r="M316" s="809"/>
      <c r="N316" s="575"/>
      <c r="O316" s="575"/>
      <c r="P316" s="575"/>
      <c r="Q316" s="575"/>
      <c r="R316" s="575"/>
      <c r="S316" s="575"/>
      <c r="T316" s="809"/>
      <c r="U316" s="575"/>
      <c r="V316" s="575"/>
      <c r="W316" s="575"/>
      <c r="X316" s="575"/>
      <c r="Y316" s="575"/>
      <c r="Z316" s="575"/>
      <c r="AA316" s="809"/>
      <c r="AB316" s="817"/>
      <c r="AC316" s="575"/>
      <c r="AD316" s="575"/>
      <c r="AE316" s="753"/>
      <c r="AF316" s="575"/>
      <c r="AG316" s="575"/>
      <c r="AH316" s="842"/>
      <c r="AI316" s="1013">
        <f t="shared" si="15"/>
        <v>0</v>
      </c>
      <c r="AJ316" s="949">
        <v>0</v>
      </c>
      <c r="AK316" s="581">
        <f t="shared" si="16"/>
        <v>0</v>
      </c>
      <c r="AL316" s="750" t="s">
        <v>1624</v>
      </c>
      <c r="AM316" s="743">
        <f t="shared" si="17"/>
        <v>90.78</v>
      </c>
    </row>
    <row r="317" spans="1:39" s="560" customFormat="1" ht="13.2" customHeight="1">
      <c r="A317" s="604" t="s">
        <v>806</v>
      </c>
      <c r="B317" s="604" t="s">
        <v>1248</v>
      </c>
      <c r="C317" s="614" t="s">
        <v>36</v>
      </c>
      <c r="D317" s="580"/>
      <c r="E317" s="581"/>
      <c r="F317" s="778"/>
      <c r="G317" s="581"/>
      <c r="H317" s="581"/>
      <c r="I317" s="949"/>
      <c r="J317" s="949"/>
      <c r="K317" s="825"/>
      <c r="L317" s="575"/>
      <c r="M317" s="809"/>
      <c r="N317" s="575"/>
      <c r="O317" s="575"/>
      <c r="P317" s="575"/>
      <c r="Q317" s="575"/>
      <c r="R317" s="575"/>
      <c r="S317" s="575"/>
      <c r="T317" s="809"/>
      <c r="U317" s="575"/>
      <c r="V317" s="575"/>
      <c r="W317" s="575"/>
      <c r="X317" s="575"/>
      <c r="Y317" s="575"/>
      <c r="Z317" s="575"/>
      <c r="AA317" s="809"/>
      <c r="AB317" s="817"/>
      <c r="AC317" s="575"/>
      <c r="AD317" s="575"/>
      <c r="AE317" s="753"/>
      <c r="AF317" s="575"/>
      <c r="AG317" s="575"/>
      <c r="AH317" s="842"/>
      <c r="AI317" s="1013">
        <f t="shared" si="15"/>
        <v>0</v>
      </c>
      <c r="AJ317" s="949">
        <v>0</v>
      </c>
      <c r="AK317" s="581">
        <f t="shared" si="16"/>
        <v>0</v>
      </c>
      <c r="AL317" s="750" t="s">
        <v>1625</v>
      </c>
      <c r="AM317" s="743">
        <f t="shared" si="17"/>
        <v>29.18</v>
      </c>
    </row>
    <row r="318" spans="1:39" s="560" customFormat="1" ht="13.2" customHeight="1">
      <c r="A318" s="604" t="s">
        <v>807</v>
      </c>
      <c r="B318" s="604" t="s">
        <v>1249</v>
      </c>
      <c r="C318" s="614" t="s">
        <v>37</v>
      </c>
      <c r="D318" s="580"/>
      <c r="E318" s="581"/>
      <c r="F318" s="778"/>
      <c r="G318" s="581"/>
      <c r="H318" s="581"/>
      <c r="I318" s="949"/>
      <c r="J318" s="949"/>
      <c r="K318" s="825"/>
      <c r="L318" s="575"/>
      <c r="M318" s="809"/>
      <c r="N318" s="575"/>
      <c r="O318" s="575"/>
      <c r="P318" s="575"/>
      <c r="Q318" s="575"/>
      <c r="R318" s="575"/>
      <c r="S318" s="575"/>
      <c r="T318" s="809"/>
      <c r="U318" s="575"/>
      <c r="V318" s="575"/>
      <c r="W318" s="575"/>
      <c r="X318" s="575"/>
      <c r="Y318" s="575"/>
      <c r="Z318" s="575"/>
      <c r="AA318" s="809"/>
      <c r="AB318" s="817"/>
      <c r="AC318" s="575"/>
      <c r="AD318" s="575"/>
      <c r="AE318" s="753"/>
      <c r="AF318" s="575"/>
      <c r="AG318" s="575"/>
      <c r="AH318" s="842"/>
      <c r="AI318" s="1013">
        <f t="shared" si="15"/>
        <v>0</v>
      </c>
      <c r="AJ318" s="949">
        <v>0</v>
      </c>
      <c r="AK318" s="581">
        <f t="shared" si="16"/>
        <v>0</v>
      </c>
      <c r="AL318" s="750"/>
      <c r="AM318" s="743">
        <f t="shared" si="17"/>
        <v>0</v>
      </c>
    </row>
    <row r="319" spans="1:39" s="560" customFormat="1" ht="13.2" customHeight="1">
      <c r="A319" s="607" t="s">
        <v>808</v>
      </c>
      <c r="B319" s="607" t="s">
        <v>1250</v>
      </c>
      <c r="C319" s="690"/>
      <c r="D319" s="580"/>
      <c r="E319" s="581"/>
      <c r="F319" s="778"/>
      <c r="G319" s="581"/>
      <c r="H319" s="581"/>
      <c r="I319" s="949"/>
      <c r="J319" s="949"/>
      <c r="K319" s="825"/>
      <c r="L319" s="575"/>
      <c r="M319" s="809"/>
      <c r="N319" s="575"/>
      <c r="O319" s="575"/>
      <c r="P319" s="575"/>
      <c r="Q319" s="575"/>
      <c r="R319" s="575"/>
      <c r="S319" s="575"/>
      <c r="T319" s="809"/>
      <c r="U319" s="575"/>
      <c r="V319" s="575"/>
      <c r="W319" s="575"/>
      <c r="X319" s="575"/>
      <c r="Y319" s="575"/>
      <c r="Z319" s="575"/>
      <c r="AA319" s="809"/>
      <c r="AB319" s="817"/>
      <c r="AC319" s="575"/>
      <c r="AD319" s="575"/>
      <c r="AE319" s="753"/>
      <c r="AF319" s="575"/>
      <c r="AG319" s="575"/>
      <c r="AH319" s="842"/>
      <c r="AI319" s="1013">
        <f t="shared" si="15"/>
        <v>0</v>
      </c>
      <c r="AJ319" s="949">
        <v>0</v>
      </c>
      <c r="AK319" s="581">
        <f t="shared" si="16"/>
        <v>0</v>
      </c>
      <c r="AL319" s="750" t="s">
        <v>1626</v>
      </c>
      <c r="AM319" s="743">
        <f t="shared" si="17"/>
        <v>6.3</v>
      </c>
    </row>
    <row r="320" spans="1:39" s="560" customFormat="1" ht="13.2" customHeight="1">
      <c r="A320" s="604" t="s">
        <v>809</v>
      </c>
      <c r="B320" s="604" t="s">
        <v>1251</v>
      </c>
      <c r="C320" s="614" t="s">
        <v>36</v>
      </c>
      <c r="D320" s="580"/>
      <c r="E320" s="581"/>
      <c r="F320" s="778"/>
      <c r="G320" s="581"/>
      <c r="H320" s="581"/>
      <c r="I320" s="949"/>
      <c r="J320" s="949"/>
      <c r="K320" s="825"/>
      <c r="L320" s="575"/>
      <c r="M320" s="809"/>
      <c r="N320" s="575"/>
      <c r="O320" s="575"/>
      <c r="P320" s="575"/>
      <c r="Q320" s="575"/>
      <c r="R320" s="575"/>
      <c r="S320" s="575"/>
      <c r="T320" s="809"/>
      <c r="U320" s="575"/>
      <c r="V320" s="575"/>
      <c r="W320" s="575"/>
      <c r="X320" s="575"/>
      <c r="Y320" s="575"/>
      <c r="Z320" s="575"/>
      <c r="AA320" s="809"/>
      <c r="AB320" s="817"/>
      <c r="AC320" s="575"/>
      <c r="AD320" s="575"/>
      <c r="AE320" s="753"/>
      <c r="AF320" s="575"/>
      <c r="AG320" s="575"/>
      <c r="AH320" s="842"/>
      <c r="AI320" s="1013">
        <f t="shared" si="15"/>
        <v>0</v>
      </c>
      <c r="AJ320" s="949">
        <v>0</v>
      </c>
      <c r="AK320" s="581">
        <f t="shared" si="16"/>
        <v>0</v>
      </c>
      <c r="AL320" s="750"/>
      <c r="AM320" s="743">
        <f t="shared" si="17"/>
        <v>0</v>
      </c>
    </row>
    <row r="321" spans="1:39" s="560" customFormat="1" ht="13.2" customHeight="1">
      <c r="A321" s="607" t="s">
        <v>810</v>
      </c>
      <c r="B321" s="607" t="s">
        <v>1252</v>
      </c>
      <c r="C321" s="690"/>
      <c r="D321" s="580"/>
      <c r="E321" s="581"/>
      <c r="F321" s="778"/>
      <c r="G321" s="581"/>
      <c r="H321" s="581"/>
      <c r="I321" s="949"/>
      <c r="J321" s="949"/>
      <c r="K321" s="825"/>
      <c r="L321" s="575"/>
      <c r="M321" s="809"/>
      <c r="N321" s="575"/>
      <c r="O321" s="575"/>
      <c r="P321" s="575"/>
      <c r="Q321" s="575"/>
      <c r="R321" s="575"/>
      <c r="S321" s="575"/>
      <c r="T321" s="809"/>
      <c r="U321" s="575"/>
      <c r="V321" s="575"/>
      <c r="W321" s="575"/>
      <c r="X321" s="575"/>
      <c r="Y321" s="575"/>
      <c r="Z321" s="575"/>
      <c r="AA321" s="809"/>
      <c r="AB321" s="817"/>
      <c r="AC321" s="575"/>
      <c r="AD321" s="575"/>
      <c r="AE321" s="753"/>
      <c r="AF321" s="575"/>
      <c r="AG321" s="575"/>
      <c r="AH321" s="842"/>
      <c r="AI321" s="1013">
        <f t="shared" si="15"/>
        <v>0</v>
      </c>
      <c r="AJ321" s="949">
        <v>0</v>
      </c>
      <c r="AK321" s="581">
        <f t="shared" si="16"/>
        <v>0</v>
      </c>
      <c r="AL321" s="750" t="s">
        <v>1627</v>
      </c>
      <c r="AM321" s="743">
        <f t="shared" si="17"/>
        <v>9</v>
      </c>
    </row>
    <row r="322" spans="1:39" s="560" customFormat="1" ht="13.2" customHeight="1">
      <c r="A322" s="604" t="s">
        <v>811</v>
      </c>
      <c r="B322" s="604" t="s">
        <v>1253</v>
      </c>
      <c r="C322" s="614" t="s">
        <v>1437</v>
      </c>
      <c r="D322" s="580"/>
      <c r="E322" s="581"/>
      <c r="F322" s="778"/>
      <c r="G322" s="581"/>
      <c r="H322" s="581"/>
      <c r="I322" s="949"/>
      <c r="J322" s="949"/>
      <c r="K322" s="825"/>
      <c r="L322" s="575"/>
      <c r="M322" s="809"/>
      <c r="N322" s="575"/>
      <c r="O322" s="575"/>
      <c r="P322" s="575"/>
      <c r="Q322" s="575"/>
      <c r="R322" s="575"/>
      <c r="S322" s="575"/>
      <c r="T322" s="809"/>
      <c r="U322" s="575"/>
      <c r="V322" s="575"/>
      <c r="W322" s="575"/>
      <c r="X322" s="575"/>
      <c r="Y322" s="575"/>
      <c r="Z322" s="575"/>
      <c r="AA322" s="809"/>
      <c r="AB322" s="817"/>
      <c r="AC322" s="575"/>
      <c r="AD322" s="575"/>
      <c r="AE322" s="753"/>
      <c r="AF322" s="575"/>
      <c r="AG322" s="575"/>
      <c r="AH322" s="842"/>
      <c r="AI322" s="1013">
        <f t="shared" si="15"/>
        <v>0</v>
      </c>
      <c r="AJ322" s="949">
        <v>0</v>
      </c>
      <c r="AK322" s="581">
        <f t="shared" si="16"/>
        <v>0</v>
      </c>
      <c r="AL322" s="750" t="s">
        <v>1604</v>
      </c>
      <c r="AM322" s="743">
        <f t="shared" si="17"/>
        <v>3</v>
      </c>
    </row>
    <row r="323" spans="1:39" s="560" customFormat="1" ht="13.2" customHeight="1">
      <c r="A323" s="604" t="s">
        <v>812</v>
      </c>
      <c r="B323" s="604" t="s">
        <v>1254</v>
      </c>
      <c r="C323" s="614" t="s">
        <v>35</v>
      </c>
      <c r="D323" s="580"/>
      <c r="E323" s="581"/>
      <c r="F323" s="778"/>
      <c r="G323" s="581"/>
      <c r="H323" s="581"/>
      <c r="I323" s="949"/>
      <c r="J323" s="949"/>
      <c r="K323" s="825"/>
      <c r="L323" s="575"/>
      <c r="M323" s="809"/>
      <c r="N323" s="575"/>
      <c r="O323" s="575"/>
      <c r="P323" s="575"/>
      <c r="Q323" s="575"/>
      <c r="R323" s="575"/>
      <c r="S323" s="575"/>
      <c r="T323" s="809"/>
      <c r="U323" s="575"/>
      <c r="V323" s="575"/>
      <c r="W323" s="575"/>
      <c r="X323" s="575"/>
      <c r="Y323" s="575"/>
      <c r="Z323" s="575"/>
      <c r="AA323" s="809"/>
      <c r="AB323" s="817"/>
      <c r="AC323" s="575"/>
      <c r="AD323" s="575"/>
      <c r="AE323" s="753"/>
      <c r="AF323" s="575"/>
      <c r="AG323" s="575"/>
      <c r="AH323" s="842"/>
      <c r="AI323" s="1013">
        <f t="shared" si="15"/>
        <v>0</v>
      </c>
      <c r="AJ323" s="949">
        <v>0</v>
      </c>
      <c r="AK323" s="581">
        <f t="shared" si="16"/>
        <v>0</v>
      </c>
      <c r="AL323" s="750"/>
      <c r="AM323" s="743">
        <f t="shared" si="17"/>
        <v>0</v>
      </c>
    </row>
    <row r="324" spans="1:39" s="560" customFormat="1" ht="13.2" customHeight="1">
      <c r="A324" s="607" t="s">
        <v>813</v>
      </c>
      <c r="B324" s="607" t="s">
        <v>1255</v>
      </c>
      <c r="C324" s="690"/>
      <c r="D324" s="580"/>
      <c r="E324" s="581"/>
      <c r="F324" s="778"/>
      <c r="G324" s="581"/>
      <c r="H324" s="581"/>
      <c r="I324" s="949"/>
      <c r="J324" s="949"/>
      <c r="K324" s="825"/>
      <c r="L324" s="575"/>
      <c r="M324" s="809"/>
      <c r="N324" s="575"/>
      <c r="O324" s="575"/>
      <c r="P324" s="575"/>
      <c r="Q324" s="575"/>
      <c r="R324" s="575"/>
      <c r="S324" s="575"/>
      <c r="T324" s="809"/>
      <c r="U324" s="575"/>
      <c r="V324" s="575"/>
      <c r="W324" s="575"/>
      <c r="X324" s="575"/>
      <c r="Y324" s="575"/>
      <c r="Z324" s="575"/>
      <c r="AA324" s="809"/>
      <c r="AB324" s="817"/>
      <c r="AC324" s="575"/>
      <c r="AD324" s="575"/>
      <c r="AE324" s="753"/>
      <c r="AF324" s="575"/>
      <c r="AG324" s="575"/>
      <c r="AH324" s="842"/>
      <c r="AI324" s="1013">
        <f t="shared" si="15"/>
        <v>0</v>
      </c>
      <c r="AJ324" s="949">
        <v>0</v>
      </c>
      <c r="AK324" s="581">
        <f t="shared" si="16"/>
        <v>0</v>
      </c>
      <c r="AL324" s="750" t="s">
        <v>1628</v>
      </c>
      <c r="AM324" s="743">
        <f t="shared" si="17"/>
        <v>19.149999999999999</v>
      </c>
    </row>
    <row r="325" spans="1:39" s="560" customFormat="1" ht="13.2" customHeight="1">
      <c r="A325" s="604" t="s">
        <v>814</v>
      </c>
      <c r="B325" s="604" t="s">
        <v>1256</v>
      </c>
      <c r="C325" s="614" t="s">
        <v>36</v>
      </c>
      <c r="D325" s="580"/>
      <c r="E325" s="581"/>
      <c r="F325" s="778"/>
      <c r="G325" s="581"/>
      <c r="H325" s="581"/>
      <c r="I325" s="949"/>
      <c r="J325" s="949"/>
      <c r="K325" s="825"/>
      <c r="L325" s="575"/>
      <c r="M325" s="809"/>
      <c r="N325" s="575"/>
      <c r="O325" s="575"/>
      <c r="P325" s="575"/>
      <c r="Q325" s="575"/>
      <c r="R325" s="575"/>
      <c r="S325" s="575"/>
      <c r="T325" s="809"/>
      <c r="U325" s="575"/>
      <c r="V325" s="575"/>
      <c r="W325" s="575"/>
      <c r="X325" s="575"/>
      <c r="Y325" s="575"/>
      <c r="Z325" s="575"/>
      <c r="AA325" s="809"/>
      <c r="AB325" s="817"/>
      <c r="AC325" s="575"/>
      <c r="AD325" s="575"/>
      <c r="AE325" s="753"/>
      <c r="AF325" s="575"/>
      <c r="AG325" s="575"/>
      <c r="AH325" s="842"/>
      <c r="AI325" s="1013">
        <f t="shared" si="15"/>
        <v>0</v>
      </c>
      <c r="AJ325" s="949">
        <v>0</v>
      </c>
      <c r="AK325" s="581">
        <f t="shared" si="16"/>
        <v>0</v>
      </c>
      <c r="AL325" s="750" t="s">
        <v>1629</v>
      </c>
      <c r="AM325" s="743">
        <f t="shared" si="17"/>
        <v>1.5</v>
      </c>
    </row>
    <row r="326" spans="1:39" s="560" customFormat="1" ht="13.2" customHeight="1">
      <c r="A326" s="604" t="s">
        <v>815</v>
      </c>
      <c r="B326" s="604" t="s">
        <v>1257</v>
      </c>
      <c r="C326" s="614" t="s">
        <v>36</v>
      </c>
      <c r="D326" s="580"/>
      <c r="E326" s="581"/>
      <c r="F326" s="778"/>
      <c r="G326" s="581"/>
      <c r="H326" s="581"/>
      <c r="I326" s="949"/>
      <c r="J326" s="949"/>
      <c r="K326" s="825"/>
      <c r="L326" s="575"/>
      <c r="M326" s="809"/>
      <c r="N326" s="575"/>
      <c r="O326" s="575"/>
      <c r="P326" s="575"/>
      <c r="Q326" s="575"/>
      <c r="R326" s="575"/>
      <c r="S326" s="575"/>
      <c r="T326" s="809"/>
      <c r="U326" s="575"/>
      <c r="V326" s="575"/>
      <c r="W326" s="575"/>
      <c r="X326" s="575"/>
      <c r="Y326" s="575"/>
      <c r="Z326" s="575"/>
      <c r="AA326" s="809"/>
      <c r="AB326" s="817"/>
      <c r="AC326" s="575"/>
      <c r="AD326" s="575"/>
      <c r="AE326" s="753"/>
      <c r="AF326" s="575"/>
      <c r="AG326" s="575"/>
      <c r="AH326" s="842"/>
      <c r="AI326" s="1013">
        <f t="shared" si="15"/>
        <v>0</v>
      </c>
      <c r="AJ326" s="949">
        <v>0</v>
      </c>
      <c r="AK326" s="581">
        <f t="shared" si="16"/>
        <v>0</v>
      </c>
      <c r="AL326" s="750"/>
      <c r="AM326" s="743">
        <f t="shared" si="17"/>
        <v>0</v>
      </c>
    </row>
    <row r="327" spans="1:39" s="560" customFormat="1" ht="13.2" customHeight="1">
      <c r="A327" s="607" t="s">
        <v>816</v>
      </c>
      <c r="B327" s="607" t="s">
        <v>1258</v>
      </c>
      <c r="C327" s="690"/>
      <c r="D327" s="580"/>
      <c r="E327" s="581"/>
      <c r="F327" s="778"/>
      <c r="G327" s="581"/>
      <c r="H327" s="581"/>
      <c r="I327" s="949"/>
      <c r="J327" s="949"/>
      <c r="K327" s="825"/>
      <c r="L327" s="575"/>
      <c r="M327" s="809"/>
      <c r="N327" s="575"/>
      <c r="O327" s="575"/>
      <c r="P327" s="575"/>
      <c r="Q327" s="575"/>
      <c r="R327" s="575"/>
      <c r="S327" s="575"/>
      <c r="T327" s="809"/>
      <c r="U327" s="575"/>
      <c r="V327" s="575"/>
      <c r="W327" s="575"/>
      <c r="X327" s="575"/>
      <c r="Y327" s="575"/>
      <c r="Z327" s="575"/>
      <c r="AA327" s="809"/>
      <c r="AB327" s="817"/>
      <c r="AC327" s="575"/>
      <c r="AD327" s="575"/>
      <c r="AE327" s="753"/>
      <c r="AF327" s="575"/>
      <c r="AG327" s="575"/>
      <c r="AH327" s="842"/>
      <c r="AI327" s="1013">
        <f t="shared" si="15"/>
        <v>0</v>
      </c>
      <c r="AJ327" s="949">
        <v>0</v>
      </c>
      <c r="AK327" s="581">
        <f t="shared" si="16"/>
        <v>0</v>
      </c>
      <c r="AL327" s="750" t="s">
        <v>1614</v>
      </c>
      <c r="AM327" s="743">
        <f t="shared" si="17"/>
        <v>90.62</v>
      </c>
    </row>
    <row r="328" spans="1:39" s="560" customFormat="1" ht="13.2" customHeight="1">
      <c r="A328" s="604" t="s">
        <v>817</v>
      </c>
      <c r="B328" s="604" t="s">
        <v>1259</v>
      </c>
      <c r="C328" s="614" t="s">
        <v>36</v>
      </c>
      <c r="D328" s="580"/>
      <c r="E328" s="581"/>
      <c r="F328" s="778"/>
      <c r="G328" s="581"/>
      <c r="H328" s="581"/>
      <c r="I328" s="949"/>
      <c r="J328" s="949"/>
      <c r="K328" s="825"/>
      <c r="L328" s="575"/>
      <c r="M328" s="809"/>
      <c r="N328" s="575"/>
      <c r="O328" s="575"/>
      <c r="P328" s="575"/>
      <c r="Q328" s="575"/>
      <c r="R328" s="575"/>
      <c r="S328" s="575"/>
      <c r="T328" s="809"/>
      <c r="U328" s="575"/>
      <c r="V328" s="575"/>
      <c r="W328" s="575"/>
      <c r="X328" s="575"/>
      <c r="Y328" s="575"/>
      <c r="Z328" s="575"/>
      <c r="AA328" s="809"/>
      <c r="AB328" s="817"/>
      <c r="AC328" s="575"/>
      <c r="AD328" s="575"/>
      <c r="AE328" s="753"/>
      <c r="AF328" s="575"/>
      <c r="AG328" s="575"/>
      <c r="AH328" s="842"/>
      <c r="AI328" s="1013">
        <f t="shared" si="15"/>
        <v>0</v>
      </c>
      <c r="AJ328" s="949">
        <v>0</v>
      </c>
      <c r="AK328" s="581">
        <f t="shared" si="16"/>
        <v>0</v>
      </c>
      <c r="AL328" s="750" t="s">
        <v>1607</v>
      </c>
      <c r="AM328" s="743">
        <f t="shared" si="17"/>
        <v>123.1</v>
      </c>
    </row>
    <row r="329" spans="1:39" s="560" customFormat="1" ht="13.2" customHeight="1">
      <c r="A329" s="604" t="s">
        <v>818</v>
      </c>
      <c r="B329" s="604" t="s">
        <v>1260</v>
      </c>
      <c r="C329" s="614" t="s">
        <v>36</v>
      </c>
      <c r="D329" s="580"/>
      <c r="E329" s="581"/>
      <c r="F329" s="778"/>
      <c r="G329" s="581"/>
      <c r="H329" s="581"/>
      <c r="I329" s="949"/>
      <c r="J329" s="949"/>
      <c r="K329" s="825"/>
      <c r="L329" s="575"/>
      <c r="M329" s="809"/>
      <c r="N329" s="575"/>
      <c r="O329" s="575"/>
      <c r="P329" s="575"/>
      <c r="Q329" s="575"/>
      <c r="R329" s="575"/>
      <c r="S329" s="575"/>
      <c r="T329" s="809"/>
      <c r="U329" s="575"/>
      <c r="V329" s="575"/>
      <c r="W329" s="575"/>
      <c r="X329" s="575"/>
      <c r="Y329" s="575"/>
      <c r="Z329" s="575"/>
      <c r="AA329" s="809"/>
      <c r="AB329" s="817"/>
      <c r="AC329" s="575"/>
      <c r="AD329" s="575"/>
      <c r="AE329" s="753"/>
      <c r="AF329" s="575"/>
      <c r="AG329" s="575"/>
      <c r="AH329" s="842"/>
      <c r="AI329" s="1013">
        <f t="shared" si="15"/>
        <v>0</v>
      </c>
      <c r="AJ329" s="949">
        <v>0</v>
      </c>
      <c r="AK329" s="581">
        <f t="shared" si="16"/>
        <v>0</v>
      </c>
      <c r="AL329" s="750" t="s">
        <v>1608</v>
      </c>
      <c r="AM329" s="743">
        <f t="shared" si="17"/>
        <v>54.38</v>
      </c>
    </row>
    <row r="330" spans="1:39" s="560" customFormat="1" ht="13.2" customHeight="1">
      <c r="A330" s="604" t="s">
        <v>819</v>
      </c>
      <c r="B330" s="604" t="s">
        <v>1261</v>
      </c>
      <c r="C330" s="614" t="s">
        <v>36</v>
      </c>
      <c r="D330" s="580"/>
      <c r="E330" s="581"/>
      <c r="F330" s="778"/>
      <c r="G330" s="581"/>
      <c r="H330" s="581"/>
      <c r="I330" s="949"/>
      <c r="J330" s="949"/>
      <c r="K330" s="825"/>
      <c r="L330" s="575"/>
      <c r="M330" s="809"/>
      <c r="N330" s="575"/>
      <c r="O330" s="575"/>
      <c r="P330" s="575"/>
      <c r="Q330" s="575"/>
      <c r="R330" s="575"/>
      <c r="S330" s="575"/>
      <c r="T330" s="809"/>
      <c r="U330" s="575"/>
      <c r="V330" s="575"/>
      <c r="W330" s="575"/>
      <c r="X330" s="575"/>
      <c r="Y330" s="575"/>
      <c r="Z330" s="575"/>
      <c r="AA330" s="809"/>
      <c r="AB330" s="817"/>
      <c r="AC330" s="575"/>
      <c r="AD330" s="575"/>
      <c r="AE330" s="753"/>
      <c r="AF330" s="575"/>
      <c r="AG330" s="575"/>
      <c r="AH330" s="842"/>
      <c r="AI330" s="1013">
        <f t="shared" si="15"/>
        <v>0</v>
      </c>
      <c r="AJ330" s="949">
        <v>0</v>
      </c>
      <c r="AK330" s="581">
        <f t="shared" si="16"/>
        <v>0</v>
      </c>
      <c r="AL330" s="750" t="s">
        <v>1609</v>
      </c>
      <c r="AM330" s="743">
        <f t="shared" si="17"/>
        <v>34.44</v>
      </c>
    </row>
    <row r="331" spans="1:39" s="560" customFormat="1" ht="13.2" customHeight="1">
      <c r="A331" s="604" t="s">
        <v>820</v>
      </c>
      <c r="B331" s="604" t="s">
        <v>1262</v>
      </c>
      <c r="C331" s="614" t="s">
        <v>36</v>
      </c>
      <c r="D331" s="580"/>
      <c r="E331" s="581"/>
      <c r="F331" s="778"/>
      <c r="G331" s="581"/>
      <c r="H331" s="581"/>
      <c r="I331" s="949"/>
      <c r="J331" s="949"/>
      <c r="K331" s="825"/>
      <c r="L331" s="575"/>
      <c r="M331" s="809"/>
      <c r="N331" s="575"/>
      <c r="O331" s="575"/>
      <c r="P331" s="575"/>
      <c r="Q331" s="575"/>
      <c r="R331" s="575"/>
      <c r="S331" s="575"/>
      <c r="T331" s="809"/>
      <c r="U331" s="575"/>
      <c r="V331" s="575"/>
      <c r="W331" s="575"/>
      <c r="X331" s="575"/>
      <c r="Y331" s="575"/>
      <c r="Z331" s="575"/>
      <c r="AA331" s="809"/>
      <c r="AB331" s="817"/>
      <c r="AC331" s="575"/>
      <c r="AD331" s="575"/>
      <c r="AE331" s="753"/>
      <c r="AF331" s="575"/>
      <c r="AG331" s="575"/>
      <c r="AH331" s="842"/>
      <c r="AI331" s="1013">
        <f t="shared" si="15"/>
        <v>0</v>
      </c>
      <c r="AJ331" s="949">
        <v>0</v>
      </c>
      <c r="AK331" s="581">
        <f t="shared" si="16"/>
        <v>0</v>
      </c>
      <c r="AL331" s="750" t="s">
        <v>1610</v>
      </c>
      <c r="AM331" s="743">
        <f t="shared" si="17"/>
        <v>30.39</v>
      </c>
    </row>
    <row r="332" spans="1:39" s="560" customFormat="1" ht="13.2" customHeight="1">
      <c r="A332" s="604" t="s">
        <v>821</v>
      </c>
      <c r="B332" s="604" t="s">
        <v>1263</v>
      </c>
      <c r="C332" s="614" t="s">
        <v>36</v>
      </c>
      <c r="D332" s="580"/>
      <c r="E332" s="581"/>
      <c r="F332" s="778"/>
      <c r="G332" s="581"/>
      <c r="H332" s="581"/>
      <c r="I332" s="949"/>
      <c r="J332" s="949"/>
      <c r="K332" s="825"/>
      <c r="L332" s="575"/>
      <c r="M332" s="809"/>
      <c r="N332" s="575"/>
      <c r="O332" s="575"/>
      <c r="P332" s="575"/>
      <c r="Q332" s="575"/>
      <c r="R332" s="575"/>
      <c r="S332" s="575"/>
      <c r="T332" s="809"/>
      <c r="U332" s="575"/>
      <c r="V332" s="575"/>
      <c r="W332" s="575"/>
      <c r="X332" s="575"/>
      <c r="Y332" s="575"/>
      <c r="Z332" s="575"/>
      <c r="AA332" s="809"/>
      <c r="AB332" s="817"/>
      <c r="AC332" s="575"/>
      <c r="AD332" s="575"/>
      <c r="AE332" s="753"/>
      <c r="AF332" s="575"/>
      <c r="AG332" s="575"/>
      <c r="AH332" s="842"/>
      <c r="AI332" s="1013">
        <f t="shared" ref="AI332:AI395" si="18">ROUND((SUM(D332:AH332)),2)</f>
        <v>0</v>
      </c>
      <c r="AJ332" s="949">
        <v>0</v>
      </c>
      <c r="AK332" s="581">
        <f t="shared" si="16"/>
        <v>0</v>
      </c>
      <c r="AL332" s="750" t="s">
        <v>1621</v>
      </c>
      <c r="AM332" s="743">
        <f t="shared" si="17"/>
        <v>15.8</v>
      </c>
    </row>
    <row r="333" spans="1:39" s="560" customFormat="1" ht="13.2" customHeight="1">
      <c r="A333" s="604" t="s">
        <v>822</v>
      </c>
      <c r="B333" s="604" t="s">
        <v>1264</v>
      </c>
      <c r="C333" s="614" t="s">
        <v>36</v>
      </c>
      <c r="D333" s="580"/>
      <c r="E333" s="581"/>
      <c r="F333" s="778"/>
      <c r="G333" s="581"/>
      <c r="H333" s="581"/>
      <c r="I333" s="949"/>
      <c r="J333" s="949"/>
      <c r="K333" s="825"/>
      <c r="L333" s="575"/>
      <c r="M333" s="809"/>
      <c r="N333" s="575"/>
      <c r="O333" s="575"/>
      <c r="P333" s="575"/>
      <c r="Q333" s="575"/>
      <c r="R333" s="575"/>
      <c r="S333" s="575"/>
      <c r="T333" s="809"/>
      <c r="U333" s="575"/>
      <c r="V333" s="575"/>
      <c r="W333" s="575"/>
      <c r="X333" s="575"/>
      <c r="Y333" s="575"/>
      <c r="Z333" s="575"/>
      <c r="AA333" s="809"/>
      <c r="AB333" s="817"/>
      <c r="AC333" s="575"/>
      <c r="AD333" s="575"/>
      <c r="AE333" s="753"/>
      <c r="AF333" s="575"/>
      <c r="AG333" s="575"/>
      <c r="AH333" s="842"/>
      <c r="AI333" s="1013">
        <f t="shared" si="18"/>
        <v>0</v>
      </c>
      <c r="AJ333" s="949">
        <v>0</v>
      </c>
      <c r="AK333" s="581">
        <f t="shared" si="16"/>
        <v>0</v>
      </c>
      <c r="AL333" s="750" t="s">
        <v>1630</v>
      </c>
      <c r="AM333" s="743">
        <f t="shared" si="17"/>
        <v>12.6</v>
      </c>
    </row>
    <row r="334" spans="1:39" s="560" customFormat="1" ht="13.2" customHeight="1">
      <c r="A334" s="604" t="s">
        <v>823</v>
      </c>
      <c r="B334" s="604" t="s">
        <v>1265</v>
      </c>
      <c r="C334" s="614" t="s">
        <v>36</v>
      </c>
      <c r="D334" s="580"/>
      <c r="E334" s="581"/>
      <c r="F334" s="778"/>
      <c r="G334" s="581"/>
      <c r="H334" s="581"/>
      <c r="I334" s="949"/>
      <c r="J334" s="949"/>
      <c r="K334" s="825"/>
      <c r="L334" s="575"/>
      <c r="M334" s="809"/>
      <c r="N334" s="575"/>
      <c r="O334" s="575"/>
      <c r="P334" s="575"/>
      <c r="Q334" s="575"/>
      <c r="R334" s="575"/>
      <c r="S334" s="575"/>
      <c r="T334" s="809"/>
      <c r="U334" s="575"/>
      <c r="V334" s="575"/>
      <c r="W334" s="575"/>
      <c r="X334" s="575"/>
      <c r="Y334" s="575"/>
      <c r="Z334" s="575"/>
      <c r="AA334" s="809"/>
      <c r="AB334" s="817"/>
      <c r="AC334" s="575"/>
      <c r="AD334" s="575"/>
      <c r="AE334" s="753"/>
      <c r="AF334" s="575"/>
      <c r="AG334" s="575"/>
      <c r="AH334" s="842"/>
      <c r="AI334" s="1013">
        <f t="shared" si="18"/>
        <v>0</v>
      </c>
      <c r="AJ334" s="949">
        <v>0</v>
      </c>
      <c r="AK334" s="581">
        <f t="shared" si="16"/>
        <v>0</v>
      </c>
      <c r="AL334" s="750"/>
      <c r="AM334" s="743">
        <f t="shared" si="17"/>
        <v>0</v>
      </c>
    </row>
    <row r="335" spans="1:39" s="560" customFormat="1" ht="13.2" customHeight="1">
      <c r="A335" s="607" t="s">
        <v>824</v>
      </c>
      <c r="B335" s="607" t="s">
        <v>1266</v>
      </c>
      <c r="C335" s="690"/>
      <c r="D335" s="580"/>
      <c r="E335" s="581"/>
      <c r="F335" s="778"/>
      <c r="G335" s="581"/>
      <c r="H335" s="581"/>
      <c r="I335" s="949"/>
      <c r="J335" s="949"/>
      <c r="K335" s="825"/>
      <c r="L335" s="575"/>
      <c r="M335" s="809"/>
      <c r="N335" s="575"/>
      <c r="O335" s="575"/>
      <c r="P335" s="575"/>
      <c r="Q335" s="575"/>
      <c r="R335" s="575"/>
      <c r="S335" s="575"/>
      <c r="T335" s="809"/>
      <c r="U335" s="575"/>
      <c r="V335" s="575"/>
      <c r="W335" s="575"/>
      <c r="X335" s="575"/>
      <c r="Y335" s="575"/>
      <c r="Z335" s="575"/>
      <c r="AA335" s="809"/>
      <c r="AB335" s="817"/>
      <c r="AC335" s="575"/>
      <c r="AD335" s="575"/>
      <c r="AE335" s="753"/>
      <c r="AF335" s="575"/>
      <c r="AG335" s="575"/>
      <c r="AH335" s="842"/>
      <c r="AI335" s="1013">
        <f t="shared" si="18"/>
        <v>0</v>
      </c>
      <c r="AJ335" s="949">
        <v>0</v>
      </c>
      <c r="AK335" s="581">
        <f t="shared" si="16"/>
        <v>0</v>
      </c>
      <c r="AL335" s="750" t="s">
        <v>1627</v>
      </c>
      <c r="AM335" s="743">
        <f t="shared" si="17"/>
        <v>9</v>
      </c>
    </row>
    <row r="336" spans="1:39" s="560" customFormat="1" ht="13.2" customHeight="1">
      <c r="A336" s="604" t="s">
        <v>825</v>
      </c>
      <c r="B336" s="604" t="s">
        <v>1267</v>
      </c>
      <c r="C336" s="614" t="s">
        <v>1436</v>
      </c>
      <c r="D336" s="580"/>
      <c r="E336" s="581"/>
      <c r="F336" s="778"/>
      <c r="G336" s="581"/>
      <c r="H336" s="581"/>
      <c r="I336" s="949"/>
      <c r="J336" s="949"/>
      <c r="K336" s="825"/>
      <c r="L336" s="575"/>
      <c r="M336" s="809"/>
      <c r="N336" s="575"/>
      <c r="O336" s="575"/>
      <c r="P336" s="575"/>
      <c r="Q336" s="575"/>
      <c r="R336" s="575"/>
      <c r="S336" s="575"/>
      <c r="T336" s="809"/>
      <c r="U336" s="575"/>
      <c r="V336" s="575"/>
      <c r="W336" s="575"/>
      <c r="X336" s="575"/>
      <c r="Y336" s="575"/>
      <c r="Z336" s="575"/>
      <c r="AA336" s="809"/>
      <c r="AB336" s="817"/>
      <c r="AC336" s="575"/>
      <c r="AD336" s="575"/>
      <c r="AE336" s="753"/>
      <c r="AF336" s="575"/>
      <c r="AG336" s="575"/>
      <c r="AH336" s="842"/>
      <c r="AI336" s="1013">
        <f t="shared" si="18"/>
        <v>0</v>
      </c>
      <c r="AJ336" s="949">
        <v>0</v>
      </c>
      <c r="AK336" s="581">
        <f t="shared" si="16"/>
        <v>0</v>
      </c>
      <c r="AL336" s="750" t="s">
        <v>1441</v>
      </c>
      <c r="AM336" s="743">
        <f t="shared" si="17"/>
        <v>1</v>
      </c>
    </row>
    <row r="337" spans="1:39" s="560" customFormat="1" ht="13.2" customHeight="1">
      <c r="A337" s="604" t="s">
        <v>826</v>
      </c>
      <c r="B337" s="604" t="s">
        <v>1268</v>
      </c>
      <c r="C337" s="614" t="s">
        <v>63</v>
      </c>
      <c r="D337" s="580"/>
      <c r="E337" s="581"/>
      <c r="F337" s="778"/>
      <c r="G337" s="581"/>
      <c r="H337" s="581"/>
      <c r="I337" s="949"/>
      <c r="J337" s="949"/>
      <c r="K337" s="825"/>
      <c r="L337" s="575"/>
      <c r="M337" s="809"/>
      <c r="N337" s="575"/>
      <c r="O337" s="575"/>
      <c r="P337" s="575"/>
      <c r="Q337" s="575"/>
      <c r="R337" s="575"/>
      <c r="S337" s="575"/>
      <c r="T337" s="809"/>
      <c r="U337" s="575"/>
      <c r="V337" s="575"/>
      <c r="W337" s="575"/>
      <c r="X337" s="575"/>
      <c r="Y337" s="575"/>
      <c r="Z337" s="575"/>
      <c r="AA337" s="809"/>
      <c r="AB337" s="817"/>
      <c r="AC337" s="575"/>
      <c r="AD337" s="575"/>
      <c r="AE337" s="753"/>
      <c r="AF337" s="575"/>
      <c r="AG337" s="575"/>
      <c r="AH337" s="842"/>
      <c r="AI337" s="1013">
        <f t="shared" si="18"/>
        <v>0</v>
      </c>
      <c r="AJ337" s="949">
        <v>0</v>
      </c>
      <c r="AK337" s="581">
        <f t="shared" si="16"/>
        <v>0</v>
      </c>
      <c r="AL337" s="750" t="s">
        <v>1631</v>
      </c>
      <c r="AM337" s="743">
        <f t="shared" si="17"/>
        <v>21.02</v>
      </c>
    </row>
    <row r="338" spans="1:39" s="560" customFormat="1" ht="13.2" customHeight="1">
      <c r="A338" s="604" t="s">
        <v>827</v>
      </c>
      <c r="B338" s="604" t="s">
        <v>1269</v>
      </c>
      <c r="C338" s="614" t="s">
        <v>36</v>
      </c>
      <c r="D338" s="580"/>
      <c r="E338" s="581"/>
      <c r="F338" s="778"/>
      <c r="G338" s="581"/>
      <c r="H338" s="581"/>
      <c r="I338" s="949"/>
      <c r="J338" s="949"/>
      <c r="K338" s="825"/>
      <c r="L338" s="575"/>
      <c r="M338" s="809"/>
      <c r="N338" s="575"/>
      <c r="O338" s="575"/>
      <c r="P338" s="575"/>
      <c r="Q338" s="575"/>
      <c r="R338" s="575"/>
      <c r="S338" s="575"/>
      <c r="T338" s="809"/>
      <c r="U338" s="575"/>
      <c r="V338" s="575"/>
      <c r="W338" s="575"/>
      <c r="X338" s="575"/>
      <c r="Y338" s="575"/>
      <c r="Z338" s="575"/>
      <c r="AA338" s="809"/>
      <c r="AB338" s="817"/>
      <c r="AC338" s="575"/>
      <c r="AD338" s="575"/>
      <c r="AE338" s="753"/>
      <c r="AF338" s="575"/>
      <c r="AG338" s="575"/>
      <c r="AH338" s="842"/>
      <c r="AI338" s="1013">
        <f t="shared" si="18"/>
        <v>0</v>
      </c>
      <c r="AJ338" s="949">
        <v>0</v>
      </c>
      <c r="AK338" s="581">
        <f t="shared" si="16"/>
        <v>0</v>
      </c>
      <c r="AL338" s="750"/>
      <c r="AM338" s="743">
        <f t="shared" si="17"/>
        <v>0</v>
      </c>
    </row>
    <row r="339" spans="1:39" s="560" customFormat="1" ht="13.2" customHeight="1">
      <c r="A339" s="492" t="s">
        <v>461</v>
      </c>
      <c r="B339" s="608" t="s">
        <v>1270</v>
      </c>
      <c r="C339" s="690"/>
      <c r="D339" s="580"/>
      <c r="E339" s="581"/>
      <c r="F339" s="778"/>
      <c r="G339" s="581"/>
      <c r="H339" s="581"/>
      <c r="I339" s="949"/>
      <c r="J339" s="949"/>
      <c r="K339" s="825"/>
      <c r="L339" s="575"/>
      <c r="M339" s="809"/>
      <c r="N339" s="575"/>
      <c r="O339" s="575"/>
      <c r="P339" s="575"/>
      <c r="Q339" s="575"/>
      <c r="R339" s="575"/>
      <c r="S339" s="575"/>
      <c r="T339" s="809"/>
      <c r="U339" s="575"/>
      <c r="V339" s="575"/>
      <c r="W339" s="575"/>
      <c r="X339" s="575"/>
      <c r="Y339" s="575"/>
      <c r="Z339" s="575"/>
      <c r="AA339" s="809"/>
      <c r="AB339" s="817"/>
      <c r="AC339" s="575"/>
      <c r="AD339" s="575"/>
      <c r="AE339" s="753"/>
      <c r="AF339" s="575"/>
      <c r="AG339" s="575"/>
      <c r="AH339" s="842"/>
      <c r="AI339" s="1013">
        <f t="shared" si="18"/>
        <v>0</v>
      </c>
      <c r="AJ339" s="949">
        <v>0</v>
      </c>
      <c r="AK339" s="581">
        <f t="shared" si="16"/>
        <v>0</v>
      </c>
      <c r="AL339" s="750"/>
      <c r="AM339" s="743">
        <f t="shared" si="17"/>
        <v>0</v>
      </c>
    </row>
    <row r="340" spans="1:39" s="560" customFormat="1" ht="13.2" customHeight="1">
      <c r="A340" s="607" t="s">
        <v>462</v>
      </c>
      <c r="B340" s="607" t="s">
        <v>1222</v>
      </c>
      <c r="C340" s="690"/>
      <c r="D340" s="580"/>
      <c r="E340" s="581"/>
      <c r="F340" s="778"/>
      <c r="G340" s="581"/>
      <c r="H340" s="581"/>
      <c r="I340" s="949"/>
      <c r="J340" s="949"/>
      <c r="K340" s="825"/>
      <c r="L340" s="575"/>
      <c r="M340" s="809"/>
      <c r="N340" s="575"/>
      <c r="O340" s="575"/>
      <c r="P340" s="575"/>
      <c r="Q340" s="575"/>
      <c r="R340" s="575"/>
      <c r="S340" s="575"/>
      <c r="T340" s="809"/>
      <c r="U340" s="575"/>
      <c r="V340" s="575"/>
      <c r="W340" s="575"/>
      <c r="X340" s="575"/>
      <c r="Y340" s="575"/>
      <c r="Z340" s="575"/>
      <c r="AA340" s="809"/>
      <c r="AB340" s="817"/>
      <c r="AC340" s="575"/>
      <c r="AD340" s="575"/>
      <c r="AE340" s="753"/>
      <c r="AF340" s="575"/>
      <c r="AG340" s="575"/>
      <c r="AH340" s="842"/>
      <c r="AI340" s="1013">
        <f t="shared" si="18"/>
        <v>0</v>
      </c>
      <c r="AJ340" s="949">
        <v>0</v>
      </c>
      <c r="AK340" s="581">
        <f t="shared" ref="AK340:AK403" si="19">AI340+AJ340</f>
        <v>0</v>
      </c>
      <c r="AL340" s="750" t="s">
        <v>1632</v>
      </c>
      <c r="AM340" s="743">
        <f t="shared" ref="AM340:AM403" si="20">AL340-AK340</f>
        <v>73.59</v>
      </c>
    </row>
    <row r="341" spans="1:39" s="560" customFormat="1" ht="13.2" customHeight="1">
      <c r="A341" s="604" t="s">
        <v>828</v>
      </c>
      <c r="B341" s="604" t="s">
        <v>1223</v>
      </c>
      <c r="C341" s="614" t="s">
        <v>36</v>
      </c>
      <c r="D341" s="580"/>
      <c r="E341" s="581"/>
      <c r="F341" s="778"/>
      <c r="G341" s="581"/>
      <c r="H341" s="581"/>
      <c r="I341" s="949"/>
      <c r="J341" s="949"/>
      <c r="K341" s="825"/>
      <c r="L341" s="575"/>
      <c r="M341" s="809"/>
      <c r="N341" s="575"/>
      <c r="O341" s="575"/>
      <c r="P341" s="575"/>
      <c r="Q341" s="575"/>
      <c r="R341" s="575"/>
      <c r="S341" s="575"/>
      <c r="T341" s="809"/>
      <c r="U341" s="575"/>
      <c r="V341" s="575"/>
      <c r="W341" s="575"/>
      <c r="X341" s="575"/>
      <c r="Y341" s="575"/>
      <c r="Z341" s="575"/>
      <c r="AA341" s="809"/>
      <c r="AB341" s="817"/>
      <c r="AC341" s="575"/>
      <c r="AD341" s="575"/>
      <c r="AE341" s="753"/>
      <c r="AF341" s="575"/>
      <c r="AG341" s="575"/>
      <c r="AH341" s="842"/>
      <c r="AI341" s="1013">
        <f t="shared" si="18"/>
        <v>0</v>
      </c>
      <c r="AJ341" s="949">
        <v>0</v>
      </c>
      <c r="AK341" s="581">
        <f t="shared" si="19"/>
        <v>0</v>
      </c>
      <c r="AL341" s="750" t="s">
        <v>1633</v>
      </c>
      <c r="AM341" s="743">
        <f t="shared" si="20"/>
        <v>6.44</v>
      </c>
    </row>
    <row r="342" spans="1:39" s="560" customFormat="1" ht="13.2" customHeight="1">
      <c r="A342" s="604" t="s">
        <v>829</v>
      </c>
      <c r="B342" s="604" t="s">
        <v>1224</v>
      </c>
      <c r="C342" s="614" t="s">
        <v>36</v>
      </c>
      <c r="D342" s="580"/>
      <c r="E342" s="581"/>
      <c r="F342" s="778"/>
      <c r="G342" s="581"/>
      <c r="H342" s="581"/>
      <c r="I342" s="949"/>
      <c r="J342" s="949"/>
      <c r="K342" s="825"/>
      <c r="L342" s="575"/>
      <c r="M342" s="809"/>
      <c r="N342" s="575"/>
      <c r="O342" s="575"/>
      <c r="P342" s="575"/>
      <c r="Q342" s="575"/>
      <c r="R342" s="575"/>
      <c r="S342" s="575"/>
      <c r="T342" s="809"/>
      <c r="U342" s="575"/>
      <c r="V342" s="575"/>
      <c r="W342" s="575"/>
      <c r="X342" s="575"/>
      <c r="Y342" s="575"/>
      <c r="Z342" s="575"/>
      <c r="AA342" s="809"/>
      <c r="AB342" s="817"/>
      <c r="AC342" s="575"/>
      <c r="AD342" s="575"/>
      <c r="AE342" s="753"/>
      <c r="AF342" s="575"/>
      <c r="AG342" s="575"/>
      <c r="AH342" s="842"/>
      <c r="AI342" s="1013">
        <f t="shared" si="18"/>
        <v>0</v>
      </c>
      <c r="AJ342" s="949">
        <v>0</v>
      </c>
      <c r="AK342" s="581">
        <f t="shared" si="19"/>
        <v>0</v>
      </c>
      <c r="AL342" s="750"/>
      <c r="AM342" s="743">
        <f t="shared" si="20"/>
        <v>0</v>
      </c>
    </row>
    <row r="343" spans="1:39" s="560" customFormat="1" ht="13.2" customHeight="1">
      <c r="A343" s="607" t="s">
        <v>463</v>
      </c>
      <c r="B343" s="607" t="s">
        <v>1225</v>
      </c>
      <c r="C343" s="690"/>
      <c r="D343" s="580"/>
      <c r="E343" s="581"/>
      <c r="F343" s="778"/>
      <c r="G343" s="581"/>
      <c r="H343" s="581"/>
      <c r="I343" s="949"/>
      <c r="J343" s="949"/>
      <c r="K343" s="825"/>
      <c r="L343" s="575"/>
      <c r="M343" s="809"/>
      <c r="N343" s="575"/>
      <c r="O343" s="575"/>
      <c r="P343" s="575"/>
      <c r="Q343" s="575"/>
      <c r="R343" s="575"/>
      <c r="S343" s="575"/>
      <c r="T343" s="809"/>
      <c r="U343" s="575"/>
      <c r="V343" s="575"/>
      <c r="W343" s="575"/>
      <c r="X343" s="575"/>
      <c r="Y343" s="575"/>
      <c r="Z343" s="575"/>
      <c r="AA343" s="809"/>
      <c r="AB343" s="817"/>
      <c r="AC343" s="575"/>
      <c r="AD343" s="575"/>
      <c r="AE343" s="753"/>
      <c r="AF343" s="575"/>
      <c r="AG343" s="575"/>
      <c r="AH343" s="842"/>
      <c r="AI343" s="1013">
        <f t="shared" si="18"/>
        <v>0</v>
      </c>
      <c r="AJ343" s="949">
        <v>0</v>
      </c>
      <c r="AK343" s="581">
        <f t="shared" si="19"/>
        <v>0</v>
      </c>
      <c r="AL343" s="750" t="s">
        <v>1634</v>
      </c>
      <c r="AM343" s="743">
        <f t="shared" si="20"/>
        <v>99.99</v>
      </c>
    </row>
    <row r="344" spans="1:39" s="560" customFormat="1" ht="13.2" customHeight="1">
      <c r="A344" s="604" t="s">
        <v>830</v>
      </c>
      <c r="B344" s="604" t="s">
        <v>1226</v>
      </c>
      <c r="C344" s="614" t="s">
        <v>36</v>
      </c>
      <c r="D344" s="580"/>
      <c r="E344" s="581"/>
      <c r="F344" s="778"/>
      <c r="G344" s="581"/>
      <c r="H344" s="581"/>
      <c r="I344" s="949"/>
      <c r="J344" s="949"/>
      <c r="K344" s="825"/>
      <c r="L344" s="575"/>
      <c r="M344" s="809"/>
      <c r="N344" s="575"/>
      <c r="O344" s="575"/>
      <c r="P344" s="575"/>
      <c r="Q344" s="575"/>
      <c r="R344" s="575"/>
      <c r="S344" s="575"/>
      <c r="T344" s="809"/>
      <c r="U344" s="575"/>
      <c r="V344" s="575"/>
      <c r="W344" s="575"/>
      <c r="X344" s="575"/>
      <c r="Y344" s="575"/>
      <c r="Z344" s="575"/>
      <c r="AA344" s="809"/>
      <c r="AB344" s="817"/>
      <c r="AC344" s="575"/>
      <c r="AD344" s="575"/>
      <c r="AE344" s="753"/>
      <c r="AF344" s="575"/>
      <c r="AG344" s="583"/>
      <c r="AH344" s="842"/>
      <c r="AI344" s="1013">
        <f t="shared" si="18"/>
        <v>0</v>
      </c>
      <c r="AJ344" s="949">
        <v>0</v>
      </c>
      <c r="AK344" s="581">
        <f t="shared" si="19"/>
        <v>0</v>
      </c>
      <c r="AL344" s="750" t="s">
        <v>1635</v>
      </c>
      <c r="AM344" s="743">
        <f t="shared" si="20"/>
        <v>60.07</v>
      </c>
    </row>
    <row r="345" spans="1:39" s="560" customFormat="1" ht="13.2" customHeight="1">
      <c r="A345" s="604" t="s">
        <v>831</v>
      </c>
      <c r="B345" s="604" t="s">
        <v>1227</v>
      </c>
      <c r="C345" s="614" t="s">
        <v>36</v>
      </c>
      <c r="D345" s="580"/>
      <c r="E345" s="581"/>
      <c r="F345" s="778"/>
      <c r="G345" s="581"/>
      <c r="H345" s="581"/>
      <c r="I345" s="949"/>
      <c r="J345" s="949"/>
      <c r="K345" s="825"/>
      <c r="L345" s="575"/>
      <c r="M345" s="809"/>
      <c r="N345" s="575"/>
      <c r="O345" s="575"/>
      <c r="P345" s="575"/>
      <c r="Q345" s="575"/>
      <c r="R345" s="575"/>
      <c r="S345" s="575"/>
      <c r="T345" s="809"/>
      <c r="U345" s="575"/>
      <c r="V345" s="575"/>
      <c r="W345" s="575"/>
      <c r="X345" s="575"/>
      <c r="Y345" s="575"/>
      <c r="Z345" s="575"/>
      <c r="AA345" s="809"/>
      <c r="AB345" s="817"/>
      <c r="AC345" s="575"/>
      <c r="AD345" s="575"/>
      <c r="AE345" s="753"/>
      <c r="AF345" s="575"/>
      <c r="AG345" s="575"/>
      <c r="AH345" s="842"/>
      <c r="AI345" s="1013">
        <f t="shared" si="18"/>
        <v>0</v>
      </c>
      <c r="AJ345" s="949">
        <v>0</v>
      </c>
      <c r="AK345" s="581">
        <f t="shared" si="19"/>
        <v>0</v>
      </c>
      <c r="AL345" s="750" t="s">
        <v>1636</v>
      </c>
      <c r="AM345" s="743">
        <f t="shared" si="20"/>
        <v>33.6</v>
      </c>
    </row>
    <row r="346" spans="1:39" s="560" customFormat="1" ht="13.2" customHeight="1">
      <c r="A346" s="604" t="s">
        <v>832</v>
      </c>
      <c r="B346" s="604" t="s">
        <v>1228</v>
      </c>
      <c r="C346" s="614" t="s">
        <v>36</v>
      </c>
      <c r="D346" s="580"/>
      <c r="E346" s="581"/>
      <c r="F346" s="778"/>
      <c r="G346" s="581"/>
      <c r="H346" s="581"/>
      <c r="I346" s="949"/>
      <c r="J346" s="949"/>
      <c r="K346" s="825"/>
      <c r="L346" s="575"/>
      <c r="M346" s="809"/>
      <c r="N346" s="575"/>
      <c r="O346" s="575"/>
      <c r="P346" s="575"/>
      <c r="Q346" s="575"/>
      <c r="R346" s="575"/>
      <c r="S346" s="575"/>
      <c r="T346" s="809"/>
      <c r="U346" s="575"/>
      <c r="V346" s="575"/>
      <c r="W346" s="575"/>
      <c r="X346" s="575"/>
      <c r="Y346" s="575"/>
      <c r="Z346" s="575"/>
      <c r="AA346" s="809"/>
      <c r="AB346" s="817"/>
      <c r="AC346" s="575"/>
      <c r="AD346" s="575"/>
      <c r="AE346" s="753"/>
      <c r="AF346" s="575"/>
      <c r="AG346" s="575"/>
      <c r="AH346" s="842"/>
      <c r="AI346" s="1013">
        <f t="shared" si="18"/>
        <v>0</v>
      </c>
      <c r="AJ346" s="949">
        <v>0</v>
      </c>
      <c r="AK346" s="581">
        <f t="shared" si="19"/>
        <v>0</v>
      </c>
      <c r="AL346" s="750" t="s">
        <v>1637</v>
      </c>
      <c r="AM346" s="743">
        <f t="shared" si="20"/>
        <v>27.42</v>
      </c>
    </row>
    <row r="347" spans="1:39" s="560" customFormat="1" ht="13.2" customHeight="1">
      <c r="A347" s="604" t="s">
        <v>833</v>
      </c>
      <c r="B347" s="604" t="s">
        <v>1229</v>
      </c>
      <c r="C347" s="614" t="s">
        <v>36</v>
      </c>
      <c r="D347" s="580"/>
      <c r="E347" s="581"/>
      <c r="F347" s="778"/>
      <c r="G347" s="581"/>
      <c r="H347" s="581"/>
      <c r="I347" s="949"/>
      <c r="J347" s="949"/>
      <c r="K347" s="825"/>
      <c r="L347" s="575"/>
      <c r="M347" s="809"/>
      <c r="N347" s="575"/>
      <c r="O347" s="575"/>
      <c r="P347" s="575"/>
      <c r="Q347" s="575"/>
      <c r="R347" s="575"/>
      <c r="S347" s="575"/>
      <c r="T347" s="809"/>
      <c r="U347" s="575"/>
      <c r="V347" s="575"/>
      <c r="W347" s="575"/>
      <c r="X347" s="575"/>
      <c r="Y347" s="575"/>
      <c r="Z347" s="575"/>
      <c r="AA347" s="809"/>
      <c r="AB347" s="817"/>
      <c r="AC347" s="575"/>
      <c r="AD347" s="575"/>
      <c r="AE347" s="753"/>
      <c r="AF347" s="575"/>
      <c r="AG347" s="575"/>
      <c r="AH347" s="842"/>
      <c r="AI347" s="1013">
        <f t="shared" si="18"/>
        <v>0</v>
      </c>
      <c r="AJ347" s="949">
        <v>0</v>
      </c>
      <c r="AK347" s="581">
        <f t="shared" si="19"/>
        <v>0</v>
      </c>
      <c r="AL347" s="750" t="s">
        <v>1638</v>
      </c>
      <c r="AM347" s="743">
        <f t="shared" si="20"/>
        <v>79.459999999999994</v>
      </c>
    </row>
    <row r="348" spans="1:39" s="560" customFormat="1" ht="13.2" customHeight="1">
      <c r="A348" s="604" t="s">
        <v>834</v>
      </c>
      <c r="B348" s="604" t="s">
        <v>1230</v>
      </c>
      <c r="C348" s="614" t="s">
        <v>36</v>
      </c>
      <c r="D348" s="580"/>
      <c r="E348" s="581"/>
      <c r="F348" s="778"/>
      <c r="G348" s="581"/>
      <c r="H348" s="581"/>
      <c r="I348" s="949"/>
      <c r="J348" s="949"/>
      <c r="K348" s="825"/>
      <c r="L348" s="575"/>
      <c r="M348" s="809"/>
      <c r="N348" s="575"/>
      <c r="O348" s="575"/>
      <c r="P348" s="575"/>
      <c r="Q348" s="575"/>
      <c r="R348" s="575"/>
      <c r="S348" s="575"/>
      <c r="T348" s="809"/>
      <c r="U348" s="575"/>
      <c r="V348" s="575"/>
      <c r="W348" s="575"/>
      <c r="X348" s="575"/>
      <c r="Y348" s="575"/>
      <c r="Z348" s="575"/>
      <c r="AA348" s="809"/>
      <c r="AB348" s="817"/>
      <c r="AC348" s="575"/>
      <c r="AD348" s="575"/>
      <c r="AE348" s="753"/>
      <c r="AF348" s="575"/>
      <c r="AG348" s="575"/>
      <c r="AH348" s="842"/>
      <c r="AI348" s="1013">
        <f t="shared" si="18"/>
        <v>0</v>
      </c>
      <c r="AJ348" s="949">
        <v>0</v>
      </c>
      <c r="AK348" s="581">
        <f t="shared" si="19"/>
        <v>0</v>
      </c>
      <c r="AL348" s="750" t="s">
        <v>1639</v>
      </c>
      <c r="AM348" s="743">
        <f t="shared" si="20"/>
        <v>80.02</v>
      </c>
    </row>
    <row r="349" spans="1:39" s="560" customFormat="1" ht="13.2" customHeight="1">
      <c r="A349" s="604" t="s">
        <v>835</v>
      </c>
      <c r="B349" s="604" t="s">
        <v>1231</v>
      </c>
      <c r="C349" s="614" t="s">
        <v>37</v>
      </c>
      <c r="D349" s="580"/>
      <c r="E349" s="581"/>
      <c r="F349" s="778"/>
      <c r="G349" s="581"/>
      <c r="H349" s="581"/>
      <c r="I349" s="949"/>
      <c r="J349" s="949"/>
      <c r="K349" s="825"/>
      <c r="L349" s="575"/>
      <c r="M349" s="809"/>
      <c r="N349" s="575"/>
      <c r="O349" s="575"/>
      <c r="P349" s="575"/>
      <c r="Q349" s="575"/>
      <c r="R349" s="575"/>
      <c r="S349" s="575"/>
      <c r="T349" s="809"/>
      <c r="U349" s="575"/>
      <c r="V349" s="575"/>
      <c r="W349" s="575"/>
      <c r="X349" s="575"/>
      <c r="Y349" s="575"/>
      <c r="Z349" s="575"/>
      <c r="AA349" s="809"/>
      <c r="AB349" s="817"/>
      <c r="AC349" s="575"/>
      <c r="AD349" s="575"/>
      <c r="AE349" s="753"/>
      <c r="AF349" s="575"/>
      <c r="AG349" s="575"/>
      <c r="AH349" s="842"/>
      <c r="AI349" s="1013">
        <f t="shared" si="18"/>
        <v>0</v>
      </c>
      <c r="AJ349" s="949">
        <v>0</v>
      </c>
      <c r="AK349" s="581">
        <f t="shared" si="19"/>
        <v>0</v>
      </c>
      <c r="AL349" s="750" t="s">
        <v>1640</v>
      </c>
      <c r="AM349" s="743">
        <f t="shared" si="20"/>
        <v>245.52</v>
      </c>
    </row>
    <row r="350" spans="1:39" s="560" customFormat="1" ht="13.2" customHeight="1">
      <c r="A350" s="604" t="s">
        <v>836</v>
      </c>
      <c r="B350" s="604" t="s">
        <v>1232</v>
      </c>
      <c r="C350" s="614" t="s">
        <v>37</v>
      </c>
      <c r="D350" s="580"/>
      <c r="E350" s="581"/>
      <c r="F350" s="778"/>
      <c r="G350" s="581"/>
      <c r="H350" s="581"/>
      <c r="I350" s="949"/>
      <c r="J350" s="949"/>
      <c r="K350" s="825"/>
      <c r="L350" s="575"/>
      <c r="M350" s="809"/>
      <c r="N350" s="575"/>
      <c r="O350" s="575"/>
      <c r="P350" s="575"/>
      <c r="Q350" s="575"/>
      <c r="R350" s="575"/>
      <c r="S350" s="575"/>
      <c r="T350" s="809"/>
      <c r="U350" s="575"/>
      <c r="V350" s="575"/>
      <c r="W350" s="575"/>
      <c r="X350" s="575"/>
      <c r="Y350" s="575"/>
      <c r="Z350" s="575"/>
      <c r="AA350" s="809"/>
      <c r="AB350" s="817"/>
      <c r="AC350" s="575"/>
      <c r="AD350" s="575"/>
      <c r="AE350" s="753"/>
      <c r="AF350" s="575"/>
      <c r="AG350" s="575"/>
      <c r="AH350" s="842"/>
      <c r="AI350" s="1013">
        <f t="shared" si="18"/>
        <v>0</v>
      </c>
      <c r="AJ350" s="949">
        <v>0</v>
      </c>
      <c r="AK350" s="581">
        <f t="shared" si="19"/>
        <v>0</v>
      </c>
      <c r="AL350" s="750"/>
      <c r="AM350" s="743">
        <f t="shared" si="20"/>
        <v>0</v>
      </c>
    </row>
    <row r="351" spans="1:39" s="560" customFormat="1" ht="13.2" customHeight="1">
      <c r="A351" s="607" t="s">
        <v>464</v>
      </c>
      <c r="B351" s="607" t="s">
        <v>1233</v>
      </c>
      <c r="C351" s="690"/>
      <c r="D351" s="580"/>
      <c r="E351" s="581"/>
      <c r="F351" s="778"/>
      <c r="G351" s="581"/>
      <c r="H351" s="581"/>
      <c r="I351" s="949"/>
      <c r="J351" s="949"/>
      <c r="K351" s="825"/>
      <c r="L351" s="575"/>
      <c r="M351" s="809"/>
      <c r="N351" s="575"/>
      <c r="O351" s="575"/>
      <c r="P351" s="575"/>
      <c r="Q351" s="575"/>
      <c r="R351" s="575"/>
      <c r="S351" s="575"/>
      <c r="T351" s="809"/>
      <c r="U351" s="575"/>
      <c r="V351" s="575"/>
      <c r="W351" s="575"/>
      <c r="X351" s="575"/>
      <c r="Y351" s="575"/>
      <c r="Z351" s="575"/>
      <c r="AA351" s="809"/>
      <c r="AB351" s="817"/>
      <c r="AC351" s="575"/>
      <c r="AD351" s="575"/>
      <c r="AE351" s="753"/>
      <c r="AF351" s="575"/>
      <c r="AG351" s="575"/>
      <c r="AH351" s="842"/>
      <c r="AI351" s="1013">
        <f t="shared" si="18"/>
        <v>0</v>
      </c>
      <c r="AJ351" s="949">
        <v>0</v>
      </c>
      <c r="AK351" s="581">
        <f t="shared" si="19"/>
        <v>0</v>
      </c>
      <c r="AL351" s="750" t="s">
        <v>1641</v>
      </c>
      <c r="AM351" s="743">
        <f t="shared" si="20"/>
        <v>65.92</v>
      </c>
    </row>
    <row r="352" spans="1:39" s="560" customFormat="1" ht="13.2" customHeight="1">
      <c r="A352" s="604" t="s">
        <v>837</v>
      </c>
      <c r="B352" s="604" t="s">
        <v>1234</v>
      </c>
      <c r="C352" s="614" t="s">
        <v>36</v>
      </c>
      <c r="D352" s="580"/>
      <c r="E352" s="581"/>
      <c r="F352" s="778"/>
      <c r="G352" s="581"/>
      <c r="H352" s="581"/>
      <c r="I352" s="949"/>
      <c r="J352" s="949"/>
      <c r="K352" s="825"/>
      <c r="L352" s="575"/>
      <c r="M352" s="809"/>
      <c r="N352" s="575"/>
      <c r="O352" s="575"/>
      <c r="P352" s="575"/>
      <c r="Q352" s="575"/>
      <c r="R352" s="575"/>
      <c r="S352" s="575"/>
      <c r="T352" s="809"/>
      <c r="U352" s="575"/>
      <c r="V352" s="575"/>
      <c r="W352" s="575"/>
      <c r="X352" s="575"/>
      <c r="Y352" s="575"/>
      <c r="Z352" s="575"/>
      <c r="AA352" s="809"/>
      <c r="AB352" s="817"/>
      <c r="AC352" s="575"/>
      <c r="AD352" s="575"/>
      <c r="AE352" s="753"/>
      <c r="AF352" s="575"/>
      <c r="AG352" s="575"/>
      <c r="AH352" s="842"/>
      <c r="AI352" s="1013">
        <f t="shared" si="18"/>
        <v>0</v>
      </c>
      <c r="AJ352" s="949">
        <v>0</v>
      </c>
      <c r="AK352" s="581">
        <f t="shared" si="19"/>
        <v>0</v>
      </c>
      <c r="AL352" s="750"/>
      <c r="AM352" s="743">
        <f t="shared" si="20"/>
        <v>0</v>
      </c>
    </row>
    <row r="353" spans="1:39" s="560" customFormat="1" ht="13.2" customHeight="1">
      <c r="A353" s="607" t="s">
        <v>465</v>
      </c>
      <c r="B353" s="607" t="s">
        <v>1235</v>
      </c>
      <c r="C353" s="690"/>
      <c r="D353" s="580"/>
      <c r="E353" s="581"/>
      <c r="F353" s="778"/>
      <c r="G353" s="581"/>
      <c r="H353" s="581"/>
      <c r="I353" s="949"/>
      <c r="J353" s="949"/>
      <c r="K353" s="825"/>
      <c r="L353" s="575"/>
      <c r="M353" s="809"/>
      <c r="N353" s="575"/>
      <c r="O353" s="575"/>
      <c r="P353" s="575"/>
      <c r="Q353" s="575"/>
      <c r="R353" s="575"/>
      <c r="S353" s="575"/>
      <c r="T353" s="809"/>
      <c r="U353" s="575"/>
      <c r="V353" s="575"/>
      <c r="W353" s="575"/>
      <c r="X353" s="575"/>
      <c r="Y353" s="575"/>
      <c r="Z353" s="575"/>
      <c r="AA353" s="809"/>
      <c r="AB353" s="817"/>
      <c r="AC353" s="575"/>
      <c r="AD353" s="575"/>
      <c r="AE353" s="753"/>
      <c r="AF353" s="575"/>
      <c r="AG353" s="575"/>
      <c r="AH353" s="842"/>
      <c r="AI353" s="1013">
        <f t="shared" si="18"/>
        <v>0</v>
      </c>
      <c r="AJ353" s="949">
        <v>0</v>
      </c>
      <c r="AK353" s="581">
        <f t="shared" si="19"/>
        <v>0</v>
      </c>
      <c r="AL353" s="750" t="s">
        <v>1642</v>
      </c>
      <c r="AM353" s="743">
        <f t="shared" si="20"/>
        <v>57.88</v>
      </c>
    </row>
    <row r="354" spans="1:39" s="560" customFormat="1" ht="13.2" customHeight="1">
      <c r="A354" s="604" t="s">
        <v>838</v>
      </c>
      <c r="B354" s="604" t="s">
        <v>1236</v>
      </c>
      <c r="C354" s="614" t="s">
        <v>36</v>
      </c>
      <c r="D354" s="580"/>
      <c r="E354" s="581"/>
      <c r="F354" s="778"/>
      <c r="G354" s="581"/>
      <c r="H354" s="581"/>
      <c r="I354" s="949"/>
      <c r="J354" s="949"/>
      <c r="K354" s="825"/>
      <c r="L354" s="575"/>
      <c r="M354" s="809"/>
      <c r="N354" s="575"/>
      <c r="O354" s="575"/>
      <c r="P354" s="575"/>
      <c r="Q354" s="575"/>
      <c r="R354" s="575"/>
      <c r="S354" s="575"/>
      <c r="T354" s="809"/>
      <c r="U354" s="575"/>
      <c r="V354" s="575"/>
      <c r="W354" s="575"/>
      <c r="X354" s="575"/>
      <c r="Y354" s="575"/>
      <c r="Z354" s="575"/>
      <c r="AA354" s="809"/>
      <c r="AB354" s="817"/>
      <c r="AC354" s="575"/>
      <c r="AD354" s="575"/>
      <c r="AE354" s="753"/>
      <c r="AF354" s="575"/>
      <c r="AG354" s="575"/>
      <c r="AH354" s="842"/>
      <c r="AI354" s="1013">
        <f t="shared" si="18"/>
        <v>0</v>
      </c>
      <c r="AJ354" s="949">
        <v>0</v>
      </c>
      <c r="AK354" s="581">
        <f t="shared" si="19"/>
        <v>0</v>
      </c>
      <c r="AL354" s="750" t="s">
        <v>1643</v>
      </c>
      <c r="AM354" s="743">
        <f t="shared" si="20"/>
        <v>40.200000000000003</v>
      </c>
    </row>
    <row r="355" spans="1:39" s="560" customFormat="1" ht="13.2" customHeight="1">
      <c r="A355" s="604" t="s">
        <v>839</v>
      </c>
      <c r="B355" s="604" t="s">
        <v>1271</v>
      </c>
      <c r="C355" s="614" t="s">
        <v>36</v>
      </c>
      <c r="D355" s="580"/>
      <c r="E355" s="581"/>
      <c r="F355" s="778"/>
      <c r="G355" s="581"/>
      <c r="H355" s="581"/>
      <c r="I355" s="949"/>
      <c r="J355" s="949"/>
      <c r="K355" s="825"/>
      <c r="L355" s="575"/>
      <c r="M355" s="809"/>
      <c r="N355" s="575"/>
      <c r="O355" s="575"/>
      <c r="P355" s="575"/>
      <c r="Q355" s="575"/>
      <c r="R355" s="575"/>
      <c r="S355" s="575"/>
      <c r="T355" s="809"/>
      <c r="U355" s="575"/>
      <c r="V355" s="575"/>
      <c r="W355" s="575"/>
      <c r="X355" s="575"/>
      <c r="Y355" s="575"/>
      <c r="Z355" s="575"/>
      <c r="AA355" s="809"/>
      <c r="AB355" s="817"/>
      <c r="AC355" s="575"/>
      <c r="AD355" s="575"/>
      <c r="AE355" s="753"/>
      <c r="AF355" s="575"/>
      <c r="AG355" s="575"/>
      <c r="AH355" s="842"/>
      <c r="AI355" s="1013">
        <f t="shared" si="18"/>
        <v>0</v>
      </c>
      <c r="AJ355" s="949">
        <v>0</v>
      </c>
      <c r="AK355" s="581">
        <f t="shared" si="19"/>
        <v>0</v>
      </c>
      <c r="AL355" s="750" t="s">
        <v>1644</v>
      </c>
      <c r="AM355" s="743">
        <f t="shared" si="20"/>
        <v>5.72</v>
      </c>
    </row>
    <row r="356" spans="1:39" s="560" customFormat="1" ht="13.2" customHeight="1">
      <c r="A356" s="604" t="s">
        <v>840</v>
      </c>
      <c r="B356" s="604" t="s">
        <v>1237</v>
      </c>
      <c r="C356" s="614" t="s">
        <v>36</v>
      </c>
      <c r="D356" s="580"/>
      <c r="E356" s="581"/>
      <c r="F356" s="778"/>
      <c r="G356" s="581"/>
      <c r="H356" s="581"/>
      <c r="I356" s="949"/>
      <c r="J356" s="949"/>
      <c r="K356" s="825"/>
      <c r="L356" s="575"/>
      <c r="M356" s="809"/>
      <c r="N356" s="575"/>
      <c r="O356" s="575"/>
      <c r="P356" s="575"/>
      <c r="Q356" s="575"/>
      <c r="R356" s="575"/>
      <c r="S356" s="575"/>
      <c r="T356" s="809"/>
      <c r="U356" s="575"/>
      <c r="V356" s="575"/>
      <c r="W356" s="575"/>
      <c r="X356" s="575"/>
      <c r="Y356" s="575"/>
      <c r="Z356" s="575"/>
      <c r="AA356" s="809"/>
      <c r="AB356" s="817"/>
      <c r="AC356" s="575"/>
      <c r="AD356" s="575"/>
      <c r="AE356" s="753"/>
      <c r="AF356" s="575"/>
      <c r="AG356" s="575"/>
      <c r="AH356" s="842"/>
      <c r="AI356" s="1013">
        <f t="shared" si="18"/>
        <v>0</v>
      </c>
      <c r="AJ356" s="949">
        <v>0</v>
      </c>
      <c r="AK356" s="581">
        <f t="shared" si="19"/>
        <v>0</v>
      </c>
      <c r="AL356" s="750" t="s">
        <v>1645</v>
      </c>
      <c r="AM356" s="743">
        <f t="shared" si="20"/>
        <v>11.96</v>
      </c>
    </row>
    <row r="357" spans="1:39" s="560" customFormat="1" ht="13.2" customHeight="1">
      <c r="A357" s="604" t="s">
        <v>841</v>
      </c>
      <c r="B357" s="604" t="s">
        <v>1238</v>
      </c>
      <c r="C357" s="614" t="s">
        <v>36</v>
      </c>
      <c r="D357" s="580"/>
      <c r="E357" s="581"/>
      <c r="F357" s="778"/>
      <c r="G357" s="581"/>
      <c r="H357" s="581"/>
      <c r="I357" s="949"/>
      <c r="J357" s="949"/>
      <c r="K357" s="825"/>
      <c r="L357" s="575"/>
      <c r="M357" s="809"/>
      <c r="N357" s="575"/>
      <c r="O357" s="575"/>
      <c r="P357" s="575"/>
      <c r="Q357" s="575"/>
      <c r="R357" s="575"/>
      <c r="S357" s="575"/>
      <c r="T357" s="809"/>
      <c r="U357" s="575"/>
      <c r="V357" s="575"/>
      <c r="W357" s="575"/>
      <c r="X357" s="575"/>
      <c r="Y357" s="575"/>
      <c r="Z357" s="575"/>
      <c r="AA357" s="809"/>
      <c r="AB357" s="817"/>
      <c r="AC357" s="575"/>
      <c r="AD357" s="575"/>
      <c r="AE357" s="753"/>
      <c r="AF357" s="575"/>
      <c r="AG357" s="575"/>
      <c r="AH357" s="842"/>
      <c r="AI357" s="1013">
        <f t="shared" si="18"/>
        <v>0</v>
      </c>
      <c r="AJ357" s="949">
        <v>0</v>
      </c>
      <c r="AK357" s="581">
        <f t="shared" si="19"/>
        <v>0</v>
      </c>
      <c r="AL357" s="750"/>
      <c r="AM357" s="743">
        <f t="shared" si="20"/>
        <v>0</v>
      </c>
    </row>
    <row r="358" spans="1:39" s="560" customFormat="1" ht="13.2" customHeight="1">
      <c r="A358" s="607" t="s">
        <v>466</v>
      </c>
      <c r="B358" s="607" t="s">
        <v>1242</v>
      </c>
      <c r="C358" s="690"/>
      <c r="D358" s="580"/>
      <c r="E358" s="581"/>
      <c r="F358" s="778"/>
      <c r="G358" s="581"/>
      <c r="H358" s="581"/>
      <c r="I358" s="949"/>
      <c r="J358" s="949"/>
      <c r="K358" s="825"/>
      <c r="L358" s="575"/>
      <c r="M358" s="809"/>
      <c r="N358" s="575"/>
      <c r="O358" s="575"/>
      <c r="P358" s="575"/>
      <c r="Q358" s="575"/>
      <c r="R358" s="575"/>
      <c r="S358" s="575"/>
      <c r="T358" s="809"/>
      <c r="U358" s="575"/>
      <c r="V358" s="575"/>
      <c r="W358" s="575"/>
      <c r="X358" s="575"/>
      <c r="Y358" s="575"/>
      <c r="Z358" s="575"/>
      <c r="AA358" s="809"/>
      <c r="AB358" s="817"/>
      <c r="AC358" s="575"/>
      <c r="AD358" s="575"/>
      <c r="AE358" s="753"/>
      <c r="AF358" s="575"/>
      <c r="AG358" s="575"/>
      <c r="AH358" s="842"/>
      <c r="AI358" s="1013">
        <f t="shared" si="18"/>
        <v>0</v>
      </c>
      <c r="AJ358" s="949">
        <v>0</v>
      </c>
      <c r="AK358" s="581">
        <f t="shared" si="19"/>
        <v>0</v>
      </c>
      <c r="AL358" s="750" t="s">
        <v>1646</v>
      </c>
      <c r="AM358" s="743">
        <f t="shared" si="20"/>
        <v>55.35</v>
      </c>
    </row>
    <row r="359" spans="1:39" s="560" customFormat="1" ht="13.2" customHeight="1">
      <c r="A359" s="604" t="s">
        <v>842</v>
      </c>
      <c r="B359" s="604" t="s">
        <v>1243</v>
      </c>
      <c r="C359" s="614" t="s">
        <v>36</v>
      </c>
      <c r="D359" s="580"/>
      <c r="E359" s="581"/>
      <c r="F359" s="778"/>
      <c r="G359" s="581"/>
      <c r="H359" s="581"/>
      <c r="I359" s="949"/>
      <c r="J359" s="949"/>
      <c r="K359" s="825"/>
      <c r="L359" s="575"/>
      <c r="M359" s="809"/>
      <c r="N359" s="575"/>
      <c r="O359" s="575"/>
      <c r="P359" s="575"/>
      <c r="Q359" s="575"/>
      <c r="R359" s="575"/>
      <c r="S359" s="575"/>
      <c r="T359" s="809"/>
      <c r="U359" s="575"/>
      <c r="V359" s="575"/>
      <c r="W359" s="575"/>
      <c r="X359" s="575"/>
      <c r="Y359" s="575"/>
      <c r="Z359" s="575"/>
      <c r="AA359" s="809"/>
      <c r="AB359" s="817"/>
      <c r="AC359" s="575"/>
      <c r="AD359" s="575"/>
      <c r="AE359" s="753"/>
      <c r="AF359" s="575"/>
      <c r="AG359" s="575"/>
      <c r="AH359" s="842"/>
      <c r="AI359" s="1013">
        <f t="shared" si="18"/>
        <v>0</v>
      </c>
      <c r="AJ359" s="949">
        <v>0</v>
      </c>
      <c r="AK359" s="581">
        <f t="shared" si="19"/>
        <v>0</v>
      </c>
      <c r="AL359" s="750"/>
      <c r="AM359" s="743">
        <f t="shared" si="20"/>
        <v>0</v>
      </c>
    </row>
    <row r="360" spans="1:39" s="560" customFormat="1" ht="13.2" customHeight="1">
      <c r="A360" s="607" t="s">
        <v>467</v>
      </c>
      <c r="B360" s="607" t="s">
        <v>1244</v>
      </c>
      <c r="C360" s="690"/>
      <c r="D360" s="580"/>
      <c r="E360" s="581"/>
      <c r="F360" s="778"/>
      <c r="G360" s="581"/>
      <c r="H360" s="581"/>
      <c r="I360" s="949"/>
      <c r="J360" s="949"/>
      <c r="K360" s="825"/>
      <c r="L360" s="575"/>
      <c r="M360" s="809"/>
      <c r="N360" s="575"/>
      <c r="O360" s="575"/>
      <c r="P360" s="575"/>
      <c r="Q360" s="575"/>
      <c r="R360" s="575"/>
      <c r="S360" s="575"/>
      <c r="T360" s="809"/>
      <c r="U360" s="575"/>
      <c r="V360" s="575"/>
      <c r="W360" s="575"/>
      <c r="X360" s="575"/>
      <c r="Y360" s="575"/>
      <c r="Z360" s="575"/>
      <c r="AA360" s="809"/>
      <c r="AB360" s="817"/>
      <c r="AC360" s="575"/>
      <c r="AD360" s="575"/>
      <c r="AE360" s="753"/>
      <c r="AF360" s="575"/>
      <c r="AG360" s="575"/>
      <c r="AH360" s="842"/>
      <c r="AI360" s="1013">
        <f t="shared" si="18"/>
        <v>0</v>
      </c>
      <c r="AJ360" s="949">
        <v>0</v>
      </c>
      <c r="AK360" s="581">
        <f t="shared" si="19"/>
        <v>0</v>
      </c>
      <c r="AL360" s="750" t="s">
        <v>1621</v>
      </c>
      <c r="AM360" s="743">
        <f t="shared" si="20"/>
        <v>15.8</v>
      </c>
    </row>
    <row r="361" spans="1:39" s="560" customFormat="1" ht="13.2" customHeight="1">
      <c r="A361" s="604" t="s">
        <v>843</v>
      </c>
      <c r="B361" s="604" t="s">
        <v>1245</v>
      </c>
      <c r="C361" s="614" t="s">
        <v>36</v>
      </c>
      <c r="D361" s="580"/>
      <c r="E361" s="581"/>
      <c r="F361" s="778"/>
      <c r="G361" s="581"/>
      <c r="H361" s="581"/>
      <c r="I361" s="949"/>
      <c r="J361" s="949"/>
      <c r="K361" s="825"/>
      <c r="L361" s="575"/>
      <c r="M361" s="809"/>
      <c r="N361" s="575"/>
      <c r="O361" s="575"/>
      <c r="P361" s="575"/>
      <c r="Q361" s="575"/>
      <c r="R361" s="575"/>
      <c r="S361" s="575"/>
      <c r="T361" s="809"/>
      <c r="U361" s="575"/>
      <c r="V361" s="575"/>
      <c r="W361" s="575"/>
      <c r="X361" s="575"/>
      <c r="Y361" s="575"/>
      <c r="Z361" s="575"/>
      <c r="AA361" s="809"/>
      <c r="AB361" s="817"/>
      <c r="AC361" s="575"/>
      <c r="AD361" s="575"/>
      <c r="AE361" s="753"/>
      <c r="AF361" s="575"/>
      <c r="AG361" s="575"/>
      <c r="AH361" s="842"/>
      <c r="AI361" s="1013">
        <f t="shared" si="18"/>
        <v>0</v>
      </c>
      <c r="AJ361" s="949">
        <v>0</v>
      </c>
      <c r="AK361" s="581">
        <f t="shared" si="19"/>
        <v>0</v>
      </c>
      <c r="AL361" s="750" t="s">
        <v>1647</v>
      </c>
      <c r="AM361" s="743">
        <f t="shared" si="20"/>
        <v>29.4</v>
      </c>
    </row>
    <row r="362" spans="1:39" s="560" customFormat="1" ht="13.2" customHeight="1">
      <c r="A362" s="604" t="s">
        <v>844</v>
      </c>
      <c r="B362" s="604" t="s">
        <v>1272</v>
      </c>
      <c r="C362" s="614" t="s">
        <v>36</v>
      </c>
      <c r="D362" s="580"/>
      <c r="E362" s="581"/>
      <c r="F362" s="778"/>
      <c r="G362" s="581"/>
      <c r="H362" s="581"/>
      <c r="I362" s="949"/>
      <c r="J362" s="949"/>
      <c r="K362" s="825"/>
      <c r="L362" s="575"/>
      <c r="M362" s="809"/>
      <c r="N362" s="575"/>
      <c r="O362" s="575"/>
      <c r="P362" s="575"/>
      <c r="Q362" s="575"/>
      <c r="R362" s="575"/>
      <c r="S362" s="575"/>
      <c r="T362" s="809"/>
      <c r="U362" s="575"/>
      <c r="V362" s="575"/>
      <c r="W362" s="575"/>
      <c r="X362" s="575"/>
      <c r="Y362" s="575"/>
      <c r="Z362" s="575"/>
      <c r="AA362" s="809"/>
      <c r="AB362" s="817"/>
      <c r="AC362" s="575"/>
      <c r="AD362" s="575"/>
      <c r="AE362" s="753"/>
      <c r="AF362" s="575"/>
      <c r="AG362" s="575"/>
      <c r="AH362" s="842"/>
      <c r="AI362" s="1013">
        <f t="shared" si="18"/>
        <v>0</v>
      </c>
      <c r="AJ362" s="949">
        <v>0</v>
      </c>
      <c r="AK362" s="581">
        <f t="shared" si="19"/>
        <v>0</v>
      </c>
      <c r="AL362" s="750" t="s">
        <v>1648</v>
      </c>
      <c r="AM362" s="743">
        <f t="shared" si="20"/>
        <v>9.6</v>
      </c>
    </row>
    <row r="363" spans="1:39" s="560" customFormat="1" ht="13.2" customHeight="1">
      <c r="A363" s="604" t="s">
        <v>845</v>
      </c>
      <c r="B363" s="604" t="s">
        <v>1247</v>
      </c>
      <c r="C363" s="614" t="s">
        <v>37</v>
      </c>
      <c r="D363" s="580"/>
      <c r="E363" s="581"/>
      <c r="F363" s="778"/>
      <c r="G363" s="581"/>
      <c r="H363" s="581"/>
      <c r="I363" s="949"/>
      <c r="J363" s="949"/>
      <c r="K363" s="825"/>
      <c r="L363" s="575"/>
      <c r="M363" s="809"/>
      <c r="N363" s="575"/>
      <c r="O363" s="575"/>
      <c r="P363" s="575"/>
      <c r="Q363" s="575"/>
      <c r="R363" s="575"/>
      <c r="S363" s="575"/>
      <c r="T363" s="809"/>
      <c r="U363" s="575"/>
      <c r="V363" s="575"/>
      <c r="W363" s="575"/>
      <c r="X363" s="575"/>
      <c r="Y363" s="575"/>
      <c r="Z363" s="575"/>
      <c r="AA363" s="809"/>
      <c r="AB363" s="817"/>
      <c r="AC363" s="575"/>
      <c r="AD363" s="575"/>
      <c r="AE363" s="753"/>
      <c r="AF363" s="575"/>
      <c r="AG363" s="575"/>
      <c r="AH363" s="842"/>
      <c r="AI363" s="1013">
        <f t="shared" si="18"/>
        <v>0</v>
      </c>
      <c r="AJ363" s="949">
        <v>0</v>
      </c>
      <c r="AK363" s="581">
        <f t="shared" si="19"/>
        <v>0</v>
      </c>
      <c r="AL363" s="750" t="s">
        <v>1649</v>
      </c>
      <c r="AM363" s="743">
        <f t="shared" si="20"/>
        <v>23.08</v>
      </c>
    </row>
    <row r="364" spans="1:39" s="560" customFormat="1" ht="13.2" customHeight="1">
      <c r="A364" s="604" t="s">
        <v>846</v>
      </c>
      <c r="B364" s="604" t="s">
        <v>1273</v>
      </c>
      <c r="C364" s="614" t="s">
        <v>37</v>
      </c>
      <c r="D364" s="580"/>
      <c r="E364" s="581"/>
      <c r="F364" s="778"/>
      <c r="G364" s="581"/>
      <c r="H364" s="581"/>
      <c r="I364" s="949"/>
      <c r="J364" s="949"/>
      <c r="K364" s="825"/>
      <c r="L364" s="575"/>
      <c r="M364" s="809"/>
      <c r="N364" s="575"/>
      <c r="O364" s="575"/>
      <c r="P364" s="575"/>
      <c r="Q364" s="575"/>
      <c r="R364" s="575"/>
      <c r="S364" s="575"/>
      <c r="T364" s="809"/>
      <c r="U364" s="575"/>
      <c r="V364" s="575"/>
      <c r="W364" s="575"/>
      <c r="X364" s="575"/>
      <c r="Y364" s="575"/>
      <c r="Z364" s="575"/>
      <c r="AA364" s="809"/>
      <c r="AB364" s="817"/>
      <c r="AC364" s="575"/>
      <c r="AD364" s="575"/>
      <c r="AE364" s="753"/>
      <c r="AF364" s="575"/>
      <c r="AG364" s="575"/>
      <c r="AH364" s="842"/>
      <c r="AI364" s="1013">
        <f t="shared" si="18"/>
        <v>0</v>
      </c>
      <c r="AJ364" s="949">
        <v>0</v>
      </c>
      <c r="AK364" s="581">
        <f t="shared" si="19"/>
        <v>0</v>
      </c>
      <c r="AL364" s="750"/>
      <c r="AM364" s="743">
        <f t="shared" si="20"/>
        <v>0</v>
      </c>
    </row>
    <row r="365" spans="1:39" s="560" customFormat="1" ht="13.2" customHeight="1">
      <c r="A365" s="607" t="s">
        <v>468</v>
      </c>
      <c r="B365" s="607" t="s">
        <v>1184</v>
      </c>
      <c r="C365" s="690"/>
      <c r="D365" s="580"/>
      <c r="E365" s="581"/>
      <c r="F365" s="778"/>
      <c r="G365" s="581"/>
      <c r="H365" s="581"/>
      <c r="I365" s="949"/>
      <c r="J365" s="949"/>
      <c r="K365" s="825"/>
      <c r="L365" s="575"/>
      <c r="M365" s="809"/>
      <c r="N365" s="575"/>
      <c r="O365" s="575"/>
      <c r="P365" s="575"/>
      <c r="Q365" s="575"/>
      <c r="R365" s="575"/>
      <c r="S365" s="575"/>
      <c r="T365" s="809"/>
      <c r="U365" s="575"/>
      <c r="V365" s="575"/>
      <c r="W365" s="575"/>
      <c r="X365" s="575"/>
      <c r="Y365" s="575"/>
      <c r="Z365" s="575"/>
      <c r="AA365" s="809"/>
      <c r="AB365" s="817"/>
      <c r="AC365" s="575"/>
      <c r="AD365" s="575"/>
      <c r="AE365" s="753"/>
      <c r="AF365" s="575"/>
      <c r="AG365" s="575"/>
      <c r="AH365" s="842"/>
      <c r="AI365" s="1013">
        <f t="shared" si="18"/>
        <v>0</v>
      </c>
      <c r="AJ365" s="949">
        <v>0</v>
      </c>
      <c r="AK365" s="581">
        <f t="shared" si="19"/>
        <v>0</v>
      </c>
      <c r="AL365" s="750" t="s">
        <v>1650</v>
      </c>
      <c r="AM365" s="743">
        <f t="shared" si="20"/>
        <v>48.24</v>
      </c>
    </row>
    <row r="366" spans="1:39" s="560" customFormat="1" ht="13.2" customHeight="1">
      <c r="A366" s="604" t="s">
        <v>847</v>
      </c>
      <c r="B366" s="604" t="s">
        <v>1248</v>
      </c>
      <c r="C366" s="614" t="s">
        <v>36</v>
      </c>
      <c r="D366" s="580"/>
      <c r="E366" s="581"/>
      <c r="F366" s="778"/>
      <c r="G366" s="581"/>
      <c r="H366" s="581"/>
      <c r="I366" s="949"/>
      <c r="J366" s="949"/>
      <c r="K366" s="825"/>
      <c r="L366" s="575"/>
      <c r="M366" s="809"/>
      <c r="N366" s="575"/>
      <c r="O366" s="575"/>
      <c r="P366" s="575"/>
      <c r="Q366" s="575"/>
      <c r="R366" s="575"/>
      <c r="S366" s="575"/>
      <c r="T366" s="809"/>
      <c r="U366" s="575"/>
      <c r="V366" s="575"/>
      <c r="W366" s="575"/>
      <c r="X366" s="575"/>
      <c r="Y366" s="575"/>
      <c r="Z366" s="575"/>
      <c r="AA366" s="809"/>
      <c r="AB366" s="817"/>
      <c r="AC366" s="575"/>
      <c r="AD366" s="575"/>
      <c r="AE366" s="753"/>
      <c r="AF366" s="575"/>
      <c r="AG366" s="575"/>
      <c r="AH366" s="842"/>
      <c r="AI366" s="1013">
        <f t="shared" si="18"/>
        <v>0</v>
      </c>
      <c r="AJ366" s="949">
        <v>0</v>
      </c>
      <c r="AK366" s="581">
        <f t="shared" si="19"/>
        <v>0</v>
      </c>
      <c r="AL366" s="750" t="s">
        <v>1651</v>
      </c>
      <c r="AM366" s="743">
        <f t="shared" si="20"/>
        <v>34.880000000000003</v>
      </c>
    </row>
    <row r="367" spans="1:39" s="560" customFormat="1" ht="13.2" customHeight="1">
      <c r="A367" s="604" t="s">
        <v>848</v>
      </c>
      <c r="B367" s="604" t="s">
        <v>1249</v>
      </c>
      <c r="C367" s="614" t="s">
        <v>37</v>
      </c>
      <c r="D367" s="580"/>
      <c r="E367" s="581"/>
      <c r="F367" s="778"/>
      <c r="G367" s="581"/>
      <c r="H367" s="581"/>
      <c r="I367" s="949"/>
      <c r="J367" s="949"/>
      <c r="K367" s="825"/>
      <c r="L367" s="575"/>
      <c r="M367" s="809"/>
      <c r="N367" s="575"/>
      <c r="O367" s="575"/>
      <c r="P367" s="575"/>
      <c r="Q367" s="575"/>
      <c r="R367" s="575"/>
      <c r="S367" s="575"/>
      <c r="T367" s="809"/>
      <c r="U367" s="575"/>
      <c r="V367" s="575"/>
      <c r="W367" s="575"/>
      <c r="X367" s="575"/>
      <c r="Y367" s="575"/>
      <c r="Z367" s="575"/>
      <c r="AA367" s="809"/>
      <c r="AB367" s="817"/>
      <c r="AC367" s="575"/>
      <c r="AD367" s="575"/>
      <c r="AE367" s="753"/>
      <c r="AF367" s="575"/>
      <c r="AG367" s="575"/>
      <c r="AH367" s="842"/>
      <c r="AI367" s="1013">
        <f t="shared" si="18"/>
        <v>0</v>
      </c>
      <c r="AJ367" s="949">
        <v>0</v>
      </c>
      <c r="AK367" s="581">
        <f t="shared" si="19"/>
        <v>0</v>
      </c>
      <c r="AL367" s="750" t="s">
        <v>1652</v>
      </c>
      <c r="AM367" s="743">
        <f t="shared" si="20"/>
        <v>22.97</v>
      </c>
    </row>
    <row r="368" spans="1:39" s="560" customFormat="1" ht="13.2" customHeight="1">
      <c r="A368" s="604" t="s">
        <v>849</v>
      </c>
      <c r="B368" s="604" t="s">
        <v>1274</v>
      </c>
      <c r="C368" s="614" t="s">
        <v>36</v>
      </c>
      <c r="D368" s="580"/>
      <c r="E368" s="581"/>
      <c r="F368" s="778"/>
      <c r="G368" s="581"/>
      <c r="H368" s="1110">
        <v>1.06</v>
      </c>
      <c r="I368" s="949"/>
      <c r="J368" s="949"/>
      <c r="K368" s="825"/>
      <c r="L368" s="575"/>
      <c r="M368" s="809"/>
      <c r="N368" s="575"/>
      <c r="O368" s="575"/>
      <c r="P368" s="575"/>
      <c r="Q368" s="575"/>
      <c r="R368" s="575"/>
      <c r="S368" s="575"/>
      <c r="T368" s="809"/>
      <c r="U368" s="575"/>
      <c r="V368" s="575"/>
      <c r="W368" s="575"/>
      <c r="X368" s="575"/>
      <c r="Y368" s="575"/>
      <c r="Z368" s="575"/>
      <c r="AA368" s="809"/>
      <c r="AB368" s="817"/>
      <c r="AC368" s="575"/>
      <c r="AD368" s="575"/>
      <c r="AE368" s="753"/>
      <c r="AF368" s="575"/>
      <c r="AG368" s="575"/>
      <c r="AH368" s="842"/>
      <c r="AI368" s="1013">
        <f t="shared" si="18"/>
        <v>1.06</v>
      </c>
      <c r="AJ368" s="949">
        <v>0</v>
      </c>
      <c r="AK368" s="581">
        <f t="shared" si="19"/>
        <v>1.06</v>
      </c>
      <c r="AL368" s="750"/>
      <c r="AM368" s="743">
        <f t="shared" si="20"/>
        <v>-1.06</v>
      </c>
    </row>
    <row r="369" spans="1:39" s="560" customFormat="1" ht="13.2" customHeight="1">
      <c r="A369" s="607" t="s">
        <v>469</v>
      </c>
      <c r="B369" s="607" t="s">
        <v>1250</v>
      </c>
      <c r="C369" s="614"/>
      <c r="D369" s="580"/>
      <c r="E369" s="581"/>
      <c r="F369" s="778"/>
      <c r="G369" s="581"/>
      <c r="H369" s="581"/>
      <c r="I369" s="949"/>
      <c r="J369" s="949"/>
      <c r="K369" s="825"/>
      <c r="L369" s="575"/>
      <c r="M369" s="809"/>
      <c r="N369" s="575"/>
      <c r="O369" s="575"/>
      <c r="P369" s="575"/>
      <c r="Q369" s="575"/>
      <c r="R369" s="575"/>
      <c r="S369" s="575"/>
      <c r="T369" s="809"/>
      <c r="U369" s="575"/>
      <c r="V369" s="575"/>
      <c r="W369" s="575"/>
      <c r="X369" s="575"/>
      <c r="Y369" s="575"/>
      <c r="Z369" s="575"/>
      <c r="AA369" s="809"/>
      <c r="AB369" s="817"/>
      <c r="AC369" s="575"/>
      <c r="AD369" s="575"/>
      <c r="AE369" s="753"/>
      <c r="AF369" s="575"/>
      <c r="AG369" s="575"/>
      <c r="AH369" s="842"/>
      <c r="AI369" s="1013">
        <f t="shared" si="18"/>
        <v>0</v>
      </c>
      <c r="AJ369" s="949">
        <v>0</v>
      </c>
      <c r="AK369" s="581">
        <f t="shared" si="19"/>
        <v>0</v>
      </c>
      <c r="AL369" s="750" t="s">
        <v>1653</v>
      </c>
      <c r="AM369" s="743">
        <f t="shared" si="20"/>
        <v>5.88</v>
      </c>
    </row>
    <row r="370" spans="1:39" s="560" customFormat="1" ht="13.2" customHeight="1">
      <c r="A370" s="604" t="s">
        <v>850</v>
      </c>
      <c r="B370" s="604" t="s">
        <v>1275</v>
      </c>
      <c r="C370" s="614" t="s">
        <v>36</v>
      </c>
      <c r="D370" s="580"/>
      <c r="E370" s="581"/>
      <c r="F370" s="778"/>
      <c r="G370" s="581"/>
      <c r="H370" s="581"/>
      <c r="I370" s="949"/>
      <c r="J370" s="949"/>
      <c r="K370" s="825"/>
      <c r="L370" s="575"/>
      <c r="M370" s="809"/>
      <c r="N370" s="575"/>
      <c r="O370" s="575"/>
      <c r="P370" s="575"/>
      <c r="Q370" s="575"/>
      <c r="R370" s="575"/>
      <c r="S370" s="575"/>
      <c r="T370" s="809"/>
      <c r="U370" s="575"/>
      <c r="V370" s="575"/>
      <c r="W370" s="575"/>
      <c r="X370" s="575"/>
      <c r="Y370" s="575"/>
      <c r="Z370" s="575"/>
      <c r="AA370" s="809"/>
      <c r="AB370" s="817"/>
      <c r="AC370" s="575"/>
      <c r="AD370" s="575"/>
      <c r="AE370" s="753"/>
      <c r="AF370" s="575"/>
      <c r="AG370" s="575"/>
      <c r="AH370" s="842"/>
      <c r="AI370" s="1013">
        <f t="shared" si="18"/>
        <v>0</v>
      </c>
      <c r="AJ370" s="949">
        <v>0</v>
      </c>
      <c r="AK370" s="581">
        <f t="shared" si="19"/>
        <v>0</v>
      </c>
      <c r="AL370" s="750" t="s">
        <v>1654</v>
      </c>
      <c r="AM370" s="743">
        <f t="shared" si="20"/>
        <v>1.68</v>
      </c>
    </row>
    <row r="371" spans="1:39" s="560" customFormat="1" ht="13.2" customHeight="1">
      <c r="A371" s="604" t="s">
        <v>851</v>
      </c>
      <c r="B371" s="604" t="s">
        <v>1276</v>
      </c>
      <c r="C371" s="614" t="s">
        <v>36</v>
      </c>
      <c r="D371" s="580"/>
      <c r="E371" s="581"/>
      <c r="F371" s="778"/>
      <c r="G371" s="581"/>
      <c r="H371" s="581"/>
      <c r="I371" s="949"/>
      <c r="J371" s="949"/>
      <c r="K371" s="825"/>
      <c r="L371" s="575"/>
      <c r="M371" s="809"/>
      <c r="N371" s="575"/>
      <c r="O371" s="575"/>
      <c r="P371" s="575"/>
      <c r="Q371" s="575"/>
      <c r="R371" s="575"/>
      <c r="S371" s="575"/>
      <c r="T371" s="809"/>
      <c r="U371" s="575"/>
      <c r="V371" s="575"/>
      <c r="W371" s="575"/>
      <c r="X371" s="575"/>
      <c r="Y371" s="575"/>
      <c r="Z371" s="575"/>
      <c r="AA371" s="809"/>
      <c r="AB371" s="817"/>
      <c r="AC371" s="575"/>
      <c r="AD371" s="575"/>
      <c r="AE371" s="753"/>
      <c r="AF371" s="575"/>
      <c r="AG371" s="575"/>
      <c r="AH371" s="842"/>
      <c r="AI371" s="1013">
        <f t="shared" si="18"/>
        <v>0</v>
      </c>
      <c r="AJ371" s="949">
        <v>0</v>
      </c>
      <c r="AK371" s="581">
        <f t="shared" si="19"/>
        <v>0</v>
      </c>
      <c r="AL371" s="750"/>
      <c r="AM371" s="743">
        <f t="shared" si="20"/>
        <v>0</v>
      </c>
    </row>
    <row r="372" spans="1:39" s="560" customFormat="1" ht="13.2" customHeight="1">
      <c r="A372" s="607" t="s">
        <v>852</v>
      </c>
      <c r="B372" s="607" t="s">
        <v>1277</v>
      </c>
      <c r="C372" s="690"/>
      <c r="D372" s="580"/>
      <c r="E372" s="581"/>
      <c r="F372" s="778"/>
      <c r="G372" s="581"/>
      <c r="H372" s="581"/>
      <c r="I372" s="949"/>
      <c r="J372" s="949"/>
      <c r="K372" s="825"/>
      <c r="L372" s="575"/>
      <c r="M372" s="809"/>
      <c r="N372" s="575"/>
      <c r="O372" s="575"/>
      <c r="P372" s="575"/>
      <c r="Q372" s="575"/>
      <c r="R372" s="575"/>
      <c r="S372" s="575"/>
      <c r="T372" s="809"/>
      <c r="U372" s="575"/>
      <c r="V372" s="575"/>
      <c r="W372" s="575"/>
      <c r="X372" s="575"/>
      <c r="Y372" s="575"/>
      <c r="Z372" s="575"/>
      <c r="AA372" s="809"/>
      <c r="AB372" s="817"/>
      <c r="AC372" s="575"/>
      <c r="AD372" s="575"/>
      <c r="AE372" s="753"/>
      <c r="AF372" s="575"/>
      <c r="AG372" s="575"/>
      <c r="AH372" s="842"/>
      <c r="AI372" s="1013">
        <f t="shared" si="18"/>
        <v>0</v>
      </c>
      <c r="AJ372" s="949">
        <v>0</v>
      </c>
      <c r="AK372" s="581">
        <f t="shared" si="19"/>
        <v>0</v>
      </c>
      <c r="AL372" s="750" t="s">
        <v>1655</v>
      </c>
      <c r="AM372" s="743">
        <f t="shared" si="20"/>
        <v>9.24</v>
      </c>
    </row>
    <row r="373" spans="1:39" s="560" customFormat="1" ht="13.2" customHeight="1">
      <c r="A373" s="604" t="s">
        <v>853</v>
      </c>
      <c r="B373" s="604" t="s">
        <v>1278</v>
      </c>
      <c r="C373" s="614" t="s">
        <v>36</v>
      </c>
      <c r="D373" s="580"/>
      <c r="E373" s="581"/>
      <c r="F373" s="778"/>
      <c r="G373" s="581"/>
      <c r="H373" s="581"/>
      <c r="I373" s="949"/>
      <c r="J373" s="949"/>
      <c r="K373" s="825"/>
      <c r="L373" s="575"/>
      <c r="M373" s="809"/>
      <c r="N373" s="575"/>
      <c r="O373" s="575"/>
      <c r="P373" s="575"/>
      <c r="Q373" s="575"/>
      <c r="R373" s="575"/>
      <c r="S373" s="575"/>
      <c r="T373" s="809"/>
      <c r="U373" s="575"/>
      <c r="V373" s="575"/>
      <c r="W373" s="575"/>
      <c r="X373" s="575"/>
      <c r="Y373" s="575"/>
      <c r="Z373" s="575"/>
      <c r="AA373" s="809"/>
      <c r="AB373" s="817"/>
      <c r="AC373" s="575"/>
      <c r="AD373" s="575"/>
      <c r="AE373" s="753"/>
      <c r="AF373" s="575"/>
      <c r="AG373" s="575"/>
      <c r="AH373" s="842"/>
      <c r="AI373" s="1013">
        <f t="shared" si="18"/>
        <v>0</v>
      </c>
      <c r="AJ373" s="949">
        <v>0</v>
      </c>
      <c r="AK373" s="581">
        <f t="shared" si="19"/>
        <v>0</v>
      </c>
      <c r="AL373" s="750"/>
      <c r="AM373" s="743">
        <f t="shared" si="20"/>
        <v>0</v>
      </c>
    </row>
    <row r="374" spans="1:39" s="560" customFormat="1" ht="13.2" customHeight="1">
      <c r="A374" s="607" t="s">
        <v>854</v>
      </c>
      <c r="B374" s="607" t="s">
        <v>1252</v>
      </c>
      <c r="C374" s="690"/>
      <c r="D374" s="580"/>
      <c r="E374" s="581"/>
      <c r="F374" s="778"/>
      <c r="G374" s="581"/>
      <c r="H374" s="581"/>
      <c r="I374" s="949"/>
      <c r="J374" s="949"/>
      <c r="K374" s="825"/>
      <c r="L374" s="575"/>
      <c r="M374" s="809"/>
      <c r="N374" s="575"/>
      <c r="O374" s="575"/>
      <c r="P374" s="575"/>
      <c r="Q374" s="575"/>
      <c r="R374" s="575"/>
      <c r="S374" s="575"/>
      <c r="T374" s="809"/>
      <c r="U374" s="575"/>
      <c r="V374" s="575"/>
      <c r="W374" s="575"/>
      <c r="X374" s="575"/>
      <c r="Y374" s="575"/>
      <c r="Z374" s="575"/>
      <c r="AA374" s="809"/>
      <c r="AB374" s="817"/>
      <c r="AC374" s="575"/>
      <c r="AD374" s="575"/>
      <c r="AE374" s="753"/>
      <c r="AF374" s="575"/>
      <c r="AG374" s="575"/>
      <c r="AH374" s="842"/>
      <c r="AI374" s="1013">
        <f t="shared" si="18"/>
        <v>0</v>
      </c>
      <c r="AJ374" s="949">
        <v>0</v>
      </c>
      <c r="AK374" s="581">
        <f t="shared" si="19"/>
        <v>0</v>
      </c>
      <c r="AL374" s="750" t="s">
        <v>1656</v>
      </c>
      <c r="AM374" s="743">
        <f t="shared" si="20"/>
        <v>20</v>
      </c>
    </row>
    <row r="375" spans="1:39" s="560" customFormat="1" ht="13.2" customHeight="1">
      <c r="A375" s="604" t="s">
        <v>855</v>
      </c>
      <c r="B375" s="604" t="s">
        <v>1253</v>
      </c>
      <c r="C375" s="614" t="s">
        <v>1437</v>
      </c>
      <c r="D375" s="580"/>
      <c r="E375" s="581"/>
      <c r="F375" s="778"/>
      <c r="G375" s="581"/>
      <c r="H375" s="581"/>
      <c r="I375" s="949"/>
      <c r="J375" s="949"/>
      <c r="K375" s="825"/>
      <c r="L375" s="575"/>
      <c r="M375" s="809"/>
      <c r="N375" s="575"/>
      <c r="O375" s="575"/>
      <c r="P375" s="575"/>
      <c r="Q375" s="575"/>
      <c r="R375" s="575"/>
      <c r="S375" s="575"/>
      <c r="T375" s="809"/>
      <c r="U375" s="575"/>
      <c r="V375" s="575"/>
      <c r="W375" s="575"/>
      <c r="X375" s="575"/>
      <c r="Y375" s="575"/>
      <c r="Z375" s="575"/>
      <c r="AA375" s="809"/>
      <c r="AB375" s="817"/>
      <c r="AC375" s="575"/>
      <c r="AD375" s="575"/>
      <c r="AE375" s="753"/>
      <c r="AF375" s="575"/>
      <c r="AG375" s="575"/>
      <c r="AH375" s="842"/>
      <c r="AI375" s="1013">
        <f t="shared" si="18"/>
        <v>0</v>
      </c>
      <c r="AJ375" s="949">
        <v>0</v>
      </c>
      <c r="AK375" s="581">
        <f t="shared" si="19"/>
        <v>0</v>
      </c>
      <c r="AL375" s="750" t="s">
        <v>1657</v>
      </c>
      <c r="AM375" s="743">
        <f t="shared" si="20"/>
        <v>4</v>
      </c>
    </row>
    <row r="376" spans="1:39" s="560" customFormat="1" ht="13.2" customHeight="1">
      <c r="A376" s="604" t="s">
        <v>856</v>
      </c>
      <c r="B376" s="604" t="s">
        <v>1254</v>
      </c>
      <c r="C376" s="614" t="s">
        <v>35</v>
      </c>
      <c r="D376" s="580"/>
      <c r="E376" s="581"/>
      <c r="F376" s="778"/>
      <c r="G376" s="581"/>
      <c r="H376" s="581"/>
      <c r="I376" s="949"/>
      <c r="J376" s="949"/>
      <c r="K376" s="825"/>
      <c r="L376" s="575"/>
      <c r="M376" s="809"/>
      <c r="N376" s="575"/>
      <c r="O376" s="575"/>
      <c r="P376" s="575"/>
      <c r="Q376" s="575"/>
      <c r="R376" s="575"/>
      <c r="S376" s="575"/>
      <c r="T376" s="809"/>
      <c r="U376" s="575"/>
      <c r="V376" s="575"/>
      <c r="W376" s="575"/>
      <c r="X376" s="575"/>
      <c r="Y376" s="575"/>
      <c r="Z376" s="575"/>
      <c r="AA376" s="809"/>
      <c r="AB376" s="817"/>
      <c r="AC376" s="575"/>
      <c r="AD376" s="575"/>
      <c r="AE376" s="753"/>
      <c r="AF376" s="575"/>
      <c r="AG376" s="575"/>
      <c r="AH376" s="842"/>
      <c r="AI376" s="1013">
        <f t="shared" si="18"/>
        <v>0</v>
      </c>
      <c r="AJ376" s="949">
        <v>0</v>
      </c>
      <c r="AK376" s="581">
        <f t="shared" si="19"/>
        <v>0</v>
      </c>
      <c r="AL376" s="750" t="s">
        <v>1657</v>
      </c>
      <c r="AM376" s="743">
        <f t="shared" si="20"/>
        <v>4</v>
      </c>
    </row>
    <row r="377" spans="1:39" s="560" customFormat="1" ht="13.2" customHeight="1">
      <c r="A377" s="604" t="s">
        <v>857</v>
      </c>
      <c r="B377" s="604" t="s">
        <v>1279</v>
      </c>
      <c r="C377" s="614" t="s">
        <v>1437</v>
      </c>
      <c r="D377" s="580"/>
      <c r="E377" s="581"/>
      <c r="F377" s="778"/>
      <c r="G377" s="581"/>
      <c r="H377" s="581"/>
      <c r="I377" s="949"/>
      <c r="J377" s="949"/>
      <c r="K377" s="825"/>
      <c r="L377" s="575"/>
      <c r="M377" s="809"/>
      <c r="N377" s="575"/>
      <c r="O377" s="575"/>
      <c r="P377" s="575"/>
      <c r="Q377" s="575"/>
      <c r="R377" s="575"/>
      <c r="S377" s="575"/>
      <c r="T377" s="809"/>
      <c r="U377" s="575"/>
      <c r="V377" s="575"/>
      <c r="W377" s="575"/>
      <c r="X377" s="575"/>
      <c r="Y377" s="575"/>
      <c r="Z377" s="575"/>
      <c r="AA377" s="809"/>
      <c r="AB377" s="817"/>
      <c r="AC377" s="575"/>
      <c r="AD377" s="575"/>
      <c r="AE377" s="753"/>
      <c r="AF377" s="575"/>
      <c r="AG377" s="575"/>
      <c r="AH377" s="842"/>
      <c r="AI377" s="1013">
        <f t="shared" si="18"/>
        <v>0</v>
      </c>
      <c r="AJ377" s="949">
        <v>0</v>
      </c>
      <c r="AK377" s="581">
        <f t="shared" si="19"/>
        <v>0</v>
      </c>
      <c r="AL377" s="750"/>
      <c r="AM377" s="743">
        <f t="shared" si="20"/>
        <v>0</v>
      </c>
    </row>
    <row r="378" spans="1:39" s="560" customFormat="1" ht="13.2" customHeight="1">
      <c r="A378" s="607" t="s">
        <v>858</v>
      </c>
      <c r="B378" s="607" t="s">
        <v>1255</v>
      </c>
      <c r="C378" s="690"/>
      <c r="D378" s="580"/>
      <c r="E378" s="581"/>
      <c r="F378" s="778"/>
      <c r="G378" s="581"/>
      <c r="H378" s="581"/>
      <c r="I378" s="949"/>
      <c r="J378" s="949"/>
      <c r="K378" s="825"/>
      <c r="L378" s="575"/>
      <c r="M378" s="809"/>
      <c r="N378" s="575"/>
      <c r="O378" s="575"/>
      <c r="P378" s="575"/>
      <c r="Q378" s="575"/>
      <c r="R378" s="575"/>
      <c r="S378" s="575"/>
      <c r="T378" s="809"/>
      <c r="U378" s="575"/>
      <c r="V378" s="575"/>
      <c r="W378" s="575"/>
      <c r="X378" s="575"/>
      <c r="Y378" s="575"/>
      <c r="Z378" s="575"/>
      <c r="AA378" s="809"/>
      <c r="AB378" s="817"/>
      <c r="AC378" s="575"/>
      <c r="AD378" s="575"/>
      <c r="AE378" s="753"/>
      <c r="AF378" s="575"/>
      <c r="AG378" s="575"/>
      <c r="AH378" s="842"/>
      <c r="AI378" s="1013">
        <f t="shared" si="18"/>
        <v>0</v>
      </c>
      <c r="AJ378" s="949">
        <v>0</v>
      </c>
      <c r="AK378" s="581">
        <f t="shared" si="19"/>
        <v>0</v>
      </c>
      <c r="AL378" s="750" t="s">
        <v>1658</v>
      </c>
      <c r="AM378" s="743">
        <f t="shared" si="20"/>
        <v>18.09</v>
      </c>
    </row>
    <row r="379" spans="1:39" s="560" customFormat="1" ht="13.2" customHeight="1">
      <c r="A379" s="604" t="s">
        <v>859</v>
      </c>
      <c r="B379" s="604" t="s">
        <v>1256</v>
      </c>
      <c r="C379" s="614" t="s">
        <v>36</v>
      </c>
      <c r="D379" s="580"/>
      <c r="E379" s="581"/>
      <c r="F379" s="778"/>
      <c r="G379" s="581"/>
      <c r="H379" s="581"/>
      <c r="I379" s="949"/>
      <c r="J379" s="949"/>
      <c r="K379" s="825"/>
      <c r="L379" s="575"/>
      <c r="M379" s="809"/>
      <c r="N379" s="575"/>
      <c r="O379" s="575"/>
      <c r="P379" s="575"/>
      <c r="Q379" s="575"/>
      <c r="R379" s="575"/>
      <c r="S379" s="575"/>
      <c r="T379" s="809"/>
      <c r="U379" s="575"/>
      <c r="V379" s="575"/>
      <c r="W379" s="575"/>
      <c r="X379" s="575"/>
      <c r="Y379" s="575"/>
      <c r="Z379" s="575"/>
      <c r="AA379" s="809"/>
      <c r="AB379" s="817"/>
      <c r="AC379" s="575"/>
      <c r="AD379" s="575"/>
      <c r="AE379" s="753"/>
      <c r="AF379" s="575"/>
      <c r="AG379" s="575"/>
      <c r="AH379" s="842"/>
      <c r="AI379" s="1013">
        <f t="shared" si="18"/>
        <v>0</v>
      </c>
      <c r="AJ379" s="949">
        <v>0</v>
      </c>
      <c r="AK379" s="581">
        <f t="shared" si="19"/>
        <v>0</v>
      </c>
      <c r="AL379" s="750" t="s">
        <v>1659</v>
      </c>
      <c r="AM379" s="743">
        <f t="shared" si="20"/>
        <v>1.75</v>
      </c>
    </row>
    <row r="380" spans="1:39" s="560" customFormat="1" ht="13.2" customHeight="1">
      <c r="A380" s="604" t="s">
        <v>860</v>
      </c>
      <c r="B380" s="604" t="s">
        <v>1257</v>
      </c>
      <c r="C380" s="614" t="s">
        <v>36</v>
      </c>
      <c r="D380" s="580"/>
      <c r="E380" s="581"/>
      <c r="F380" s="778"/>
      <c r="G380" s="581"/>
      <c r="H380" s="581"/>
      <c r="I380" s="949"/>
      <c r="J380" s="949"/>
      <c r="K380" s="825"/>
      <c r="L380" s="575"/>
      <c r="M380" s="809"/>
      <c r="N380" s="575"/>
      <c r="O380" s="575"/>
      <c r="P380" s="575"/>
      <c r="Q380" s="575"/>
      <c r="R380" s="575"/>
      <c r="S380" s="575"/>
      <c r="T380" s="809"/>
      <c r="U380" s="575"/>
      <c r="V380" s="575"/>
      <c r="W380" s="575"/>
      <c r="X380" s="575"/>
      <c r="Y380" s="575"/>
      <c r="Z380" s="575"/>
      <c r="AA380" s="809"/>
      <c r="AB380" s="817"/>
      <c r="AC380" s="575"/>
      <c r="AD380" s="575"/>
      <c r="AE380" s="753"/>
      <c r="AF380" s="575"/>
      <c r="AG380" s="575"/>
      <c r="AH380" s="842"/>
      <c r="AI380" s="1013">
        <f t="shared" si="18"/>
        <v>0</v>
      </c>
      <c r="AJ380" s="949">
        <v>0</v>
      </c>
      <c r="AK380" s="581">
        <f t="shared" si="19"/>
        <v>0</v>
      </c>
      <c r="AL380" s="750"/>
      <c r="AM380" s="743">
        <f t="shared" si="20"/>
        <v>0</v>
      </c>
    </row>
    <row r="381" spans="1:39" s="560" customFormat="1" ht="13.2" customHeight="1">
      <c r="A381" s="607" t="s">
        <v>861</v>
      </c>
      <c r="B381" s="607" t="s">
        <v>1258</v>
      </c>
      <c r="C381" s="690"/>
      <c r="D381" s="580"/>
      <c r="E381" s="581"/>
      <c r="F381" s="778"/>
      <c r="G381" s="581"/>
      <c r="H381" s="581"/>
      <c r="I381" s="949"/>
      <c r="J381" s="949"/>
      <c r="K381" s="825"/>
      <c r="L381" s="575"/>
      <c r="M381" s="809"/>
      <c r="N381" s="575"/>
      <c r="O381" s="575"/>
      <c r="P381" s="575"/>
      <c r="Q381" s="575"/>
      <c r="R381" s="575"/>
      <c r="S381" s="575"/>
      <c r="T381" s="809"/>
      <c r="U381" s="575"/>
      <c r="V381" s="575"/>
      <c r="W381" s="575"/>
      <c r="X381" s="575"/>
      <c r="Y381" s="575"/>
      <c r="Z381" s="575"/>
      <c r="AA381" s="809"/>
      <c r="AB381" s="817"/>
      <c r="AC381" s="575"/>
      <c r="AD381" s="575"/>
      <c r="AE381" s="753"/>
      <c r="AF381" s="575"/>
      <c r="AG381" s="575"/>
      <c r="AH381" s="842"/>
      <c r="AI381" s="1013">
        <f t="shared" si="18"/>
        <v>0</v>
      </c>
      <c r="AJ381" s="949">
        <v>0</v>
      </c>
      <c r="AK381" s="581">
        <f t="shared" si="19"/>
        <v>0</v>
      </c>
      <c r="AL381" s="750" t="s">
        <v>1641</v>
      </c>
      <c r="AM381" s="743">
        <f t="shared" si="20"/>
        <v>65.92</v>
      </c>
    </row>
    <row r="382" spans="1:39" s="560" customFormat="1" ht="13.2" customHeight="1">
      <c r="A382" s="604" t="s">
        <v>862</v>
      </c>
      <c r="B382" s="604" t="s">
        <v>1259</v>
      </c>
      <c r="C382" s="614" t="s">
        <v>36</v>
      </c>
      <c r="D382" s="580"/>
      <c r="E382" s="581"/>
      <c r="F382" s="778"/>
      <c r="G382" s="581"/>
      <c r="H382" s="581"/>
      <c r="I382" s="949"/>
      <c r="J382" s="949"/>
      <c r="K382" s="825"/>
      <c r="L382" s="575"/>
      <c r="M382" s="809"/>
      <c r="N382" s="575"/>
      <c r="O382" s="575"/>
      <c r="P382" s="575"/>
      <c r="Q382" s="575"/>
      <c r="R382" s="575"/>
      <c r="S382" s="575"/>
      <c r="T382" s="809"/>
      <c r="U382" s="575"/>
      <c r="V382" s="575"/>
      <c r="W382" s="575"/>
      <c r="X382" s="575"/>
      <c r="Y382" s="575"/>
      <c r="Z382" s="575"/>
      <c r="AA382" s="809"/>
      <c r="AB382" s="817"/>
      <c r="AC382" s="575"/>
      <c r="AD382" s="575"/>
      <c r="AE382" s="753"/>
      <c r="AF382" s="575"/>
      <c r="AG382" s="575"/>
      <c r="AH382" s="842"/>
      <c r="AI382" s="1013">
        <f t="shared" si="18"/>
        <v>0</v>
      </c>
      <c r="AJ382" s="949">
        <v>0</v>
      </c>
      <c r="AK382" s="581">
        <f t="shared" si="19"/>
        <v>0</v>
      </c>
      <c r="AL382" s="750" t="s">
        <v>1634</v>
      </c>
      <c r="AM382" s="743">
        <f t="shared" si="20"/>
        <v>99.99</v>
      </c>
    </row>
    <row r="383" spans="1:39" s="560" customFormat="1" ht="13.2" customHeight="1">
      <c r="A383" s="604" t="s">
        <v>863</v>
      </c>
      <c r="B383" s="604" t="s">
        <v>1260</v>
      </c>
      <c r="C383" s="614" t="s">
        <v>36</v>
      </c>
      <c r="D383" s="580"/>
      <c r="E383" s="581"/>
      <c r="F383" s="778"/>
      <c r="G383" s="581"/>
      <c r="H383" s="581"/>
      <c r="I383" s="949"/>
      <c r="J383" s="949"/>
      <c r="K383" s="825"/>
      <c r="L383" s="575"/>
      <c r="M383" s="809"/>
      <c r="N383" s="575"/>
      <c r="O383" s="575"/>
      <c r="P383" s="575"/>
      <c r="Q383" s="575"/>
      <c r="R383" s="575"/>
      <c r="S383" s="575"/>
      <c r="T383" s="809"/>
      <c r="U383" s="575"/>
      <c r="V383" s="575"/>
      <c r="W383" s="575"/>
      <c r="X383" s="575"/>
      <c r="Y383" s="575"/>
      <c r="Z383" s="575"/>
      <c r="AA383" s="809"/>
      <c r="AB383" s="817"/>
      <c r="AC383" s="575"/>
      <c r="AD383" s="575"/>
      <c r="AE383" s="753"/>
      <c r="AF383" s="575"/>
      <c r="AG383" s="575"/>
      <c r="AH383" s="842"/>
      <c r="AI383" s="1013">
        <f t="shared" si="18"/>
        <v>0</v>
      </c>
      <c r="AJ383" s="949">
        <v>0</v>
      </c>
      <c r="AK383" s="581">
        <f t="shared" si="19"/>
        <v>0</v>
      </c>
      <c r="AL383" s="750" t="s">
        <v>1635</v>
      </c>
      <c r="AM383" s="743">
        <f t="shared" si="20"/>
        <v>60.07</v>
      </c>
    </row>
    <row r="384" spans="1:39" s="560" customFormat="1" ht="13.2" customHeight="1">
      <c r="A384" s="604" t="s">
        <v>864</v>
      </c>
      <c r="B384" s="604" t="s">
        <v>1261</v>
      </c>
      <c r="C384" s="614" t="s">
        <v>36</v>
      </c>
      <c r="D384" s="580"/>
      <c r="E384" s="581"/>
      <c r="F384" s="778"/>
      <c r="G384" s="581"/>
      <c r="H384" s="581"/>
      <c r="I384" s="949"/>
      <c r="J384" s="949"/>
      <c r="K384" s="825"/>
      <c r="L384" s="575"/>
      <c r="M384" s="809"/>
      <c r="N384" s="575"/>
      <c r="O384" s="575"/>
      <c r="P384" s="575"/>
      <c r="Q384" s="575"/>
      <c r="R384" s="575"/>
      <c r="S384" s="575"/>
      <c r="T384" s="809"/>
      <c r="U384" s="575"/>
      <c r="V384" s="575"/>
      <c r="W384" s="575"/>
      <c r="X384" s="575"/>
      <c r="Y384" s="575"/>
      <c r="Z384" s="575"/>
      <c r="AA384" s="809"/>
      <c r="AB384" s="817"/>
      <c r="AC384" s="575"/>
      <c r="AD384" s="575"/>
      <c r="AE384" s="753"/>
      <c r="AF384" s="575"/>
      <c r="AG384" s="575"/>
      <c r="AH384" s="842"/>
      <c r="AI384" s="1013">
        <f t="shared" si="18"/>
        <v>0</v>
      </c>
      <c r="AJ384" s="949">
        <v>0</v>
      </c>
      <c r="AK384" s="581">
        <f t="shared" si="19"/>
        <v>0</v>
      </c>
      <c r="AL384" s="750" t="s">
        <v>1636</v>
      </c>
      <c r="AM384" s="743">
        <f t="shared" si="20"/>
        <v>33.6</v>
      </c>
    </row>
    <row r="385" spans="1:39" s="560" customFormat="1" ht="13.2" customHeight="1">
      <c r="A385" s="604" t="s">
        <v>865</v>
      </c>
      <c r="B385" s="604" t="s">
        <v>1262</v>
      </c>
      <c r="C385" s="614" t="s">
        <v>36</v>
      </c>
      <c r="D385" s="580"/>
      <c r="E385" s="581"/>
      <c r="F385" s="778"/>
      <c r="G385" s="581"/>
      <c r="H385" s="581"/>
      <c r="I385" s="949"/>
      <c r="J385" s="949"/>
      <c r="K385" s="825"/>
      <c r="L385" s="575"/>
      <c r="M385" s="809"/>
      <c r="N385" s="575"/>
      <c r="O385" s="575"/>
      <c r="P385" s="575"/>
      <c r="Q385" s="575"/>
      <c r="R385" s="575"/>
      <c r="S385" s="575"/>
      <c r="T385" s="809"/>
      <c r="U385" s="575"/>
      <c r="V385" s="575"/>
      <c r="W385" s="575"/>
      <c r="X385" s="575"/>
      <c r="Y385" s="575"/>
      <c r="Z385" s="575"/>
      <c r="AA385" s="809"/>
      <c r="AB385" s="817"/>
      <c r="AC385" s="575"/>
      <c r="AD385" s="575"/>
      <c r="AE385" s="753"/>
      <c r="AF385" s="575"/>
      <c r="AG385" s="575"/>
      <c r="AH385" s="842"/>
      <c r="AI385" s="1013">
        <f t="shared" si="18"/>
        <v>0</v>
      </c>
      <c r="AJ385" s="949">
        <v>0</v>
      </c>
      <c r="AK385" s="581">
        <f t="shared" si="19"/>
        <v>0</v>
      </c>
      <c r="AL385" s="750" t="s">
        <v>1637</v>
      </c>
      <c r="AM385" s="743">
        <f t="shared" si="20"/>
        <v>27.42</v>
      </c>
    </row>
    <row r="386" spans="1:39" s="560" customFormat="1" ht="13.2" customHeight="1">
      <c r="A386" s="604" t="s">
        <v>866</v>
      </c>
      <c r="B386" s="604" t="s">
        <v>1263</v>
      </c>
      <c r="C386" s="614" t="s">
        <v>36</v>
      </c>
      <c r="D386" s="580"/>
      <c r="E386" s="581"/>
      <c r="F386" s="778"/>
      <c r="G386" s="581"/>
      <c r="H386" s="581"/>
      <c r="I386" s="949"/>
      <c r="J386" s="949"/>
      <c r="K386" s="825"/>
      <c r="L386" s="575"/>
      <c r="M386" s="809"/>
      <c r="N386" s="575"/>
      <c r="O386" s="575"/>
      <c r="P386" s="575"/>
      <c r="Q386" s="575"/>
      <c r="R386" s="575"/>
      <c r="S386" s="575"/>
      <c r="T386" s="809"/>
      <c r="U386" s="575"/>
      <c r="V386" s="575"/>
      <c r="W386" s="575"/>
      <c r="X386" s="575"/>
      <c r="Y386" s="575"/>
      <c r="Z386" s="575"/>
      <c r="AA386" s="809"/>
      <c r="AB386" s="817"/>
      <c r="AC386" s="575"/>
      <c r="AD386" s="575"/>
      <c r="AE386" s="753"/>
      <c r="AF386" s="575"/>
      <c r="AG386" s="575"/>
      <c r="AH386" s="842"/>
      <c r="AI386" s="1013">
        <f t="shared" si="18"/>
        <v>0</v>
      </c>
      <c r="AJ386" s="949">
        <v>0</v>
      </c>
      <c r="AK386" s="581">
        <f t="shared" si="19"/>
        <v>0</v>
      </c>
      <c r="AL386" s="750" t="s">
        <v>1621</v>
      </c>
      <c r="AM386" s="743">
        <f t="shared" si="20"/>
        <v>15.8</v>
      </c>
    </row>
    <row r="387" spans="1:39" s="560" customFormat="1" ht="13.2" customHeight="1">
      <c r="A387" s="604" t="s">
        <v>867</v>
      </c>
      <c r="B387" s="604" t="s">
        <v>1264</v>
      </c>
      <c r="C387" s="614" t="s">
        <v>36</v>
      </c>
      <c r="D387" s="580"/>
      <c r="E387" s="581"/>
      <c r="F387" s="778"/>
      <c r="G387" s="581"/>
      <c r="H387" s="581"/>
      <c r="I387" s="949"/>
      <c r="J387" s="949"/>
      <c r="K387" s="825"/>
      <c r="L387" s="575"/>
      <c r="M387" s="809"/>
      <c r="N387" s="575"/>
      <c r="O387" s="575"/>
      <c r="P387" s="575"/>
      <c r="Q387" s="575"/>
      <c r="R387" s="575"/>
      <c r="S387" s="575"/>
      <c r="T387" s="809"/>
      <c r="U387" s="575"/>
      <c r="V387" s="575"/>
      <c r="W387" s="575"/>
      <c r="X387" s="575"/>
      <c r="Y387" s="575"/>
      <c r="Z387" s="575"/>
      <c r="AA387" s="809"/>
      <c r="AB387" s="817"/>
      <c r="AC387" s="575"/>
      <c r="AD387" s="575"/>
      <c r="AE387" s="753"/>
      <c r="AF387" s="575"/>
      <c r="AG387" s="575"/>
      <c r="AH387" s="842"/>
      <c r="AI387" s="1013">
        <f t="shared" si="18"/>
        <v>0</v>
      </c>
      <c r="AJ387" s="949">
        <v>0</v>
      </c>
      <c r="AK387" s="581">
        <f t="shared" si="19"/>
        <v>0</v>
      </c>
      <c r="AL387" s="750" t="s">
        <v>1660</v>
      </c>
      <c r="AM387" s="743">
        <f t="shared" si="20"/>
        <v>14.7</v>
      </c>
    </row>
    <row r="388" spans="1:39" s="560" customFormat="1" ht="13.2" customHeight="1">
      <c r="A388" s="604" t="s">
        <v>868</v>
      </c>
      <c r="B388" s="604" t="s">
        <v>1265</v>
      </c>
      <c r="C388" s="614" t="s">
        <v>36</v>
      </c>
      <c r="D388" s="580"/>
      <c r="E388" s="581"/>
      <c r="F388" s="778"/>
      <c r="G388" s="581"/>
      <c r="H388" s="581"/>
      <c r="I388" s="949"/>
      <c r="J388" s="949"/>
      <c r="K388" s="825"/>
      <c r="L388" s="575"/>
      <c r="M388" s="809"/>
      <c r="N388" s="575"/>
      <c r="O388" s="575"/>
      <c r="P388" s="575"/>
      <c r="Q388" s="575"/>
      <c r="R388" s="575"/>
      <c r="S388" s="575"/>
      <c r="T388" s="809"/>
      <c r="U388" s="575"/>
      <c r="V388" s="575"/>
      <c r="W388" s="575"/>
      <c r="X388" s="575"/>
      <c r="Y388" s="575"/>
      <c r="Z388" s="575"/>
      <c r="AA388" s="809"/>
      <c r="AB388" s="817"/>
      <c r="AC388" s="575"/>
      <c r="AD388" s="575"/>
      <c r="AE388" s="753"/>
      <c r="AF388" s="575"/>
      <c r="AG388" s="575"/>
      <c r="AH388" s="842"/>
      <c r="AI388" s="1013">
        <f t="shared" si="18"/>
        <v>0</v>
      </c>
      <c r="AJ388" s="949">
        <v>0</v>
      </c>
      <c r="AK388" s="581">
        <f t="shared" si="19"/>
        <v>0</v>
      </c>
      <c r="AL388" s="750"/>
      <c r="AM388" s="743">
        <f t="shared" si="20"/>
        <v>0</v>
      </c>
    </row>
    <row r="389" spans="1:39" s="560" customFormat="1" ht="13.2" customHeight="1">
      <c r="A389" s="607" t="s">
        <v>869</v>
      </c>
      <c r="B389" s="607" t="s">
        <v>1266</v>
      </c>
      <c r="C389" s="690"/>
      <c r="D389" s="580"/>
      <c r="E389" s="581"/>
      <c r="F389" s="778"/>
      <c r="G389" s="581"/>
      <c r="H389" s="581"/>
      <c r="I389" s="949"/>
      <c r="J389" s="949"/>
      <c r="K389" s="825"/>
      <c r="L389" s="575"/>
      <c r="M389" s="809"/>
      <c r="N389" s="575"/>
      <c r="O389" s="575"/>
      <c r="P389" s="575"/>
      <c r="Q389" s="575"/>
      <c r="R389" s="575"/>
      <c r="S389" s="575"/>
      <c r="T389" s="809"/>
      <c r="U389" s="575"/>
      <c r="V389" s="575"/>
      <c r="W389" s="575"/>
      <c r="X389" s="575"/>
      <c r="Y389" s="575"/>
      <c r="Z389" s="575"/>
      <c r="AA389" s="809"/>
      <c r="AB389" s="817"/>
      <c r="AC389" s="575"/>
      <c r="AD389" s="575"/>
      <c r="AE389" s="753"/>
      <c r="AF389" s="575"/>
      <c r="AG389" s="575"/>
      <c r="AH389" s="842"/>
      <c r="AI389" s="1013">
        <f t="shared" si="18"/>
        <v>0</v>
      </c>
      <c r="AJ389" s="949">
        <v>0</v>
      </c>
      <c r="AK389" s="581">
        <f t="shared" si="19"/>
        <v>0</v>
      </c>
      <c r="AL389" s="750" t="s">
        <v>1661</v>
      </c>
      <c r="AM389" s="743">
        <f t="shared" si="20"/>
        <v>8</v>
      </c>
    </row>
    <row r="390" spans="1:39" s="560" customFormat="1" ht="13.2" customHeight="1">
      <c r="A390" s="604" t="s">
        <v>870</v>
      </c>
      <c r="B390" s="604" t="s">
        <v>1267</v>
      </c>
      <c r="C390" s="614" t="s">
        <v>1436</v>
      </c>
      <c r="D390" s="580"/>
      <c r="E390" s="581"/>
      <c r="F390" s="778"/>
      <c r="G390" s="581"/>
      <c r="H390" s="581"/>
      <c r="I390" s="949"/>
      <c r="J390" s="949"/>
      <c r="K390" s="825"/>
      <c r="L390" s="575"/>
      <c r="M390" s="809"/>
      <c r="N390" s="575"/>
      <c r="O390" s="575"/>
      <c r="P390" s="575"/>
      <c r="Q390" s="575"/>
      <c r="R390" s="575"/>
      <c r="S390" s="575"/>
      <c r="T390" s="809"/>
      <c r="U390" s="575"/>
      <c r="V390" s="575"/>
      <c r="W390" s="575"/>
      <c r="X390" s="575"/>
      <c r="Y390" s="575"/>
      <c r="Z390" s="575"/>
      <c r="AA390" s="809"/>
      <c r="AB390" s="817"/>
      <c r="AC390" s="575"/>
      <c r="AD390" s="575"/>
      <c r="AE390" s="753"/>
      <c r="AF390" s="575"/>
      <c r="AG390" s="575"/>
      <c r="AH390" s="842"/>
      <c r="AI390" s="1013">
        <f t="shared" si="18"/>
        <v>0</v>
      </c>
      <c r="AJ390" s="949">
        <v>0</v>
      </c>
      <c r="AK390" s="581">
        <f t="shared" si="19"/>
        <v>0</v>
      </c>
      <c r="AL390" s="750" t="s">
        <v>1441</v>
      </c>
      <c r="AM390" s="743">
        <f t="shared" si="20"/>
        <v>1</v>
      </c>
    </row>
    <row r="391" spans="1:39" s="560" customFormat="1" ht="13.2" customHeight="1">
      <c r="A391" s="604" t="s">
        <v>871</v>
      </c>
      <c r="B391" s="604" t="s">
        <v>1268</v>
      </c>
      <c r="C391" s="614" t="s">
        <v>63</v>
      </c>
      <c r="D391" s="580"/>
      <c r="E391" s="581"/>
      <c r="F391" s="778"/>
      <c r="G391" s="581"/>
      <c r="H391" s="581"/>
      <c r="I391" s="949"/>
      <c r="J391" s="949"/>
      <c r="K391" s="825"/>
      <c r="L391" s="575"/>
      <c r="M391" s="809"/>
      <c r="N391" s="575"/>
      <c r="O391" s="575"/>
      <c r="P391" s="575"/>
      <c r="Q391" s="575"/>
      <c r="R391" s="575"/>
      <c r="S391" s="575"/>
      <c r="T391" s="809"/>
      <c r="U391" s="575"/>
      <c r="V391" s="575"/>
      <c r="W391" s="575"/>
      <c r="X391" s="575"/>
      <c r="Y391" s="575"/>
      <c r="Z391" s="575"/>
      <c r="AA391" s="809"/>
      <c r="AB391" s="817"/>
      <c r="AC391" s="575"/>
      <c r="AD391" s="575"/>
      <c r="AE391" s="753"/>
      <c r="AF391" s="575"/>
      <c r="AG391" s="575"/>
      <c r="AH391" s="842"/>
      <c r="AI391" s="1013">
        <f t="shared" si="18"/>
        <v>0</v>
      </c>
      <c r="AJ391" s="949">
        <v>0</v>
      </c>
      <c r="AK391" s="581">
        <f t="shared" si="19"/>
        <v>0</v>
      </c>
      <c r="AL391" s="750" t="s">
        <v>1662</v>
      </c>
      <c r="AM391" s="743">
        <f t="shared" si="20"/>
        <v>19.84</v>
      </c>
    </row>
    <row r="392" spans="1:39" s="560" customFormat="1" ht="13.2" customHeight="1">
      <c r="A392" s="604" t="s">
        <v>872</v>
      </c>
      <c r="B392" s="604" t="s">
        <v>1269</v>
      </c>
      <c r="C392" s="614" t="s">
        <v>36</v>
      </c>
      <c r="D392" s="580"/>
      <c r="E392" s="581"/>
      <c r="F392" s="778"/>
      <c r="G392" s="581"/>
      <c r="H392" s="581"/>
      <c r="I392" s="949"/>
      <c r="J392" s="949"/>
      <c r="K392" s="825"/>
      <c r="L392" s="575"/>
      <c r="M392" s="809"/>
      <c r="N392" s="575"/>
      <c r="O392" s="575"/>
      <c r="P392" s="575"/>
      <c r="Q392" s="575"/>
      <c r="R392" s="575"/>
      <c r="S392" s="575"/>
      <c r="T392" s="809"/>
      <c r="U392" s="575"/>
      <c r="V392" s="575"/>
      <c r="W392" s="575"/>
      <c r="X392" s="575"/>
      <c r="Y392" s="575"/>
      <c r="Z392" s="575"/>
      <c r="AA392" s="809"/>
      <c r="AB392" s="817"/>
      <c r="AC392" s="575"/>
      <c r="AD392" s="575"/>
      <c r="AE392" s="753"/>
      <c r="AF392" s="575"/>
      <c r="AG392" s="575"/>
      <c r="AH392" s="842"/>
      <c r="AI392" s="1013">
        <f t="shared" si="18"/>
        <v>0</v>
      </c>
      <c r="AJ392" s="949">
        <v>0</v>
      </c>
      <c r="AK392" s="581">
        <f t="shared" si="19"/>
        <v>0</v>
      </c>
      <c r="AL392" s="750"/>
      <c r="AM392" s="743">
        <f t="shared" si="20"/>
        <v>0</v>
      </c>
    </row>
    <row r="393" spans="1:39" s="560" customFormat="1" ht="13.2" customHeight="1">
      <c r="A393" s="492" t="s">
        <v>470</v>
      </c>
      <c r="B393" s="608" t="s">
        <v>1141</v>
      </c>
      <c r="C393" s="690"/>
      <c r="D393" s="580"/>
      <c r="E393" s="581"/>
      <c r="F393" s="778"/>
      <c r="G393" s="581"/>
      <c r="H393" s="581"/>
      <c r="I393" s="949"/>
      <c r="J393" s="949"/>
      <c r="K393" s="825"/>
      <c r="L393" s="575"/>
      <c r="M393" s="809"/>
      <c r="N393" s="575"/>
      <c r="O393" s="575"/>
      <c r="P393" s="575"/>
      <c r="Q393" s="575"/>
      <c r="R393" s="575"/>
      <c r="S393" s="575"/>
      <c r="T393" s="809"/>
      <c r="U393" s="575"/>
      <c r="V393" s="575"/>
      <c r="W393" s="575"/>
      <c r="X393" s="575"/>
      <c r="Y393" s="575"/>
      <c r="Z393" s="575"/>
      <c r="AA393" s="809"/>
      <c r="AB393" s="817"/>
      <c r="AC393" s="575"/>
      <c r="AD393" s="575"/>
      <c r="AE393" s="753"/>
      <c r="AF393" s="575"/>
      <c r="AG393" s="575"/>
      <c r="AH393" s="842"/>
      <c r="AI393" s="1013">
        <f t="shared" si="18"/>
        <v>0</v>
      </c>
      <c r="AJ393" s="949">
        <v>0</v>
      </c>
      <c r="AK393" s="581">
        <f t="shared" si="19"/>
        <v>0</v>
      </c>
      <c r="AL393" s="750"/>
      <c r="AM393" s="743">
        <f t="shared" si="20"/>
        <v>0</v>
      </c>
    </row>
    <row r="394" spans="1:39" s="560" customFormat="1" ht="13.2" customHeight="1">
      <c r="A394" s="607" t="s">
        <v>471</v>
      </c>
      <c r="B394" s="607" t="s">
        <v>1222</v>
      </c>
      <c r="C394" s="690"/>
      <c r="D394" s="580"/>
      <c r="E394" s="581"/>
      <c r="F394" s="778"/>
      <c r="G394" s="581"/>
      <c r="H394" s="581"/>
      <c r="I394" s="949"/>
      <c r="J394" s="949"/>
      <c r="K394" s="825"/>
      <c r="L394" s="575"/>
      <c r="M394" s="809"/>
      <c r="N394" s="575"/>
      <c r="O394" s="575"/>
      <c r="P394" s="575"/>
      <c r="Q394" s="575"/>
      <c r="R394" s="575"/>
      <c r="S394" s="575"/>
      <c r="T394" s="809"/>
      <c r="U394" s="575"/>
      <c r="V394" s="575"/>
      <c r="W394" s="575"/>
      <c r="X394" s="575"/>
      <c r="Y394" s="575"/>
      <c r="Z394" s="575"/>
      <c r="AA394" s="809"/>
      <c r="AB394" s="817"/>
      <c r="AC394" s="575"/>
      <c r="AD394" s="575"/>
      <c r="AE394" s="753"/>
      <c r="AF394" s="575"/>
      <c r="AG394" s="575"/>
      <c r="AH394" s="842"/>
      <c r="AI394" s="1013">
        <f t="shared" si="18"/>
        <v>0</v>
      </c>
      <c r="AJ394" s="949">
        <v>0</v>
      </c>
      <c r="AK394" s="581">
        <f t="shared" si="19"/>
        <v>0</v>
      </c>
      <c r="AL394" s="750" t="s">
        <v>1663</v>
      </c>
      <c r="AM394" s="743">
        <f t="shared" si="20"/>
        <v>45.75</v>
      </c>
    </row>
    <row r="395" spans="1:39" s="560" customFormat="1" ht="13.2" customHeight="1">
      <c r="A395" s="604" t="s">
        <v>873</v>
      </c>
      <c r="B395" s="604" t="s">
        <v>1223</v>
      </c>
      <c r="C395" s="614" t="s">
        <v>36</v>
      </c>
      <c r="D395" s="580"/>
      <c r="E395" s="581"/>
      <c r="F395" s="778"/>
      <c r="G395" s="581"/>
      <c r="H395" s="581"/>
      <c r="I395" s="949"/>
      <c r="J395" s="949"/>
      <c r="K395" s="825"/>
      <c r="L395" s="575"/>
      <c r="M395" s="809"/>
      <c r="N395" s="575"/>
      <c r="O395" s="575"/>
      <c r="P395" s="575"/>
      <c r="Q395" s="575"/>
      <c r="R395" s="575"/>
      <c r="S395" s="575"/>
      <c r="T395" s="809"/>
      <c r="U395" s="575"/>
      <c r="V395" s="575"/>
      <c r="W395" s="575"/>
      <c r="X395" s="575"/>
      <c r="Y395" s="575"/>
      <c r="Z395" s="575"/>
      <c r="AA395" s="809"/>
      <c r="AB395" s="817"/>
      <c r="AC395" s="575"/>
      <c r="AD395" s="575"/>
      <c r="AE395" s="753"/>
      <c r="AF395" s="575"/>
      <c r="AG395" s="575"/>
      <c r="AH395" s="842"/>
      <c r="AI395" s="1013">
        <f t="shared" si="18"/>
        <v>0</v>
      </c>
      <c r="AJ395" s="949">
        <v>0</v>
      </c>
      <c r="AK395" s="581">
        <f t="shared" si="19"/>
        <v>0</v>
      </c>
      <c r="AL395" s="750" t="s">
        <v>1664</v>
      </c>
      <c r="AM395" s="743">
        <f t="shared" si="20"/>
        <v>18.920000000000002</v>
      </c>
    </row>
    <row r="396" spans="1:39" s="560" customFormat="1" ht="13.2" customHeight="1">
      <c r="A396" s="604" t="s">
        <v>874</v>
      </c>
      <c r="B396" s="604" t="s">
        <v>1224</v>
      </c>
      <c r="C396" s="614" t="s">
        <v>36</v>
      </c>
      <c r="D396" s="580"/>
      <c r="E396" s="581"/>
      <c r="F396" s="778"/>
      <c r="G396" s="581"/>
      <c r="H396" s="581"/>
      <c r="I396" s="949"/>
      <c r="J396" s="949"/>
      <c r="K396" s="825"/>
      <c r="L396" s="575"/>
      <c r="M396" s="809"/>
      <c r="N396" s="575"/>
      <c r="O396" s="575"/>
      <c r="P396" s="575"/>
      <c r="Q396" s="575"/>
      <c r="R396" s="575"/>
      <c r="S396" s="575"/>
      <c r="T396" s="809"/>
      <c r="U396" s="575"/>
      <c r="V396" s="575"/>
      <c r="W396" s="575"/>
      <c r="X396" s="575"/>
      <c r="Y396" s="575"/>
      <c r="Z396" s="575"/>
      <c r="AA396" s="809"/>
      <c r="AB396" s="817"/>
      <c r="AC396" s="575"/>
      <c r="AD396" s="575"/>
      <c r="AE396" s="753"/>
      <c r="AF396" s="575"/>
      <c r="AG396" s="575"/>
      <c r="AH396" s="842"/>
      <c r="AI396" s="1013">
        <f t="shared" ref="AI396:AI459" si="21">ROUND((SUM(D396:AH396)),2)</f>
        <v>0</v>
      </c>
      <c r="AJ396" s="949">
        <v>0</v>
      </c>
      <c r="AK396" s="581">
        <f t="shared" si="19"/>
        <v>0</v>
      </c>
      <c r="AL396" s="750"/>
      <c r="AM396" s="743">
        <f t="shared" si="20"/>
        <v>0</v>
      </c>
    </row>
    <row r="397" spans="1:39" s="560" customFormat="1" ht="13.2" customHeight="1">
      <c r="A397" s="607" t="s">
        <v>472</v>
      </c>
      <c r="B397" s="607" t="s">
        <v>1225</v>
      </c>
      <c r="C397" s="690"/>
      <c r="D397" s="580"/>
      <c r="E397" s="581"/>
      <c r="F397" s="778"/>
      <c r="G397" s="581"/>
      <c r="H397" s="581"/>
      <c r="I397" s="949"/>
      <c r="J397" s="949"/>
      <c r="K397" s="825"/>
      <c r="L397" s="575"/>
      <c r="M397" s="809"/>
      <c r="N397" s="575"/>
      <c r="O397" s="575"/>
      <c r="P397" s="575"/>
      <c r="Q397" s="575"/>
      <c r="R397" s="575"/>
      <c r="S397" s="575"/>
      <c r="T397" s="809"/>
      <c r="U397" s="575"/>
      <c r="V397" s="575"/>
      <c r="W397" s="575"/>
      <c r="X397" s="575"/>
      <c r="Y397" s="575"/>
      <c r="Z397" s="575"/>
      <c r="AA397" s="809"/>
      <c r="AB397" s="817"/>
      <c r="AC397" s="575"/>
      <c r="AD397" s="575"/>
      <c r="AE397" s="753"/>
      <c r="AF397" s="575"/>
      <c r="AG397" s="575"/>
      <c r="AH397" s="842"/>
      <c r="AI397" s="1013">
        <f t="shared" si="21"/>
        <v>0</v>
      </c>
      <c r="AJ397" s="949">
        <v>0</v>
      </c>
      <c r="AK397" s="581">
        <f t="shared" si="19"/>
        <v>0</v>
      </c>
      <c r="AL397" s="750" t="s">
        <v>1665</v>
      </c>
      <c r="AM397" s="743">
        <f t="shared" si="20"/>
        <v>83.58</v>
      </c>
    </row>
    <row r="398" spans="1:39" s="560" customFormat="1" ht="13.2" customHeight="1">
      <c r="A398" s="604" t="s">
        <v>875</v>
      </c>
      <c r="B398" s="604" t="s">
        <v>1226</v>
      </c>
      <c r="C398" s="614" t="s">
        <v>36</v>
      </c>
      <c r="D398" s="580"/>
      <c r="E398" s="581"/>
      <c r="F398" s="778"/>
      <c r="G398" s="581"/>
      <c r="H398" s="581"/>
      <c r="I398" s="949"/>
      <c r="J398" s="949"/>
      <c r="K398" s="825"/>
      <c r="L398" s="575"/>
      <c r="M398" s="809"/>
      <c r="N398" s="575"/>
      <c r="O398" s="575"/>
      <c r="P398" s="575"/>
      <c r="Q398" s="575"/>
      <c r="R398" s="575"/>
      <c r="S398" s="575"/>
      <c r="T398" s="809"/>
      <c r="U398" s="575"/>
      <c r="V398" s="575"/>
      <c r="W398" s="575"/>
      <c r="X398" s="575"/>
      <c r="Y398" s="575"/>
      <c r="Z398" s="575"/>
      <c r="AA398" s="809"/>
      <c r="AB398" s="817"/>
      <c r="AC398" s="575"/>
      <c r="AD398" s="575"/>
      <c r="AE398" s="753"/>
      <c r="AF398" s="575"/>
      <c r="AG398" s="575"/>
      <c r="AH398" s="842"/>
      <c r="AI398" s="1013">
        <f t="shared" si="21"/>
        <v>0</v>
      </c>
      <c r="AJ398" s="949">
        <v>0</v>
      </c>
      <c r="AK398" s="581">
        <f t="shared" si="19"/>
        <v>0</v>
      </c>
      <c r="AL398" s="750" t="s">
        <v>1663</v>
      </c>
      <c r="AM398" s="743">
        <f t="shared" si="20"/>
        <v>45.75</v>
      </c>
    </row>
    <row r="399" spans="1:39" s="560" customFormat="1" ht="13.2" customHeight="1">
      <c r="A399" s="604" t="s">
        <v>876</v>
      </c>
      <c r="B399" s="604" t="s">
        <v>1227</v>
      </c>
      <c r="C399" s="614" t="s">
        <v>36</v>
      </c>
      <c r="D399" s="580"/>
      <c r="E399" s="581"/>
      <c r="F399" s="778"/>
      <c r="G399" s="581"/>
      <c r="H399" s="581"/>
      <c r="I399" s="949"/>
      <c r="J399" s="949"/>
      <c r="K399" s="825"/>
      <c r="L399" s="575"/>
      <c r="M399" s="809"/>
      <c r="N399" s="575"/>
      <c r="O399" s="575"/>
      <c r="P399" s="575"/>
      <c r="Q399" s="575"/>
      <c r="R399" s="575"/>
      <c r="S399" s="575"/>
      <c r="T399" s="809"/>
      <c r="U399" s="575"/>
      <c r="V399" s="575"/>
      <c r="W399" s="575"/>
      <c r="X399" s="575"/>
      <c r="Y399" s="575"/>
      <c r="Z399" s="575"/>
      <c r="AA399" s="809"/>
      <c r="AB399" s="817"/>
      <c r="AC399" s="575"/>
      <c r="AD399" s="575"/>
      <c r="AE399" s="753"/>
      <c r="AF399" s="575"/>
      <c r="AG399" s="575"/>
      <c r="AH399" s="842"/>
      <c r="AI399" s="1013">
        <f t="shared" si="21"/>
        <v>0</v>
      </c>
      <c r="AJ399" s="949">
        <v>0</v>
      </c>
      <c r="AK399" s="581">
        <f t="shared" si="19"/>
        <v>0</v>
      </c>
      <c r="AL399" s="750" t="s">
        <v>1666</v>
      </c>
      <c r="AM399" s="743">
        <f t="shared" si="20"/>
        <v>12.95</v>
      </c>
    </row>
    <row r="400" spans="1:39" s="560" customFormat="1" ht="13.2" customHeight="1">
      <c r="A400" s="604" t="s">
        <v>877</v>
      </c>
      <c r="B400" s="604" t="s">
        <v>1228</v>
      </c>
      <c r="C400" s="614" t="s">
        <v>36</v>
      </c>
      <c r="D400" s="580"/>
      <c r="E400" s="581"/>
      <c r="F400" s="778"/>
      <c r="G400" s="581"/>
      <c r="H400" s="581"/>
      <c r="I400" s="949"/>
      <c r="J400" s="949"/>
      <c r="K400" s="825"/>
      <c r="L400" s="575"/>
      <c r="M400" s="809"/>
      <c r="N400" s="575"/>
      <c r="O400" s="575"/>
      <c r="P400" s="575"/>
      <c r="Q400" s="575"/>
      <c r="R400" s="575"/>
      <c r="S400" s="575"/>
      <c r="T400" s="809"/>
      <c r="U400" s="575"/>
      <c r="V400" s="575"/>
      <c r="W400" s="575"/>
      <c r="X400" s="575"/>
      <c r="Y400" s="575"/>
      <c r="Z400" s="575"/>
      <c r="AA400" s="809"/>
      <c r="AB400" s="817"/>
      <c r="AC400" s="575"/>
      <c r="AD400" s="575"/>
      <c r="AE400" s="753"/>
      <c r="AF400" s="575"/>
      <c r="AG400" s="575"/>
      <c r="AH400" s="842"/>
      <c r="AI400" s="1013">
        <f t="shared" si="21"/>
        <v>0</v>
      </c>
      <c r="AJ400" s="949">
        <v>0</v>
      </c>
      <c r="AK400" s="581">
        <f t="shared" si="19"/>
        <v>0</v>
      </c>
      <c r="AL400" s="750" t="s">
        <v>1667</v>
      </c>
      <c r="AM400" s="743">
        <f t="shared" si="20"/>
        <v>24.87</v>
      </c>
    </row>
    <row r="401" spans="1:39" s="560" customFormat="1" ht="13.2" customHeight="1">
      <c r="A401" s="604" t="s">
        <v>878</v>
      </c>
      <c r="B401" s="604" t="s">
        <v>1229</v>
      </c>
      <c r="C401" s="614" t="s">
        <v>36</v>
      </c>
      <c r="D401" s="580"/>
      <c r="E401" s="581"/>
      <c r="F401" s="778"/>
      <c r="G401" s="581"/>
      <c r="H401" s="581"/>
      <c r="I401" s="949"/>
      <c r="J401" s="949"/>
      <c r="K401" s="825"/>
      <c r="L401" s="575"/>
      <c r="M401" s="809"/>
      <c r="N401" s="575"/>
      <c r="O401" s="575"/>
      <c r="P401" s="575"/>
      <c r="Q401" s="575"/>
      <c r="R401" s="575"/>
      <c r="S401" s="575"/>
      <c r="T401" s="809"/>
      <c r="U401" s="575"/>
      <c r="V401" s="575"/>
      <c r="W401" s="575"/>
      <c r="X401" s="575"/>
      <c r="Y401" s="575"/>
      <c r="Z401" s="575"/>
      <c r="AA401" s="809"/>
      <c r="AB401" s="817"/>
      <c r="AC401" s="575"/>
      <c r="AD401" s="575"/>
      <c r="AE401" s="753"/>
      <c r="AF401" s="575"/>
      <c r="AG401" s="575"/>
      <c r="AH401" s="842"/>
      <c r="AI401" s="1013">
        <f t="shared" si="21"/>
        <v>0</v>
      </c>
      <c r="AJ401" s="949">
        <v>0</v>
      </c>
      <c r="AK401" s="581">
        <f t="shared" si="19"/>
        <v>0</v>
      </c>
      <c r="AL401" s="750" t="s">
        <v>1668</v>
      </c>
      <c r="AM401" s="743">
        <f t="shared" si="20"/>
        <v>17.22</v>
      </c>
    </row>
    <row r="402" spans="1:39" s="560" customFormat="1" ht="13.2" customHeight="1">
      <c r="A402" s="604" t="s">
        <v>879</v>
      </c>
      <c r="B402" s="604" t="s">
        <v>1230</v>
      </c>
      <c r="C402" s="614" t="s">
        <v>36</v>
      </c>
      <c r="D402" s="580"/>
      <c r="E402" s="581"/>
      <c r="F402" s="778"/>
      <c r="G402" s="581"/>
      <c r="H402" s="581"/>
      <c r="I402" s="949"/>
      <c r="J402" s="949"/>
      <c r="K402" s="825"/>
      <c r="L402" s="575"/>
      <c r="M402" s="809"/>
      <c r="N402" s="575"/>
      <c r="O402" s="575"/>
      <c r="P402" s="575"/>
      <c r="Q402" s="575"/>
      <c r="R402" s="575"/>
      <c r="S402" s="575"/>
      <c r="T402" s="809"/>
      <c r="U402" s="575"/>
      <c r="V402" s="575"/>
      <c r="W402" s="575"/>
      <c r="X402" s="575"/>
      <c r="Y402" s="575"/>
      <c r="Z402" s="575"/>
      <c r="AA402" s="809"/>
      <c r="AB402" s="817"/>
      <c r="AC402" s="575"/>
      <c r="AD402" s="575"/>
      <c r="AE402" s="753"/>
      <c r="AF402" s="575"/>
      <c r="AG402" s="575"/>
      <c r="AH402" s="842"/>
      <c r="AI402" s="1013">
        <f t="shared" si="21"/>
        <v>0</v>
      </c>
      <c r="AJ402" s="949">
        <v>0</v>
      </c>
      <c r="AK402" s="581">
        <f t="shared" si="19"/>
        <v>0</v>
      </c>
      <c r="AL402" s="750" t="s">
        <v>1669</v>
      </c>
      <c r="AM402" s="743">
        <f t="shared" si="20"/>
        <v>48.7</v>
      </c>
    </row>
    <row r="403" spans="1:39" s="560" customFormat="1" ht="13.2" customHeight="1">
      <c r="A403" s="604" t="s">
        <v>880</v>
      </c>
      <c r="B403" s="604" t="s">
        <v>1231</v>
      </c>
      <c r="C403" s="614" t="s">
        <v>37</v>
      </c>
      <c r="D403" s="580"/>
      <c r="E403" s="581"/>
      <c r="F403" s="778"/>
      <c r="G403" s="581"/>
      <c r="H403" s="581"/>
      <c r="I403" s="949"/>
      <c r="J403" s="949"/>
      <c r="K403" s="825"/>
      <c r="L403" s="575"/>
      <c r="M403" s="809"/>
      <c r="N403" s="575"/>
      <c r="O403" s="575"/>
      <c r="P403" s="575"/>
      <c r="Q403" s="575"/>
      <c r="R403" s="575"/>
      <c r="S403" s="575"/>
      <c r="T403" s="809"/>
      <c r="U403" s="575"/>
      <c r="V403" s="575"/>
      <c r="W403" s="575"/>
      <c r="X403" s="575"/>
      <c r="Y403" s="575"/>
      <c r="Z403" s="575"/>
      <c r="AA403" s="809"/>
      <c r="AB403" s="817"/>
      <c r="AC403" s="575"/>
      <c r="AD403" s="575"/>
      <c r="AE403" s="753"/>
      <c r="AF403" s="575"/>
      <c r="AG403" s="575"/>
      <c r="AH403" s="842"/>
      <c r="AI403" s="1013">
        <f t="shared" si="21"/>
        <v>0</v>
      </c>
      <c r="AJ403" s="949">
        <v>0</v>
      </c>
      <c r="AK403" s="581">
        <f t="shared" si="19"/>
        <v>0</v>
      </c>
      <c r="AL403" s="750" t="s">
        <v>1670</v>
      </c>
      <c r="AM403" s="743">
        <f t="shared" si="20"/>
        <v>172.48</v>
      </c>
    </row>
    <row r="404" spans="1:39" s="560" customFormat="1" ht="13.2" customHeight="1">
      <c r="A404" s="604" t="s">
        <v>881</v>
      </c>
      <c r="B404" s="604" t="s">
        <v>1232</v>
      </c>
      <c r="C404" s="614" t="s">
        <v>37</v>
      </c>
      <c r="D404" s="580"/>
      <c r="E404" s="581"/>
      <c r="F404" s="778"/>
      <c r="G404" s="581"/>
      <c r="H404" s="581"/>
      <c r="I404" s="949"/>
      <c r="J404" s="949"/>
      <c r="K404" s="825"/>
      <c r="L404" s="575"/>
      <c r="M404" s="809"/>
      <c r="N404" s="575"/>
      <c r="O404" s="575"/>
      <c r="P404" s="575"/>
      <c r="Q404" s="575"/>
      <c r="R404" s="575"/>
      <c r="S404" s="575"/>
      <c r="T404" s="809"/>
      <c r="U404" s="575"/>
      <c r="V404" s="575"/>
      <c r="W404" s="575"/>
      <c r="X404" s="575"/>
      <c r="Y404" s="575"/>
      <c r="Z404" s="575"/>
      <c r="AA404" s="809"/>
      <c r="AB404" s="817"/>
      <c r="AC404" s="575"/>
      <c r="AD404" s="575"/>
      <c r="AE404" s="753"/>
      <c r="AF404" s="575"/>
      <c r="AG404" s="575"/>
      <c r="AH404" s="842"/>
      <c r="AI404" s="1013">
        <f t="shared" si="21"/>
        <v>0</v>
      </c>
      <c r="AJ404" s="949">
        <v>0</v>
      </c>
      <c r="AK404" s="581">
        <f t="shared" ref="AK404:AK467" si="22">AI404+AJ404</f>
        <v>0</v>
      </c>
      <c r="AL404" s="750"/>
      <c r="AM404" s="743">
        <f t="shared" ref="AM404:AM467" si="23">AL404-AK404</f>
        <v>0</v>
      </c>
    </row>
    <row r="405" spans="1:39" s="560" customFormat="1" ht="13.2" customHeight="1">
      <c r="A405" s="607" t="s">
        <v>473</v>
      </c>
      <c r="B405" s="607" t="s">
        <v>1233</v>
      </c>
      <c r="C405" s="690"/>
      <c r="D405" s="580"/>
      <c r="E405" s="581"/>
      <c r="F405" s="778"/>
      <c r="G405" s="581"/>
      <c r="H405" s="581"/>
      <c r="I405" s="949"/>
      <c r="J405" s="949"/>
      <c r="K405" s="825"/>
      <c r="L405" s="575"/>
      <c r="M405" s="809"/>
      <c r="N405" s="575"/>
      <c r="O405" s="575"/>
      <c r="P405" s="575"/>
      <c r="Q405" s="575"/>
      <c r="R405" s="575"/>
      <c r="S405" s="575"/>
      <c r="T405" s="809"/>
      <c r="U405" s="575"/>
      <c r="V405" s="575"/>
      <c r="W405" s="575"/>
      <c r="X405" s="575"/>
      <c r="Y405" s="575"/>
      <c r="Z405" s="575"/>
      <c r="AA405" s="809"/>
      <c r="AB405" s="817"/>
      <c r="AC405" s="575"/>
      <c r="AD405" s="575"/>
      <c r="AE405" s="753"/>
      <c r="AF405" s="575"/>
      <c r="AG405" s="575"/>
      <c r="AH405" s="842"/>
      <c r="AI405" s="1013">
        <f t="shared" si="21"/>
        <v>0</v>
      </c>
      <c r="AJ405" s="949">
        <v>0</v>
      </c>
      <c r="AK405" s="581">
        <f t="shared" si="22"/>
        <v>0</v>
      </c>
      <c r="AL405" s="750" t="s">
        <v>1671</v>
      </c>
      <c r="AM405" s="743">
        <f t="shared" si="23"/>
        <v>38.24</v>
      </c>
    </row>
    <row r="406" spans="1:39" s="560" customFormat="1" ht="13.2" customHeight="1">
      <c r="A406" s="604" t="s">
        <v>882</v>
      </c>
      <c r="B406" s="604" t="s">
        <v>1234</v>
      </c>
      <c r="C406" s="614" t="s">
        <v>36</v>
      </c>
      <c r="D406" s="580"/>
      <c r="E406" s="581"/>
      <c r="F406" s="778"/>
      <c r="G406" s="581"/>
      <c r="H406" s="581"/>
      <c r="I406" s="949"/>
      <c r="J406" s="949"/>
      <c r="K406" s="825"/>
      <c r="L406" s="575"/>
      <c r="M406" s="809"/>
      <c r="N406" s="575"/>
      <c r="O406" s="575"/>
      <c r="P406" s="575"/>
      <c r="Q406" s="575"/>
      <c r="R406" s="575"/>
      <c r="S406" s="575"/>
      <c r="T406" s="809"/>
      <c r="U406" s="575"/>
      <c r="V406" s="575"/>
      <c r="W406" s="575"/>
      <c r="X406" s="575"/>
      <c r="Y406" s="575"/>
      <c r="Z406" s="575"/>
      <c r="AA406" s="809"/>
      <c r="AB406" s="817"/>
      <c r="AC406" s="575"/>
      <c r="AD406" s="575"/>
      <c r="AE406" s="753"/>
      <c r="AF406" s="575"/>
      <c r="AG406" s="575"/>
      <c r="AH406" s="842"/>
      <c r="AI406" s="1013">
        <f t="shared" si="21"/>
        <v>0</v>
      </c>
      <c r="AJ406" s="949">
        <v>0</v>
      </c>
      <c r="AK406" s="581">
        <f t="shared" si="22"/>
        <v>0</v>
      </c>
      <c r="AL406" s="750"/>
      <c r="AM406" s="743">
        <f t="shared" si="23"/>
        <v>0</v>
      </c>
    </row>
    <row r="407" spans="1:39" s="560" customFormat="1" ht="13.2" customHeight="1">
      <c r="A407" s="607" t="s">
        <v>883</v>
      </c>
      <c r="B407" s="607" t="s">
        <v>1235</v>
      </c>
      <c r="C407" s="690"/>
      <c r="D407" s="580"/>
      <c r="E407" s="581"/>
      <c r="F407" s="778"/>
      <c r="G407" s="581"/>
      <c r="H407" s="581"/>
      <c r="I407" s="949"/>
      <c r="J407" s="949"/>
      <c r="K407" s="825"/>
      <c r="L407" s="575"/>
      <c r="M407" s="809"/>
      <c r="N407" s="575"/>
      <c r="O407" s="575"/>
      <c r="P407" s="575"/>
      <c r="Q407" s="575"/>
      <c r="R407" s="575"/>
      <c r="S407" s="575"/>
      <c r="T407" s="809"/>
      <c r="U407" s="575"/>
      <c r="V407" s="575"/>
      <c r="W407" s="575"/>
      <c r="X407" s="575"/>
      <c r="Y407" s="575"/>
      <c r="Z407" s="575"/>
      <c r="AA407" s="809"/>
      <c r="AB407" s="817"/>
      <c r="AC407" s="575"/>
      <c r="AD407" s="575"/>
      <c r="AE407" s="753"/>
      <c r="AF407" s="575"/>
      <c r="AG407" s="575"/>
      <c r="AH407" s="842"/>
      <c r="AI407" s="1013">
        <f t="shared" si="21"/>
        <v>0</v>
      </c>
      <c r="AJ407" s="949">
        <v>0</v>
      </c>
      <c r="AK407" s="581">
        <f t="shared" si="22"/>
        <v>0</v>
      </c>
      <c r="AL407" s="750" t="s">
        <v>1672</v>
      </c>
      <c r="AM407" s="743">
        <f t="shared" si="23"/>
        <v>33.03</v>
      </c>
    </row>
    <row r="408" spans="1:39" s="560" customFormat="1" ht="13.2" customHeight="1">
      <c r="A408" s="604" t="s">
        <v>884</v>
      </c>
      <c r="B408" s="604" t="s">
        <v>1236</v>
      </c>
      <c r="C408" s="614" t="s">
        <v>36</v>
      </c>
      <c r="D408" s="580"/>
      <c r="E408" s="581"/>
      <c r="F408" s="778"/>
      <c r="G408" s="581"/>
      <c r="H408" s="581"/>
      <c r="I408" s="949"/>
      <c r="J408" s="949"/>
      <c r="K408" s="825"/>
      <c r="L408" s="575"/>
      <c r="M408" s="809"/>
      <c r="N408" s="575"/>
      <c r="O408" s="575"/>
      <c r="P408" s="575"/>
      <c r="Q408" s="575"/>
      <c r="R408" s="575"/>
      <c r="S408" s="575"/>
      <c r="T408" s="809"/>
      <c r="U408" s="575"/>
      <c r="V408" s="575"/>
      <c r="W408" s="575"/>
      <c r="X408" s="575"/>
      <c r="Y408" s="575"/>
      <c r="Z408" s="575"/>
      <c r="AA408" s="809"/>
      <c r="AB408" s="817"/>
      <c r="AC408" s="575"/>
      <c r="AD408" s="575"/>
      <c r="AE408" s="753"/>
      <c r="AF408" s="575"/>
      <c r="AG408" s="575"/>
      <c r="AH408" s="842"/>
      <c r="AI408" s="1013">
        <f t="shared" si="21"/>
        <v>0</v>
      </c>
      <c r="AJ408" s="949">
        <v>0</v>
      </c>
      <c r="AK408" s="581">
        <f t="shared" si="22"/>
        <v>0</v>
      </c>
      <c r="AL408" s="750" t="s">
        <v>1673</v>
      </c>
      <c r="AM408" s="743">
        <f t="shared" si="23"/>
        <v>30.08</v>
      </c>
    </row>
    <row r="409" spans="1:39" s="560" customFormat="1" ht="13.2" customHeight="1">
      <c r="A409" s="604" t="s">
        <v>885</v>
      </c>
      <c r="B409" s="604" t="s">
        <v>1237</v>
      </c>
      <c r="C409" s="614" t="s">
        <v>36</v>
      </c>
      <c r="D409" s="580"/>
      <c r="E409" s="581"/>
      <c r="F409" s="778"/>
      <c r="G409" s="581"/>
      <c r="H409" s="581"/>
      <c r="I409" s="949"/>
      <c r="J409" s="949"/>
      <c r="K409" s="825"/>
      <c r="L409" s="575"/>
      <c r="M409" s="809"/>
      <c r="N409" s="575"/>
      <c r="O409" s="575"/>
      <c r="P409" s="575"/>
      <c r="Q409" s="575"/>
      <c r="R409" s="575"/>
      <c r="S409" s="575"/>
      <c r="T409" s="809"/>
      <c r="U409" s="575"/>
      <c r="V409" s="575"/>
      <c r="W409" s="575"/>
      <c r="X409" s="575"/>
      <c r="Y409" s="575"/>
      <c r="Z409" s="575"/>
      <c r="AA409" s="809"/>
      <c r="AB409" s="817"/>
      <c r="AC409" s="575"/>
      <c r="AD409" s="575"/>
      <c r="AE409" s="753"/>
      <c r="AF409" s="575"/>
      <c r="AG409" s="575"/>
      <c r="AH409" s="842"/>
      <c r="AI409" s="1013">
        <f t="shared" si="21"/>
        <v>0</v>
      </c>
      <c r="AJ409" s="949">
        <v>0</v>
      </c>
      <c r="AK409" s="581">
        <f t="shared" si="22"/>
        <v>0</v>
      </c>
      <c r="AL409" s="750" t="s">
        <v>1674</v>
      </c>
      <c r="AM409" s="743">
        <f t="shared" si="23"/>
        <v>2.95</v>
      </c>
    </row>
    <row r="410" spans="1:39" s="560" customFormat="1" ht="13.2" customHeight="1">
      <c r="A410" s="604" t="s">
        <v>886</v>
      </c>
      <c r="B410" s="604" t="s">
        <v>1238</v>
      </c>
      <c r="C410" s="614" t="s">
        <v>36</v>
      </c>
      <c r="D410" s="580"/>
      <c r="E410" s="581"/>
      <c r="F410" s="778"/>
      <c r="G410" s="581"/>
      <c r="H410" s="581"/>
      <c r="I410" s="949"/>
      <c r="J410" s="949"/>
      <c r="K410" s="825"/>
      <c r="L410" s="575"/>
      <c r="M410" s="809"/>
      <c r="N410" s="575"/>
      <c r="O410" s="575"/>
      <c r="P410" s="575"/>
      <c r="Q410" s="575"/>
      <c r="R410" s="575"/>
      <c r="S410" s="575"/>
      <c r="T410" s="809"/>
      <c r="U410" s="575"/>
      <c r="V410" s="575"/>
      <c r="W410" s="575"/>
      <c r="X410" s="575"/>
      <c r="Y410" s="575"/>
      <c r="Z410" s="575"/>
      <c r="AA410" s="809"/>
      <c r="AB410" s="817"/>
      <c r="AC410" s="575"/>
      <c r="AD410" s="575"/>
      <c r="AE410" s="753"/>
      <c r="AF410" s="575"/>
      <c r="AG410" s="575"/>
      <c r="AH410" s="842"/>
      <c r="AI410" s="1013">
        <f t="shared" si="21"/>
        <v>0</v>
      </c>
      <c r="AJ410" s="949">
        <v>0</v>
      </c>
      <c r="AK410" s="581">
        <f t="shared" si="22"/>
        <v>0</v>
      </c>
      <c r="AL410" s="750"/>
      <c r="AM410" s="743">
        <f t="shared" si="23"/>
        <v>0</v>
      </c>
    </row>
    <row r="411" spans="1:39" s="560" customFormat="1" ht="13.2" customHeight="1">
      <c r="A411" s="607" t="s">
        <v>887</v>
      </c>
      <c r="B411" s="607" t="s">
        <v>1239</v>
      </c>
      <c r="C411" s="690"/>
      <c r="D411" s="580"/>
      <c r="E411" s="581"/>
      <c r="F411" s="778"/>
      <c r="G411" s="581"/>
      <c r="H411" s="581"/>
      <c r="I411" s="949"/>
      <c r="J411" s="949"/>
      <c r="K411" s="825"/>
      <c r="L411" s="575"/>
      <c r="M411" s="809"/>
      <c r="N411" s="575"/>
      <c r="O411" s="575"/>
      <c r="P411" s="575"/>
      <c r="Q411" s="575"/>
      <c r="R411" s="575"/>
      <c r="S411" s="575"/>
      <c r="T411" s="809"/>
      <c r="U411" s="575"/>
      <c r="V411" s="575"/>
      <c r="W411" s="575"/>
      <c r="X411" s="575"/>
      <c r="Y411" s="575"/>
      <c r="Z411" s="575"/>
      <c r="AA411" s="809"/>
      <c r="AB411" s="817"/>
      <c r="AC411" s="575"/>
      <c r="AD411" s="575"/>
      <c r="AE411" s="753"/>
      <c r="AF411" s="575"/>
      <c r="AG411" s="575"/>
      <c r="AH411" s="842"/>
      <c r="AI411" s="1013">
        <f t="shared" si="21"/>
        <v>0</v>
      </c>
      <c r="AJ411" s="949">
        <v>0</v>
      </c>
      <c r="AK411" s="581">
        <f t="shared" si="22"/>
        <v>0</v>
      </c>
      <c r="AL411" s="750" t="s">
        <v>1675</v>
      </c>
      <c r="AM411" s="743">
        <f t="shared" si="23"/>
        <v>6.15</v>
      </c>
    </row>
    <row r="412" spans="1:39" s="560" customFormat="1" ht="13.2" customHeight="1">
      <c r="A412" s="604" t="s">
        <v>888</v>
      </c>
      <c r="B412" s="604" t="s">
        <v>1280</v>
      </c>
      <c r="C412" s="614" t="s">
        <v>37</v>
      </c>
      <c r="D412" s="580"/>
      <c r="E412" s="581"/>
      <c r="F412" s="778"/>
      <c r="G412" s="581"/>
      <c r="H412" s="581"/>
      <c r="I412" s="949"/>
      <c r="J412" s="949"/>
      <c r="K412" s="825"/>
      <c r="L412" s="575"/>
      <c r="M412" s="809"/>
      <c r="N412" s="575"/>
      <c r="O412" s="575"/>
      <c r="P412" s="575"/>
      <c r="Q412" s="575"/>
      <c r="R412" s="575"/>
      <c r="S412" s="575"/>
      <c r="T412" s="809"/>
      <c r="U412" s="575"/>
      <c r="V412" s="575"/>
      <c r="W412" s="575"/>
      <c r="X412" s="575"/>
      <c r="Y412" s="575"/>
      <c r="Z412" s="575"/>
      <c r="AA412" s="809"/>
      <c r="AB412" s="817"/>
      <c r="AC412" s="575"/>
      <c r="AD412" s="575"/>
      <c r="AE412" s="753"/>
      <c r="AF412" s="575"/>
      <c r="AG412" s="575"/>
      <c r="AH412" s="842"/>
      <c r="AI412" s="1013">
        <f t="shared" si="21"/>
        <v>0</v>
      </c>
      <c r="AJ412" s="949">
        <v>0</v>
      </c>
      <c r="AK412" s="581">
        <f t="shared" si="22"/>
        <v>0</v>
      </c>
      <c r="AL412" s="750" t="s">
        <v>1676</v>
      </c>
      <c r="AM412" s="743">
        <f t="shared" si="23"/>
        <v>2.77</v>
      </c>
    </row>
    <row r="413" spans="1:39" s="560" customFormat="1" ht="13.2" customHeight="1">
      <c r="A413" s="604" t="s">
        <v>889</v>
      </c>
      <c r="B413" s="604" t="s">
        <v>1241</v>
      </c>
      <c r="C413" s="614" t="s">
        <v>36</v>
      </c>
      <c r="D413" s="580"/>
      <c r="E413" s="581"/>
      <c r="F413" s="778"/>
      <c r="G413" s="581"/>
      <c r="H413" s="581"/>
      <c r="I413" s="949"/>
      <c r="J413" s="949"/>
      <c r="K413" s="825"/>
      <c r="L413" s="575"/>
      <c r="M413" s="809"/>
      <c r="N413" s="575"/>
      <c r="O413" s="575"/>
      <c r="P413" s="575"/>
      <c r="Q413" s="575"/>
      <c r="R413" s="575"/>
      <c r="S413" s="575"/>
      <c r="T413" s="809"/>
      <c r="U413" s="575"/>
      <c r="V413" s="575"/>
      <c r="W413" s="575"/>
      <c r="X413" s="575"/>
      <c r="Y413" s="575"/>
      <c r="Z413" s="575"/>
      <c r="AA413" s="809"/>
      <c r="AB413" s="817"/>
      <c r="AC413" s="575"/>
      <c r="AD413" s="575"/>
      <c r="AE413" s="753"/>
      <c r="AF413" s="575"/>
      <c r="AG413" s="575"/>
      <c r="AH413" s="842"/>
      <c r="AI413" s="1013">
        <f t="shared" si="21"/>
        <v>0</v>
      </c>
      <c r="AJ413" s="949">
        <v>0</v>
      </c>
      <c r="AK413" s="581">
        <f t="shared" si="22"/>
        <v>0</v>
      </c>
      <c r="AL413" s="750"/>
      <c r="AM413" s="743">
        <f t="shared" si="23"/>
        <v>0</v>
      </c>
    </row>
    <row r="414" spans="1:39" s="560" customFormat="1" ht="13.2" customHeight="1">
      <c r="A414" s="607" t="s">
        <v>890</v>
      </c>
      <c r="B414" s="607" t="s">
        <v>1242</v>
      </c>
      <c r="C414" s="690"/>
      <c r="D414" s="580"/>
      <c r="E414" s="581"/>
      <c r="F414" s="778"/>
      <c r="G414" s="581"/>
      <c r="H414" s="581"/>
      <c r="I414" s="949"/>
      <c r="J414" s="949"/>
      <c r="K414" s="825"/>
      <c r="L414" s="575"/>
      <c r="M414" s="809"/>
      <c r="N414" s="575"/>
      <c r="O414" s="575"/>
      <c r="P414" s="575"/>
      <c r="Q414" s="575"/>
      <c r="R414" s="575"/>
      <c r="S414" s="575"/>
      <c r="T414" s="809"/>
      <c r="U414" s="575"/>
      <c r="V414" s="575"/>
      <c r="W414" s="575"/>
      <c r="X414" s="575"/>
      <c r="Y414" s="575"/>
      <c r="Z414" s="575"/>
      <c r="AA414" s="809"/>
      <c r="AB414" s="817"/>
      <c r="AC414" s="575"/>
      <c r="AD414" s="575"/>
      <c r="AE414" s="753"/>
      <c r="AF414" s="575"/>
      <c r="AG414" s="575"/>
      <c r="AH414" s="842"/>
      <c r="AI414" s="1013">
        <f t="shared" si="21"/>
        <v>0</v>
      </c>
      <c r="AJ414" s="949">
        <v>0</v>
      </c>
      <c r="AK414" s="581">
        <f t="shared" si="22"/>
        <v>0</v>
      </c>
      <c r="AL414" s="750" t="s">
        <v>1677</v>
      </c>
      <c r="AM414" s="743">
        <f t="shared" si="23"/>
        <v>8.3000000000000007</v>
      </c>
    </row>
    <row r="415" spans="1:39" s="560" customFormat="1" ht="13.2" customHeight="1">
      <c r="A415" s="604" t="s">
        <v>891</v>
      </c>
      <c r="B415" s="604" t="s">
        <v>1243</v>
      </c>
      <c r="C415" s="614" t="s">
        <v>36</v>
      </c>
      <c r="D415" s="580"/>
      <c r="E415" s="581"/>
      <c r="F415" s="778"/>
      <c r="G415" s="581"/>
      <c r="H415" s="581"/>
      <c r="I415" s="949"/>
      <c r="J415" s="949"/>
      <c r="K415" s="825"/>
      <c r="L415" s="575"/>
      <c r="M415" s="809"/>
      <c r="N415" s="575"/>
      <c r="O415" s="575"/>
      <c r="P415" s="575"/>
      <c r="Q415" s="575"/>
      <c r="R415" s="575"/>
      <c r="S415" s="575"/>
      <c r="T415" s="809"/>
      <c r="U415" s="575"/>
      <c r="V415" s="575"/>
      <c r="W415" s="575"/>
      <c r="X415" s="575"/>
      <c r="Y415" s="575"/>
      <c r="Z415" s="575"/>
      <c r="AA415" s="809"/>
      <c r="AB415" s="817"/>
      <c r="AC415" s="575"/>
      <c r="AD415" s="1143">
        <v>4.1900000000000004</v>
      </c>
      <c r="AE415" s="753"/>
      <c r="AF415" s="575"/>
      <c r="AG415" s="575"/>
      <c r="AH415" s="842"/>
      <c r="AI415" s="1156">
        <f t="shared" si="21"/>
        <v>4.1900000000000004</v>
      </c>
      <c r="AJ415" s="949">
        <v>0</v>
      </c>
      <c r="AK415" s="581">
        <f t="shared" si="22"/>
        <v>4.1900000000000004</v>
      </c>
      <c r="AL415" s="750"/>
      <c r="AM415" s="743">
        <f t="shared" si="23"/>
        <v>-4.1900000000000004</v>
      </c>
    </row>
    <row r="416" spans="1:39" s="560" customFormat="1" ht="13.2" customHeight="1">
      <c r="A416" s="604" t="s">
        <v>892</v>
      </c>
      <c r="B416" s="604" t="s">
        <v>1244</v>
      </c>
      <c r="C416" s="690"/>
      <c r="D416" s="580"/>
      <c r="E416" s="581"/>
      <c r="F416" s="778"/>
      <c r="G416" s="581"/>
      <c r="H416" s="581"/>
      <c r="I416" s="949"/>
      <c r="J416" s="949"/>
      <c r="K416" s="825"/>
      <c r="L416" s="575"/>
      <c r="M416" s="809"/>
      <c r="N416" s="575"/>
      <c r="O416" s="575"/>
      <c r="P416" s="575"/>
      <c r="Q416" s="575"/>
      <c r="R416" s="575"/>
      <c r="S416" s="575"/>
      <c r="T416" s="809"/>
      <c r="U416" s="575"/>
      <c r="V416" s="575"/>
      <c r="W416" s="575"/>
      <c r="X416" s="575"/>
      <c r="Y416" s="575"/>
      <c r="Z416" s="575"/>
      <c r="AA416" s="809"/>
      <c r="AB416" s="817"/>
      <c r="AC416" s="575"/>
      <c r="AD416" s="575"/>
      <c r="AE416" s="753"/>
      <c r="AF416" s="575"/>
      <c r="AG416" s="575"/>
      <c r="AH416" s="842"/>
      <c r="AI416" s="1013">
        <f t="shared" si="21"/>
        <v>0</v>
      </c>
      <c r="AJ416" s="949">
        <v>0</v>
      </c>
      <c r="AK416" s="581">
        <f t="shared" si="22"/>
        <v>0</v>
      </c>
      <c r="AL416" s="750" t="s">
        <v>1678</v>
      </c>
      <c r="AM416" s="743">
        <f t="shared" si="23"/>
        <v>6.66</v>
      </c>
    </row>
    <row r="417" spans="1:39" s="560" customFormat="1" ht="13.2" customHeight="1">
      <c r="A417" s="604" t="s">
        <v>893</v>
      </c>
      <c r="B417" s="604" t="s">
        <v>1245</v>
      </c>
      <c r="C417" s="614" t="s">
        <v>36</v>
      </c>
      <c r="D417" s="580"/>
      <c r="E417" s="581"/>
      <c r="F417" s="778"/>
      <c r="G417" s="581"/>
      <c r="H417" s="581"/>
      <c r="I417" s="949"/>
      <c r="J417" s="949"/>
      <c r="K417" s="825"/>
      <c r="L417" s="575"/>
      <c r="M417" s="809"/>
      <c r="N417" s="575"/>
      <c r="O417" s="575"/>
      <c r="P417" s="575"/>
      <c r="Q417" s="575"/>
      <c r="R417" s="575"/>
      <c r="S417" s="575"/>
      <c r="T417" s="809"/>
      <c r="U417" s="575"/>
      <c r="V417" s="575"/>
      <c r="W417" s="575"/>
      <c r="X417" s="575"/>
      <c r="Y417" s="575"/>
      <c r="Z417" s="575"/>
      <c r="AA417" s="809"/>
      <c r="AB417" s="817"/>
      <c r="AC417" s="575"/>
      <c r="AD417" s="575"/>
      <c r="AE417" s="753"/>
      <c r="AF417" s="575"/>
      <c r="AG417" s="575"/>
      <c r="AH417" s="842"/>
      <c r="AI417" s="1013">
        <f t="shared" si="21"/>
        <v>0</v>
      </c>
      <c r="AJ417" s="949">
        <v>0</v>
      </c>
      <c r="AK417" s="581">
        <f t="shared" si="22"/>
        <v>0</v>
      </c>
      <c r="AL417" s="750" t="s">
        <v>1679</v>
      </c>
      <c r="AM417" s="743">
        <f t="shared" si="23"/>
        <v>7.76</v>
      </c>
    </row>
    <row r="418" spans="1:39" s="560" customFormat="1" ht="13.2" customHeight="1">
      <c r="A418" s="604" t="s">
        <v>894</v>
      </c>
      <c r="B418" s="604" t="s">
        <v>1272</v>
      </c>
      <c r="C418" s="614" t="s">
        <v>36</v>
      </c>
      <c r="D418" s="580"/>
      <c r="E418" s="581"/>
      <c r="F418" s="778"/>
      <c r="G418" s="581"/>
      <c r="H418" s="581"/>
      <c r="I418" s="949"/>
      <c r="J418" s="949"/>
      <c r="K418" s="825"/>
      <c r="L418" s="575"/>
      <c r="M418" s="809"/>
      <c r="N418" s="575"/>
      <c r="O418" s="575"/>
      <c r="P418" s="575"/>
      <c r="Q418" s="575"/>
      <c r="R418" s="575"/>
      <c r="S418" s="575"/>
      <c r="T418" s="809"/>
      <c r="U418" s="575"/>
      <c r="V418" s="575"/>
      <c r="W418" s="575"/>
      <c r="X418" s="575"/>
      <c r="Y418" s="575"/>
      <c r="Z418" s="575"/>
      <c r="AA418" s="809"/>
      <c r="AB418" s="817"/>
      <c r="AC418" s="575"/>
      <c r="AD418" s="575"/>
      <c r="AE418" s="753"/>
      <c r="AF418" s="575"/>
      <c r="AG418" s="575"/>
      <c r="AH418" s="842"/>
      <c r="AI418" s="1013">
        <f t="shared" si="21"/>
        <v>0</v>
      </c>
      <c r="AJ418" s="949">
        <v>0</v>
      </c>
      <c r="AK418" s="581">
        <f t="shared" si="22"/>
        <v>0</v>
      </c>
      <c r="AL418" s="750" t="s">
        <v>1680</v>
      </c>
      <c r="AM418" s="743">
        <f t="shared" si="23"/>
        <v>25.31</v>
      </c>
    </row>
    <row r="419" spans="1:39" s="560" customFormat="1" ht="13.2" customHeight="1">
      <c r="A419" s="604" t="s">
        <v>895</v>
      </c>
      <c r="B419" s="604" t="s">
        <v>1247</v>
      </c>
      <c r="C419" s="614" t="s">
        <v>37</v>
      </c>
      <c r="D419" s="580"/>
      <c r="E419" s="581"/>
      <c r="F419" s="778"/>
      <c r="G419" s="581"/>
      <c r="H419" s="581"/>
      <c r="I419" s="949"/>
      <c r="J419" s="949"/>
      <c r="K419" s="825"/>
      <c r="L419" s="575"/>
      <c r="M419" s="809"/>
      <c r="N419" s="575"/>
      <c r="O419" s="575"/>
      <c r="P419" s="575"/>
      <c r="Q419" s="575"/>
      <c r="R419" s="575"/>
      <c r="S419" s="575"/>
      <c r="T419" s="809"/>
      <c r="U419" s="575"/>
      <c r="V419" s="575"/>
      <c r="W419" s="575"/>
      <c r="X419" s="575"/>
      <c r="Y419" s="575"/>
      <c r="Z419" s="575"/>
      <c r="AA419" s="809"/>
      <c r="AB419" s="817"/>
      <c r="AC419" s="575"/>
      <c r="AD419" s="575"/>
      <c r="AE419" s="753"/>
      <c r="AF419" s="575"/>
      <c r="AG419" s="575"/>
      <c r="AH419" s="842"/>
      <c r="AI419" s="1013">
        <f t="shared" si="21"/>
        <v>0</v>
      </c>
      <c r="AJ419" s="949">
        <v>0</v>
      </c>
      <c r="AK419" s="581">
        <f t="shared" si="22"/>
        <v>0</v>
      </c>
      <c r="AL419" s="750"/>
      <c r="AM419" s="743">
        <f t="shared" si="23"/>
        <v>0</v>
      </c>
    </row>
    <row r="420" spans="1:39" s="560" customFormat="1" ht="13.2" customHeight="1">
      <c r="A420" s="607" t="s">
        <v>896</v>
      </c>
      <c r="B420" s="607" t="s">
        <v>1184</v>
      </c>
      <c r="C420" s="690"/>
      <c r="D420" s="580"/>
      <c r="E420" s="581"/>
      <c r="F420" s="778"/>
      <c r="G420" s="581"/>
      <c r="H420" s="581"/>
      <c r="I420" s="949"/>
      <c r="J420" s="949"/>
      <c r="K420" s="825"/>
      <c r="L420" s="575"/>
      <c r="M420" s="809"/>
      <c r="N420" s="575"/>
      <c r="O420" s="575"/>
      <c r="P420" s="575"/>
      <c r="Q420" s="575"/>
      <c r="R420" s="575"/>
      <c r="S420" s="575"/>
      <c r="T420" s="809"/>
      <c r="U420" s="575"/>
      <c r="V420" s="575"/>
      <c r="W420" s="575"/>
      <c r="X420" s="575"/>
      <c r="Y420" s="575"/>
      <c r="Z420" s="575"/>
      <c r="AA420" s="809"/>
      <c r="AB420" s="817"/>
      <c r="AC420" s="575"/>
      <c r="AD420" s="575"/>
      <c r="AE420" s="753"/>
      <c r="AF420" s="575"/>
      <c r="AG420" s="575"/>
      <c r="AH420" s="842"/>
      <c r="AI420" s="1013">
        <f t="shared" si="21"/>
        <v>0</v>
      </c>
      <c r="AJ420" s="949">
        <v>0</v>
      </c>
      <c r="AK420" s="581">
        <f t="shared" si="22"/>
        <v>0</v>
      </c>
      <c r="AL420" s="750" t="s">
        <v>1681</v>
      </c>
      <c r="AM420" s="743">
        <f t="shared" si="23"/>
        <v>34.93</v>
      </c>
    </row>
    <row r="421" spans="1:39" s="560" customFormat="1" ht="13.2" customHeight="1">
      <c r="A421" s="604" t="s">
        <v>897</v>
      </c>
      <c r="B421" s="604" t="s">
        <v>1248</v>
      </c>
      <c r="C421" s="614" t="s">
        <v>36</v>
      </c>
      <c r="D421" s="580"/>
      <c r="E421" s="581"/>
      <c r="F421" s="778"/>
      <c r="G421" s="581"/>
      <c r="H421" s="581"/>
      <c r="I421" s="949"/>
      <c r="J421" s="949"/>
      <c r="K421" s="825"/>
      <c r="L421" s="575"/>
      <c r="M421" s="809"/>
      <c r="N421" s="575"/>
      <c r="O421" s="575"/>
      <c r="P421" s="575"/>
      <c r="Q421" s="575"/>
      <c r="R421" s="575"/>
      <c r="S421" s="575"/>
      <c r="T421" s="809"/>
      <c r="U421" s="575"/>
      <c r="V421" s="575"/>
      <c r="W421" s="575"/>
      <c r="X421" s="575"/>
      <c r="Y421" s="575"/>
      <c r="Z421" s="575"/>
      <c r="AA421" s="809"/>
      <c r="AB421" s="817"/>
      <c r="AC421" s="575"/>
      <c r="AD421" s="575"/>
      <c r="AE421" s="753"/>
      <c r="AF421" s="575"/>
      <c r="AG421" s="575"/>
      <c r="AH421" s="842"/>
      <c r="AI421" s="1013">
        <f t="shared" si="21"/>
        <v>0</v>
      </c>
      <c r="AJ421" s="949">
        <v>0</v>
      </c>
      <c r="AK421" s="581">
        <f t="shared" si="22"/>
        <v>0</v>
      </c>
      <c r="AL421" s="750" t="s">
        <v>1675</v>
      </c>
      <c r="AM421" s="743">
        <f t="shared" si="23"/>
        <v>6.15</v>
      </c>
    </row>
    <row r="422" spans="1:39" s="560" customFormat="1" ht="13.2" customHeight="1">
      <c r="A422" s="604" t="s">
        <v>898</v>
      </c>
      <c r="B422" s="604" t="s">
        <v>1249</v>
      </c>
      <c r="C422" s="614" t="s">
        <v>37</v>
      </c>
      <c r="D422" s="580"/>
      <c r="E422" s="581"/>
      <c r="F422" s="778"/>
      <c r="G422" s="581"/>
      <c r="H422" s="581"/>
      <c r="I422" s="949"/>
      <c r="J422" s="949"/>
      <c r="K422" s="825"/>
      <c r="L422" s="575"/>
      <c r="M422" s="809"/>
      <c r="N422" s="575"/>
      <c r="O422" s="575"/>
      <c r="P422" s="575"/>
      <c r="Q422" s="575"/>
      <c r="R422" s="575"/>
      <c r="S422" s="575"/>
      <c r="T422" s="809"/>
      <c r="U422" s="575"/>
      <c r="V422" s="575"/>
      <c r="W422" s="575"/>
      <c r="X422" s="575"/>
      <c r="Y422" s="575"/>
      <c r="Z422" s="575"/>
      <c r="AA422" s="809"/>
      <c r="AB422" s="817"/>
      <c r="AC422" s="575"/>
      <c r="AD422" s="575"/>
      <c r="AE422" s="753"/>
      <c r="AF422" s="575"/>
      <c r="AG422" s="575"/>
      <c r="AH422" s="842"/>
      <c r="AI422" s="1013">
        <f t="shared" si="21"/>
        <v>0</v>
      </c>
      <c r="AJ422" s="949">
        <v>0</v>
      </c>
      <c r="AK422" s="581">
        <f t="shared" si="22"/>
        <v>0</v>
      </c>
      <c r="AL422" s="750"/>
      <c r="AM422" s="743">
        <f t="shared" si="23"/>
        <v>0</v>
      </c>
    </row>
    <row r="423" spans="1:39" s="560" customFormat="1" ht="13.2" customHeight="1">
      <c r="A423" s="607" t="s">
        <v>899</v>
      </c>
      <c r="B423" s="607" t="s">
        <v>1250</v>
      </c>
      <c r="C423" s="690"/>
      <c r="D423" s="580"/>
      <c r="E423" s="581"/>
      <c r="F423" s="778"/>
      <c r="G423" s="581"/>
      <c r="H423" s="581"/>
      <c r="I423" s="949"/>
      <c r="J423" s="949"/>
      <c r="K423" s="825"/>
      <c r="L423" s="575"/>
      <c r="M423" s="809"/>
      <c r="N423" s="575"/>
      <c r="O423" s="575"/>
      <c r="P423" s="575"/>
      <c r="Q423" s="575"/>
      <c r="R423" s="575"/>
      <c r="S423" s="575"/>
      <c r="T423" s="809"/>
      <c r="U423" s="575"/>
      <c r="V423" s="575"/>
      <c r="W423" s="575"/>
      <c r="X423" s="575"/>
      <c r="Y423" s="575"/>
      <c r="Z423" s="575"/>
      <c r="AA423" s="809"/>
      <c r="AB423" s="817"/>
      <c r="AC423" s="575"/>
      <c r="AD423" s="575"/>
      <c r="AE423" s="753"/>
      <c r="AF423" s="575"/>
      <c r="AG423" s="575"/>
      <c r="AH423" s="842"/>
      <c r="AI423" s="1013">
        <f t="shared" si="21"/>
        <v>0</v>
      </c>
      <c r="AJ423" s="949">
        <v>0</v>
      </c>
      <c r="AK423" s="581">
        <f t="shared" si="22"/>
        <v>0</v>
      </c>
      <c r="AL423" s="750" t="s">
        <v>1682</v>
      </c>
      <c r="AM423" s="743">
        <f t="shared" si="23"/>
        <v>3.78</v>
      </c>
    </row>
    <row r="424" spans="1:39" s="560" customFormat="1" ht="13.2" customHeight="1">
      <c r="A424" s="604" t="s">
        <v>900</v>
      </c>
      <c r="B424" s="604" t="s">
        <v>1251</v>
      </c>
      <c r="C424" s="614" t="s">
        <v>36</v>
      </c>
      <c r="D424" s="580"/>
      <c r="E424" s="581"/>
      <c r="F424" s="778"/>
      <c r="G424" s="581"/>
      <c r="H424" s="581"/>
      <c r="I424" s="949"/>
      <c r="J424" s="949"/>
      <c r="K424" s="825"/>
      <c r="L424" s="575"/>
      <c r="M424" s="809"/>
      <c r="N424" s="575"/>
      <c r="O424" s="575"/>
      <c r="P424" s="575"/>
      <c r="Q424" s="575"/>
      <c r="R424" s="575"/>
      <c r="S424" s="575"/>
      <c r="T424" s="809"/>
      <c r="U424" s="575"/>
      <c r="V424" s="575"/>
      <c r="W424" s="575"/>
      <c r="X424" s="575"/>
      <c r="Y424" s="575"/>
      <c r="Z424" s="575"/>
      <c r="AA424" s="809"/>
      <c r="AB424" s="817"/>
      <c r="AC424" s="575"/>
      <c r="AD424" s="575"/>
      <c r="AE424" s="753"/>
      <c r="AF424" s="575"/>
      <c r="AG424" s="575"/>
      <c r="AH424" s="842"/>
      <c r="AI424" s="1013">
        <f t="shared" si="21"/>
        <v>0</v>
      </c>
      <c r="AJ424" s="949">
        <v>0</v>
      </c>
      <c r="AK424" s="581">
        <f t="shared" si="22"/>
        <v>0</v>
      </c>
      <c r="AL424" s="750" t="s">
        <v>1683</v>
      </c>
      <c r="AM424" s="743">
        <f t="shared" si="23"/>
        <v>1.47</v>
      </c>
    </row>
    <row r="425" spans="1:39" s="560" customFormat="1" ht="13.2" customHeight="1">
      <c r="A425" s="604" t="s">
        <v>901</v>
      </c>
      <c r="B425" s="604" t="s">
        <v>1281</v>
      </c>
      <c r="C425" s="614" t="s">
        <v>36</v>
      </c>
      <c r="D425" s="580"/>
      <c r="E425" s="581"/>
      <c r="F425" s="778"/>
      <c r="G425" s="581"/>
      <c r="H425" s="581"/>
      <c r="I425" s="949"/>
      <c r="J425" s="949"/>
      <c r="K425" s="825"/>
      <c r="L425" s="575"/>
      <c r="M425" s="809"/>
      <c r="N425" s="575"/>
      <c r="O425" s="575"/>
      <c r="P425" s="575"/>
      <c r="Q425" s="575"/>
      <c r="R425" s="575"/>
      <c r="S425" s="575"/>
      <c r="T425" s="809"/>
      <c r="U425" s="575"/>
      <c r="V425" s="575"/>
      <c r="W425" s="575"/>
      <c r="X425" s="575"/>
      <c r="Y425" s="575"/>
      <c r="Z425" s="575"/>
      <c r="AA425" s="809"/>
      <c r="AB425" s="817"/>
      <c r="AC425" s="575"/>
      <c r="AD425" s="575"/>
      <c r="AE425" s="753"/>
      <c r="AF425" s="575"/>
      <c r="AG425" s="575"/>
      <c r="AH425" s="842"/>
      <c r="AI425" s="1013">
        <f t="shared" si="21"/>
        <v>0</v>
      </c>
      <c r="AJ425" s="949">
        <v>0</v>
      </c>
      <c r="AK425" s="581">
        <f t="shared" si="22"/>
        <v>0</v>
      </c>
      <c r="AL425" s="750"/>
      <c r="AM425" s="743">
        <f t="shared" si="23"/>
        <v>0</v>
      </c>
    </row>
    <row r="426" spans="1:39" s="560" customFormat="1" ht="13.2" customHeight="1">
      <c r="A426" s="607" t="s">
        <v>902</v>
      </c>
      <c r="B426" s="607" t="s">
        <v>1252</v>
      </c>
      <c r="C426" s="690"/>
      <c r="D426" s="580"/>
      <c r="E426" s="581"/>
      <c r="F426" s="778"/>
      <c r="G426" s="581"/>
      <c r="H426" s="581"/>
      <c r="I426" s="949"/>
      <c r="J426" s="949"/>
      <c r="K426" s="825"/>
      <c r="L426" s="575"/>
      <c r="M426" s="809"/>
      <c r="N426" s="575"/>
      <c r="O426" s="575"/>
      <c r="P426" s="575"/>
      <c r="Q426" s="575"/>
      <c r="R426" s="575"/>
      <c r="S426" s="575"/>
      <c r="T426" s="809"/>
      <c r="U426" s="575"/>
      <c r="V426" s="575"/>
      <c r="W426" s="575"/>
      <c r="X426" s="575"/>
      <c r="Y426" s="575"/>
      <c r="Z426" s="575"/>
      <c r="AA426" s="809"/>
      <c r="AB426" s="817"/>
      <c r="AC426" s="575"/>
      <c r="AD426" s="575"/>
      <c r="AE426" s="753"/>
      <c r="AF426" s="575"/>
      <c r="AG426" s="575"/>
      <c r="AH426" s="842"/>
      <c r="AI426" s="1013">
        <f t="shared" si="21"/>
        <v>0</v>
      </c>
      <c r="AJ426" s="949">
        <v>0</v>
      </c>
      <c r="AK426" s="581">
        <f t="shared" si="22"/>
        <v>0</v>
      </c>
      <c r="AL426" s="750" t="s">
        <v>1627</v>
      </c>
      <c r="AM426" s="743">
        <f t="shared" si="23"/>
        <v>9</v>
      </c>
    </row>
    <row r="427" spans="1:39" s="560" customFormat="1" ht="13.2" customHeight="1">
      <c r="A427" s="604" t="s">
        <v>903</v>
      </c>
      <c r="B427" s="604" t="s">
        <v>1253</v>
      </c>
      <c r="C427" s="614" t="s">
        <v>1437</v>
      </c>
      <c r="D427" s="580"/>
      <c r="E427" s="581"/>
      <c r="F427" s="778"/>
      <c r="G427" s="581"/>
      <c r="H427" s="581"/>
      <c r="I427" s="949"/>
      <c r="J427" s="949"/>
      <c r="K427" s="825"/>
      <c r="L427" s="575"/>
      <c r="M427" s="809"/>
      <c r="N427" s="575"/>
      <c r="O427" s="575"/>
      <c r="P427" s="575"/>
      <c r="Q427" s="575"/>
      <c r="R427" s="575"/>
      <c r="S427" s="575"/>
      <c r="T427" s="809"/>
      <c r="U427" s="575"/>
      <c r="V427" s="575"/>
      <c r="W427" s="575"/>
      <c r="X427" s="575"/>
      <c r="Y427" s="575"/>
      <c r="Z427" s="575"/>
      <c r="AA427" s="809"/>
      <c r="AB427" s="817"/>
      <c r="AC427" s="575"/>
      <c r="AD427" s="575"/>
      <c r="AE427" s="753"/>
      <c r="AF427" s="575"/>
      <c r="AG427" s="575"/>
      <c r="AH427" s="842"/>
      <c r="AI427" s="1013">
        <f t="shared" si="21"/>
        <v>0</v>
      </c>
      <c r="AJ427" s="949">
        <v>0</v>
      </c>
      <c r="AK427" s="581">
        <f t="shared" si="22"/>
        <v>0</v>
      </c>
      <c r="AL427" s="750" t="s">
        <v>1684</v>
      </c>
      <c r="AM427" s="743">
        <f t="shared" si="23"/>
        <v>2</v>
      </c>
    </row>
    <row r="428" spans="1:39" s="560" customFormat="1" ht="13.2" customHeight="1">
      <c r="A428" s="604" t="s">
        <v>904</v>
      </c>
      <c r="B428" s="604" t="s">
        <v>1254</v>
      </c>
      <c r="C428" s="614" t="s">
        <v>35</v>
      </c>
      <c r="D428" s="580"/>
      <c r="E428" s="581"/>
      <c r="F428" s="778"/>
      <c r="G428" s="581"/>
      <c r="H428" s="581"/>
      <c r="I428" s="949"/>
      <c r="J428" s="949"/>
      <c r="K428" s="825"/>
      <c r="L428" s="575"/>
      <c r="M428" s="809"/>
      <c r="N428" s="575"/>
      <c r="O428" s="575"/>
      <c r="P428" s="575"/>
      <c r="Q428" s="575"/>
      <c r="R428" s="575"/>
      <c r="S428" s="575"/>
      <c r="T428" s="809"/>
      <c r="U428" s="575"/>
      <c r="V428" s="575"/>
      <c r="W428" s="575"/>
      <c r="X428" s="575"/>
      <c r="Y428" s="575"/>
      <c r="Z428" s="575"/>
      <c r="AA428" s="809"/>
      <c r="AB428" s="817"/>
      <c r="AC428" s="575"/>
      <c r="AD428" s="575"/>
      <c r="AE428" s="753"/>
      <c r="AF428" s="575"/>
      <c r="AG428" s="575"/>
      <c r="AH428" s="842"/>
      <c r="AI428" s="1013">
        <f t="shared" si="21"/>
        <v>0</v>
      </c>
      <c r="AJ428" s="949">
        <v>0</v>
      </c>
      <c r="AK428" s="581">
        <f t="shared" si="22"/>
        <v>0</v>
      </c>
      <c r="AL428" s="750" t="s">
        <v>1441</v>
      </c>
      <c r="AM428" s="743">
        <f t="shared" si="23"/>
        <v>1</v>
      </c>
    </row>
    <row r="429" spans="1:39" s="560" customFormat="1" ht="13.2" customHeight="1">
      <c r="A429" s="604" t="s">
        <v>905</v>
      </c>
      <c r="B429" s="604" t="s">
        <v>1282</v>
      </c>
      <c r="C429" s="614" t="s">
        <v>35</v>
      </c>
      <c r="D429" s="580"/>
      <c r="E429" s="581"/>
      <c r="F429" s="778"/>
      <c r="G429" s="581"/>
      <c r="H429" s="581"/>
      <c r="I429" s="949"/>
      <c r="J429" s="949"/>
      <c r="K429" s="825"/>
      <c r="L429" s="575"/>
      <c r="M429" s="809"/>
      <c r="N429" s="575"/>
      <c r="O429" s="575"/>
      <c r="P429" s="575"/>
      <c r="Q429" s="575"/>
      <c r="R429" s="575"/>
      <c r="S429" s="575"/>
      <c r="T429" s="809"/>
      <c r="U429" s="575"/>
      <c r="V429" s="575"/>
      <c r="W429" s="575"/>
      <c r="X429" s="575"/>
      <c r="Y429" s="575"/>
      <c r="Z429" s="575"/>
      <c r="AA429" s="809"/>
      <c r="AB429" s="817"/>
      <c r="AC429" s="575"/>
      <c r="AD429" s="575"/>
      <c r="AE429" s="753"/>
      <c r="AF429" s="575"/>
      <c r="AG429" s="575"/>
      <c r="AH429" s="842"/>
      <c r="AI429" s="1013">
        <f t="shared" si="21"/>
        <v>0</v>
      </c>
      <c r="AJ429" s="949">
        <v>0</v>
      </c>
      <c r="AK429" s="581">
        <f t="shared" si="22"/>
        <v>0</v>
      </c>
      <c r="AL429" s="750"/>
      <c r="AM429" s="743">
        <f t="shared" si="23"/>
        <v>0</v>
      </c>
    </row>
    <row r="430" spans="1:39" s="560" customFormat="1" ht="13.2" customHeight="1">
      <c r="A430" s="607" t="s">
        <v>906</v>
      </c>
      <c r="B430" s="607" t="s">
        <v>1255</v>
      </c>
      <c r="C430" s="690"/>
      <c r="D430" s="580"/>
      <c r="E430" s="581"/>
      <c r="F430" s="778"/>
      <c r="G430" s="581"/>
      <c r="H430" s="581"/>
      <c r="I430" s="949"/>
      <c r="J430" s="949"/>
      <c r="K430" s="825"/>
      <c r="L430" s="575"/>
      <c r="M430" s="809"/>
      <c r="N430" s="575"/>
      <c r="O430" s="575"/>
      <c r="P430" s="575"/>
      <c r="Q430" s="575"/>
      <c r="R430" s="575"/>
      <c r="S430" s="575"/>
      <c r="T430" s="809"/>
      <c r="U430" s="575"/>
      <c r="V430" s="575"/>
      <c r="W430" s="575"/>
      <c r="X430" s="575"/>
      <c r="Y430" s="575"/>
      <c r="Z430" s="575"/>
      <c r="AA430" s="809"/>
      <c r="AB430" s="817"/>
      <c r="AC430" s="575"/>
      <c r="AD430" s="575"/>
      <c r="AE430" s="753"/>
      <c r="AF430" s="575"/>
      <c r="AG430" s="575"/>
      <c r="AH430" s="842"/>
      <c r="AI430" s="1013">
        <f t="shared" si="21"/>
        <v>0</v>
      </c>
      <c r="AJ430" s="949">
        <v>0</v>
      </c>
      <c r="AK430" s="581">
        <f t="shared" si="22"/>
        <v>0</v>
      </c>
      <c r="AL430" s="750" t="s">
        <v>1685</v>
      </c>
      <c r="AM430" s="743">
        <f t="shared" si="23"/>
        <v>7.54</v>
      </c>
    </row>
    <row r="431" spans="1:39" s="560" customFormat="1" ht="13.2" customHeight="1">
      <c r="A431" s="604" t="s">
        <v>907</v>
      </c>
      <c r="B431" s="604" t="s">
        <v>1256</v>
      </c>
      <c r="C431" s="614" t="s">
        <v>36</v>
      </c>
      <c r="D431" s="580"/>
      <c r="E431" s="581"/>
      <c r="F431" s="778"/>
      <c r="G431" s="581"/>
      <c r="H431" s="581"/>
      <c r="I431" s="949"/>
      <c r="J431" s="949"/>
      <c r="K431" s="825"/>
      <c r="L431" s="575"/>
      <c r="M431" s="809"/>
      <c r="N431" s="575"/>
      <c r="O431" s="575"/>
      <c r="P431" s="575"/>
      <c r="Q431" s="575"/>
      <c r="R431" s="575"/>
      <c r="S431" s="575"/>
      <c r="T431" s="809"/>
      <c r="U431" s="575"/>
      <c r="V431" s="575"/>
      <c r="W431" s="575"/>
      <c r="X431" s="575"/>
      <c r="Y431" s="575"/>
      <c r="Z431" s="575"/>
      <c r="AA431" s="809"/>
      <c r="AB431" s="817"/>
      <c r="AC431" s="575"/>
      <c r="AD431" s="575"/>
      <c r="AE431" s="753"/>
      <c r="AF431" s="575"/>
      <c r="AG431" s="575"/>
      <c r="AH431" s="842"/>
      <c r="AI431" s="1013">
        <f t="shared" si="21"/>
        <v>0</v>
      </c>
      <c r="AJ431" s="949">
        <v>0</v>
      </c>
      <c r="AK431" s="581">
        <f t="shared" si="22"/>
        <v>0</v>
      </c>
      <c r="AL431" s="750" t="s">
        <v>1686</v>
      </c>
      <c r="AM431" s="743">
        <f t="shared" si="23"/>
        <v>1.25</v>
      </c>
    </row>
    <row r="432" spans="1:39" s="560" customFormat="1" ht="13.2" customHeight="1">
      <c r="A432" s="604" t="s">
        <v>908</v>
      </c>
      <c r="B432" s="604" t="s">
        <v>1257</v>
      </c>
      <c r="C432" s="614" t="s">
        <v>36</v>
      </c>
      <c r="D432" s="580"/>
      <c r="E432" s="581"/>
      <c r="F432" s="778"/>
      <c r="G432" s="581"/>
      <c r="H432" s="581"/>
      <c r="I432" s="949"/>
      <c r="J432" s="949"/>
      <c r="K432" s="825"/>
      <c r="L432" s="575"/>
      <c r="M432" s="809"/>
      <c r="N432" s="575"/>
      <c r="O432" s="575"/>
      <c r="P432" s="575"/>
      <c r="Q432" s="575"/>
      <c r="R432" s="575"/>
      <c r="S432" s="575"/>
      <c r="T432" s="809"/>
      <c r="U432" s="575"/>
      <c r="V432" s="575"/>
      <c r="W432" s="575"/>
      <c r="X432" s="575"/>
      <c r="Y432" s="575"/>
      <c r="Z432" s="575"/>
      <c r="AA432" s="809"/>
      <c r="AB432" s="817"/>
      <c r="AC432" s="575"/>
      <c r="AD432" s="575"/>
      <c r="AE432" s="753"/>
      <c r="AF432" s="575"/>
      <c r="AG432" s="575"/>
      <c r="AH432" s="842"/>
      <c r="AI432" s="1013">
        <f t="shared" si="21"/>
        <v>0</v>
      </c>
      <c r="AJ432" s="949">
        <v>0</v>
      </c>
      <c r="AK432" s="581">
        <f t="shared" si="22"/>
        <v>0</v>
      </c>
      <c r="AL432" s="750"/>
      <c r="AM432" s="743">
        <f t="shared" si="23"/>
        <v>0</v>
      </c>
    </row>
    <row r="433" spans="1:39" s="560" customFormat="1" ht="13.2" customHeight="1">
      <c r="A433" s="607" t="s">
        <v>909</v>
      </c>
      <c r="B433" s="607" t="s">
        <v>1258</v>
      </c>
      <c r="C433" s="690"/>
      <c r="D433" s="580"/>
      <c r="E433" s="581"/>
      <c r="F433" s="778"/>
      <c r="G433" s="581"/>
      <c r="H433" s="581"/>
      <c r="I433" s="949"/>
      <c r="J433" s="949"/>
      <c r="K433" s="825"/>
      <c r="L433" s="575"/>
      <c r="M433" s="809"/>
      <c r="N433" s="575"/>
      <c r="O433" s="575"/>
      <c r="P433" s="575"/>
      <c r="Q433" s="575"/>
      <c r="R433" s="575"/>
      <c r="S433" s="575"/>
      <c r="T433" s="809"/>
      <c r="U433" s="575"/>
      <c r="V433" s="575"/>
      <c r="W433" s="575"/>
      <c r="X433" s="575"/>
      <c r="Y433" s="575"/>
      <c r="Z433" s="575"/>
      <c r="AA433" s="809"/>
      <c r="AB433" s="817"/>
      <c r="AC433" s="575"/>
      <c r="AD433" s="575"/>
      <c r="AE433" s="753"/>
      <c r="AF433" s="575"/>
      <c r="AG433" s="575"/>
      <c r="AH433" s="842"/>
      <c r="AI433" s="1013">
        <f t="shared" si="21"/>
        <v>0</v>
      </c>
      <c r="AJ433" s="949">
        <v>0</v>
      </c>
      <c r="AK433" s="581">
        <f t="shared" si="22"/>
        <v>0</v>
      </c>
      <c r="AL433" s="750" t="s">
        <v>1671</v>
      </c>
      <c r="AM433" s="743">
        <f t="shared" si="23"/>
        <v>38.24</v>
      </c>
    </row>
    <row r="434" spans="1:39" s="560" customFormat="1" ht="13.2" customHeight="1">
      <c r="A434" s="604" t="s">
        <v>910</v>
      </c>
      <c r="B434" s="604" t="s">
        <v>1259</v>
      </c>
      <c r="C434" s="614" t="s">
        <v>36</v>
      </c>
      <c r="D434" s="580"/>
      <c r="E434" s="581"/>
      <c r="F434" s="778"/>
      <c r="G434" s="581"/>
      <c r="H434" s="581"/>
      <c r="I434" s="949"/>
      <c r="J434" s="949"/>
      <c r="K434" s="825"/>
      <c r="L434" s="575"/>
      <c r="M434" s="809"/>
      <c r="N434" s="575"/>
      <c r="O434" s="575"/>
      <c r="P434" s="575"/>
      <c r="Q434" s="575"/>
      <c r="R434" s="575"/>
      <c r="S434" s="575"/>
      <c r="T434" s="809"/>
      <c r="U434" s="575"/>
      <c r="V434" s="575"/>
      <c r="W434" s="575"/>
      <c r="X434" s="575"/>
      <c r="Y434" s="575"/>
      <c r="Z434" s="575"/>
      <c r="AA434" s="809"/>
      <c r="AB434" s="817"/>
      <c r="AC434" s="575"/>
      <c r="AD434" s="575"/>
      <c r="AE434" s="753"/>
      <c r="AF434" s="575"/>
      <c r="AG434" s="575"/>
      <c r="AH434" s="842"/>
      <c r="AI434" s="1013">
        <f t="shared" si="21"/>
        <v>0</v>
      </c>
      <c r="AJ434" s="949">
        <v>0</v>
      </c>
      <c r="AK434" s="581">
        <f t="shared" si="22"/>
        <v>0</v>
      </c>
      <c r="AL434" s="750" t="s">
        <v>1665</v>
      </c>
      <c r="AM434" s="743">
        <f t="shared" si="23"/>
        <v>83.58</v>
      </c>
    </row>
    <row r="435" spans="1:39" s="560" customFormat="1" ht="13.2" customHeight="1">
      <c r="A435" s="604" t="s">
        <v>911</v>
      </c>
      <c r="B435" s="604" t="s">
        <v>1260</v>
      </c>
      <c r="C435" s="614" t="s">
        <v>36</v>
      </c>
      <c r="D435" s="580"/>
      <c r="E435" s="581"/>
      <c r="F435" s="778"/>
      <c r="G435" s="581"/>
      <c r="H435" s="581"/>
      <c r="I435" s="949"/>
      <c r="J435" s="949"/>
      <c r="K435" s="825"/>
      <c r="L435" s="575"/>
      <c r="M435" s="809"/>
      <c r="N435" s="575"/>
      <c r="O435" s="575"/>
      <c r="P435" s="575"/>
      <c r="Q435" s="575"/>
      <c r="R435" s="575"/>
      <c r="S435" s="575"/>
      <c r="T435" s="809"/>
      <c r="U435" s="575"/>
      <c r="V435" s="575"/>
      <c r="W435" s="575"/>
      <c r="X435" s="575"/>
      <c r="Y435" s="575"/>
      <c r="Z435" s="575"/>
      <c r="AA435" s="809"/>
      <c r="AB435" s="817"/>
      <c r="AC435" s="575"/>
      <c r="AD435" s="575"/>
      <c r="AE435" s="753"/>
      <c r="AF435" s="575"/>
      <c r="AG435" s="575"/>
      <c r="AH435" s="842"/>
      <c r="AI435" s="1013">
        <f t="shared" si="21"/>
        <v>0</v>
      </c>
      <c r="AJ435" s="949">
        <v>0</v>
      </c>
      <c r="AK435" s="581">
        <f t="shared" si="22"/>
        <v>0</v>
      </c>
      <c r="AL435" s="750" t="s">
        <v>1663</v>
      </c>
      <c r="AM435" s="743">
        <f t="shared" si="23"/>
        <v>45.75</v>
      </c>
    </row>
    <row r="436" spans="1:39" s="560" customFormat="1" ht="13.2" customHeight="1">
      <c r="A436" s="604" t="s">
        <v>912</v>
      </c>
      <c r="B436" s="604" t="s">
        <v>1261</v>
      </c>
      <c r="C436" s="614" t="s">
        <v>36</v>
      </c>
      <c r="D436" s="580"/>
      <c r="E436" s="581"/>
      <c r="F436" s="778"/>
      <c r="G436" s="581"/>
      <c r="H436" s="581"/>
      <c r="I436" s="949"/>
      <c r="J436" s="949"/>
      <c r="K436" s="825"/>
      <c r="L436" s="575"/>
      <c r="M436" s="809"/>
      <c r="N436" s="575"/>
      <c r="O436" s="575"/>
      <c r="P436" s="575"/>
      <c r="Q436" s="575"/>
      <c r="R436" s="575"/>
      <c r="S436" s="575"/>
      <c r="T436" s="809"/>
      <c r="U436" s="575"/>
      <c r="V436" s="575"/>
      <c r="W436" s="575"/>
      <c r="X436" s="575"/>
      <c r="Y436" s="575"/>
      <c r="Z436" s="575"/>
      <c r="AA436" s="809"/>
      <c r="AB436" s="817"/>
      <c r="AC436" s="575"/>
      <c r="AD436" s="575"/>
      <c r="AE436" s="753"/>
      <c r="AF436" s="575"/>
      <c r="AG436" s="575"/>
      <c r="AH436" s="842"/>
      <c r="AI436" s="1013">
        <f t="shared" si="21"/>
        <v>0</v>
      </c>
      <c r="AJ436" s="949">
        <v>0</v>
      </c>
      <c r="AK436" s="581">
        <f t="shared" si="22"/>
        <v>0</v>
      </c>
      <c r="AL436" s="750" t="s">
        <v>1666</v>
      </c>
      <c r="AM436" s="743">
        <f t="shared" si="23"/>
        <v>12.95</v>
      </c>
    </row>
    <row r="437" spans="1:39" s="560" customFormat="1" ht="13.2" customHeight="1">
      <c r="A437" s="604" t="s">
        <v>913</v>
      </c>
      <c r="B437" s="604" t="s">
        <v>1262</v>
      </c>
      <c r="C437" s="614" t="s">
        <v>36</v>
      </c>
      <c r="D437" s="580"/>
      <c r="E437" s="581"/>
      <c r="F437" s="778"/>
      <c r="G437" s="581"/>
      <c r="H437" s="581"/>
      <c r="I437" s="949"/>
      <c r="J437" s="949"/>
      <c r="K437" s="825"/>
      <c r="L437" s="575"/>
      <c r="M437" s="809"/>
      <c r="N437" s="575"/>
      <c r="O437" s="575"/>
      <c r="P437" s="575"/>
      <c r="Q437" s="575"/>
      <c r="R437" s="575"/>
      <c r="S437" s="575"/>
      <c r="T437" s="809"/>
      <c r="U437" s="575"/>
      <c r="V437" s="575"/>
      <c r="W437" s="575"/>
      <c r="X437" s="575"/>
      <c r="Y437" s="575"/>
      <c r="Z437" s="575"/>
      <c r="AA437" s="809"/>
      <c r="AB437" s="817"/>
      <c r="AC437" s="575"/>
      <c r="AD437" s="575"/>
      <c r="AE437" s="753"/>
      <c r="AF437" s="575"/>
      <c r="AG437" s="575"/>
      <c r="AH437" s="842"/>
      <c r="AI437" s="1013">
        <f t="shared" si="21"/>
        <v>0</v>
      </c>
      <c r="AJ437" s="949">
        <v>0</v>
      </c>
      <c r="AK437" s="581">
        <f t="shared" si="22"/>
        <v>0</v>
      </c>
      <c r="AL437" s="750" t="s">
        <v>1667</v>
      </c>
      <c r="AM437" s="743">
        <f t="shared" si="23"/>
        <v>24.87</v>
      </c>
    </row>
    <row r="438" spans="1:39" s="560" customFormat="1" ht="13.2" customHeight="1">
      <c r="A438" s="604" t="s">
        <v>914</v>
      </c>
      <c r="B438" s="604" t="s">
        <v>1263</v>
      </c>
      <c r="C438" s="614" t="s">
        <v>36</v>
      </c>
      <c r="D438" s="580"/>
      <c r="E438" s="581"/>
      <c r="F438" s="778"/>
      <c r="G438" s="581"/>
      <c r="H438" s="581"/>
      <c r="I438" s="949"/>
      <c r="J438" s="949"/>
      <c r="K438" s="825"/>
      <c r="L438" s="575"/>
      <c r="M438" s="809"/>
      <c r="N438" s="575"/>
      <c r="O438" s="575"/>
      <c r="P438" s="575"/>
      <c r="Q438" s="575"/>
      <c r="R438" s="575"/>
      <c r="S438" s="575"/>
      <c r="T438" s="809"/>
      <c r="U438" s="575"/>
      <c r="V438" s="575"/>
      <c r="W438" s="575"/>
      <c r="X438" s="575"/>
      <c r="Y438" s="575"/>
      <c r="Z438" s="575"/>
      <c r="AA438" s="809"/>
      <c r="AB438" s="817"/>
      <c r="AC438" s="575"/>
      <c r="AD438" s="575"/>
      <c r="AE438" s="753"/>
      <c r="AF438" s="575"/>
      <c r="AG438" s="575"/>
      <c r="AH438" s="842"/>
      <c r="AI438" s="1013">
        <f t="shared" si="21"/>
        <v>0</v>
      </c>
      <c r="AJ438" s="949">
        <v>0</v>
      </c>
      <c r="AK438" s="581">
        <f t="shared" si="22"/>
        <v>0</v>
      </c>
      <c r="AL438" s="750" t="s">
        <v>1678</v>
      </c>
      <c r="AM438" s="743">
        <f t="shared" si="23"/>
        <v>6.66</v>
      </c>
    </row>
    <row r="439" spans="1:39" s="560" customFormat="1" ht="13.2" customHeight="1">
      <c r="A439" s="604" t="s">
        <v>915</v>
      </c>
      <c r="B439" s="604" t="s">
        <v>1264</v>
      </c>
      <c r="C439" s="614" t="s">
        <v>36</v>
      </c>
      <c r="D439" s="580"/>
      <c r="E439" s="581"/>
      <c r="F439" s="778"/>
      <c r="G439" s="581"/>
      <c r="H439" s="581"/>
      <c r="I439" s="949"/>
      <c r="J439" s="949"/>
      <c r="K439" s="825"/>
      <c r="L439" s="575"/>
      <c r="M439" s="809"/>
      <c r="N439" s="575"/>
      <c r="O439" s="575"/>
      <c r="P439" s="575"/>
      <c r="Q439" s="575"/>
      <c r="R439" s="575"/>
      <c r="S439" s="575"/>
      <c r="T439" s="809"/>
      <c r="U439" s="575"/>
      <c r="V439" s="575"/>
      <c r="W439" s="575"/>
      <c r="X439" s="575"/>
      <c r="Y439" s="575"/>
      <c r="Z439" s="575"/>
      <c r="AA439" s="809"/>
      <c r="AB439" s="817"/>
      <c r="AC439" s="575"/>
      <c r="AD439" s="575"/>
      <c r="AE439" s="753"/>
      <c r="AF439" s="575"/>
      <c r="AG439" s="575"/>
      <c r="AH439" s="842"/>
      <c r="AI439" s="1013">
        <f t="shared" si="21"/>
        <v>0</v>
      </c>
      <c r="AJ439" s="949">
        <v>0</v>
      </c>
      <c r="AK439" s="581">
        <f t="shared" si="22"/>
        <v>0</v>
      </c>
      <c r="AL439" s="750" t="s">
        <v>1687</v>
      </c>
      <c r="AM439" s="743">
        <f t="shared" si="23"/>
        <v>12.48</v>
      </c>
    </row>
    <row r="440" spans="1:39" s="560" customFormat="1" ht="13.2" customHeight="1">
      <c r="A440" s="604" t="s">
        <v>916</v>
      </c>
      <c r="B440" s="604" t="s">
        <v>1265</v>
      </c>
      <c r="C440" s="614" t="s">
        <v>36</v>
      </c>
      <c r="D440" s="580"/>
      <c r="E440" s="581"/>
      <c r="F440" s="778"/>
      <c r="G440" s="581"/>
      <c r="H440" s="581"/>
      <c r="I440" s="949"/>
      <c r="J440" s="949"/>
      <c r="K440" s="825"/>
      <c r="L440" s="575"/>
      <c r="M440" s="809"/>
      <c r="N440" s="575"/>
      <c r="O440" s="575"/>
      <c r="P440" s="575"/>
      <c r="Q440" s="575"/>
      <c r="R440" s="575"/>
      <c r="S440" s="575"/>
      <c r="T440" s="809"/>
      <c r="U440" s="575"/>
      <c r="V440" s="575"/>
      <c r="W440" s="575"/>
      <c r="X440" s="575"/>
      <c r="Y440" s="575"/>
      <c r="Z440" s="575"/>
      <c r="AA440" s="809"/>
      <c r="AB440" s="817"/>
      <c r="AC440" s="575"/>
      <c r="AD440" s="575"/>
      <c r="AE440" s="753"/>
      <c r="AF440" s="575"/>
      <c r="AG440" s="575"/>
      <c r="AH440" s="842"/>
      <c r="AI440" s="1013">
        <f t="shared" si="21"/>
        <v>0</v>
      </c>
      <c r="AJ440" s="949">
        <v>0</v>
      </c>
      <c r="AK440" s="581">
        <f t="shared" si="22"/>
        <v>0</v>
      </c>
      <c r="AL440" s="750"/>
      <c r="AM440" s="743">
        <f t="shared" si="23"/>
        <v>0</v>
      </c>
    </row>
    <row r="441" spans="1:39" s="560" customFormat="1" ht="13.2" customHeight="1">
      <c r="A441" s="607" t="s">
        <v>917</v>
      </c>
      <c r="B441" s="607" t="s">
        <v>1266</v>
      </c>
      <c r="C441" s="690"/>
      <c r="D441" s="580"/>
      <c r="E441" s="581"/>
      <c r="F441" s="778"/>
      <c r="G441" s="581"/>
      <c r="H441" s="581"/>
      <c r="I441" s="949"/>
      <c r="J441" s="949"/>
      <c r="K441" s="825"/>
      <c r="L441" s="575"/>
      <c r="M441" s="809"/>
      <c r="N441" s="575"/>
      <c r="O441" s="575"/>
      <c r="P441" s="575"/>
      <c r="Q441" s="575"/>
      <c r="R441" s="575"/>
      <c r="S441" s="575"/>
      <c r="T441" s="809"/>
      <c r="U441" s="575"/>
      <c r="V441" s="575"/>
      <c r="W441" s="575"/>
      <c r="X441" s="575"/>
      <c r="Y441" s="575"/>
      <c r="Z441" s="575"/>
      <c r="AA441" s="809"/>
      <c r="AB441" s="817"/>
      <c r="AC441" s="575"/>
      <c r="AD441" s="575"/>
      <c r="AE441" s="753"/>
      <c r="AF441" s="575"/>
      <c r="AG441" s="575"/>
      <c r="AH441" s="842"/>
      <c r="AI441" s="1013">
        <f t="shared" si="21"/>
        <v>0</v>
      </c>
      <c r="AJ441" s="949">
        <v>0</v>
      </c>
      <c r="AK441" s="581">
        <f t="shared" si="22"/>
        <v>0</v>
      </c>
      <c r="AL441" s="750" t="s">
        <v>1441</v>
      </c>
      <c r="AM441" s="743">
        <f t="shared" si="23"/>
        <v>1</v>
      </c>
    </row>
    <row r="442" spans="1:39" s="560" customFormat="1" ht="13.2" customHeight="1">
      <c r="A442" s="604" t="s">
        <v>918</v>
      </c>
      <c r="B442" s="604" t="s">
        <v>1267</v>
      </c>
      <c r="C442" s="614" t="s">
        <v>1436</v>
      </c>
      <c r="D442" s="580"/>
      <c r="E442" s="581"/>
      <c r="F442" s="778"/>
      <c r="G442" s="581"/>
      <c r="H442" s="581"/>
      <c r="I442" s="949"/>
      <c r="J442" s="949"/>
      <c r="K442" s="825"/>
      <c r="L442" s="575"/>
      <c r="M442" s="809"/>
      <c r="N442" s="575"/>
      <c r="O442" s="575"/>
      <c r="P442" s="575"/>
      <c r="Q442" s="575"/>
      <c r="R442" s="575"/>
      <c r="S442" s="575"/>
      <c r="T442" s="809"/>
      <c r="U442" s="575"/>
      <c r="V442" s="575"/>
      <c r="W442" s="575"/>
      <c r="X442" s="575"/>
      <c r="Y442" s="575"/>
      <c r="Z442" s="575"/>
      <c r="AA442" s="809"/>
      <c r="AB442" s="817"/>
      <c r="AC442" s="575"/>
      <c r="AD442" s="575"/>
      <c r="AE442" s="753"/>
      <c r="AF442" s="575"/>
      <c r="AG442" s="575"/>
      <c r="AH442" s="842"/>
      <c r="AI442" s="1013">
        <f t="shared" si="21"/>
        <v>0</v>
      </c>
      <c r="AJ442" s="949">
        <v>0</v>
      </c>
      <c r="AK442" s="581">
        <f t="shared" si="22"/>
        <v>0</v>
      </c>
      <c r="AL442" s="750" t="s">
        <v>1441</v>
      </c>
      <c r="AM442" s="743">
        <f t="shared" si="23"/>
        <v>1</v>
      </c>
    </row>
    <row r="443" spans="1:39" s="560" customFormat="1" ht="13.2" customHeight="1">
      <c r="A443" s="604" t="s">
        <v>919</v>
      </c>
      <c r="B443" s="604" t="s">
        <v>1268</v>
      </c>
      <c r="C443" s="614" t="s">
        <v>63</v>
      </c>
      <c r="D443" s="580"/>
      <c r="E443" s="581"/>
      <c r="F443" s="778"/>
      <c r="G443" s="581"/>
      <c r="H443" s="581"/>
      <c r="I443" s="949"/>
      <c r="J443" s="949"/>
      <c r="K443" s="825"/>
      <c r="L443" s="575"/>
      <c r="M443" s="809"/>
      <c r="N443" s="575"/>
      <c r="O443" s="575"/>
      <c r="P443" s="575"/>
      <c r="Q443" s="575"/>
      <c r="R443" s="575"/>
      <c r="S443" s="575"/>
      <c r="T443" s="809"/>
      <c r="U443" s="575"/>
      <c r="V443" s="575"/>
      <c r="W443" s="575"/>
      <c r="X443" s="575"/>
      <c r="Y443" s="575"/>
      <c r="Z443" s="575"/>
      <c r="AA443" s="809"/>
      <c r="AB443" s="817"/>
      <c r="AC443" s="575"/>
      <c r="AD443" s="575"/>
      <c r="AE443" s="753"/>
      <c r="AF443" s="575"/>
      <c r="AG443" s="575"/>
      <c r="AH443" s="842"/>
      <c r="AI443" s="1013">
        <f t="shared" si="21"/>
        <v>0</v>
      </c>
      <c r="AJ443" s="949">
        <v>0</v>
      </c>
      <c r="AK443" s="581">
        <f t="shared" si="22"/>
        <v>0</v>
      </c>
      <c r="AL443" s="750" t="s">
        <v>1688</v>
      </c>
      <c r="AM443" s="743">
        <f t="shared" si="23"/>
        <v>6.79</v>
      </c>
    </row>
    <row r="444" spans="1:39" s="560" customFormat="1" ht="13.2" customHeight="1">
      <c r="A444" s="604" t="s">
        <v>920</v>
      </c>
      <c r="B444" s="604" t="s">
        <v>1269</v>
      </c>
      <c r="C444" s="614" t="s">
        <v>36</v>
      </c>
      <c r="D444" s="580"/>
      <c r="E444" s="581"/>
      <c r="F444" s="778"/>
      <c r="G444" s="581"/>
      <c r="H444" s="581"/>
      <c r="I444" s="949"/>
      <c r="J444" s="949"/>
      <c r="K444" s="825"/>
      <c r="L444" s="575"/>
      <c r="M444" s="809"/>
      <c r="N444" s="575"/>
      <c r="O444" s="575"/>
      <c r="P444" s="575"/>
      <c r="Q444" s="575"/>
      <c r="R444" s="575"/>
      <c r="S444" s="575"/>
      <c r="T444" s="809"/>
      <c r="U444" s="575"/>
      <c r="V444" s="575"/>
      <c r="W444" s="575"/>
      <c r="X444" s="575"/>
      <c r="Y444" s="575"/>
      <c r="Z444" s="575"/>
      <c r="AA444" s="809"/>
      <c r="AB444" s="817"/>
      <c r="AC444" s="575"/>
      <c r="AD444" s="575"/>
      <c r="AE444" s="753"/>
      <c r="AF444" s="575"/>
      <c r="AG444" s="575"/>
      <c r="AH444" s="842"/>
      <c r="AI444" s="1013">
        <f t="shared" si="21"/>
        <v>0</v>
      </c>
      <c r="AJ444" s="949">
        <v>0</v>
      </c>
      <c r="AK444" s="581">
        <f t="shared" si="22"/>
        <v>0</v>
      </c>
      <c r="AL444" s="750"/>
      <c r="AM444" s="743">
        <f t="shared" si="23"/>
        <v>0</v>
      </c>
    </row>
    <row r="445" spans="1:39" s="560" customFormat="1" ht="13.2" customHeight="1">
      <c r="A445" s="492" t="s">
        <v>504</v>
      </c>
      <c r="B445" s="608" t="s">
        <v>1283</v>
      </c>
      <c r="C445" s="690"/>
      <c r="D445" s="580"/>
      <c r="E445" s="581"/>
      <c r="F445" s="778"/>
      <c r="G445" s="581"/>
      <c r="H445" s="581"/>
      <c r="I445" s="949"/>
      <c r="J445" s="949"/>
      <c r="K445" s="825"/>
      <c r="L445" s="575"/>
      <c r="M445" s="809"/>
      <c r="N445" s="575"/>
      <c r="O445" s="575"/>
      <c r="P445" s="575"/>
      <c r="Q445" s="575"/>
      <c r="R445" s="575"/>
      <c r="S445" s="575"/>
      <c r="T445" s="809"/>
      <c r="U445" s="575"/>
      <c r="V445" s="575"/>
      <c r="W445" s="575"/>
      <c r="X445" s="575"/>
      <c r="Y445" s="575"/>
      <c r="Z445" s="575"/>
      <c r="AA445" s="809"/>
      <c r="AB445" s="817"/>
      <c r="AC445" s="575"/>
      <c r="AD445" s="575"/>
      <c r="AE445" s="753"/>
      <c r="AF445" s="575"/>
      <c r="AG445" s="575"/>
      <c r="AH445" s="842"/>
      <c r="AI445" s="1013">
        <f t="shared" si="21"/>
        <v>0</v>
      </c>
      <c r="AJ445" s="949">
        <v>0</v>
      </c>
      <c r="AK445" s="581">
        <f t="shared" si="22"/>
        <v>0</v>
      </c>
      <c r="AL445" s="750"/>
      <c r="AM445" s="743">
        <f t="shared" si="23"/>
        <v>0</v>
      </c>
    </row>
    <row r="446" spans="1:39" s="560" customFormat="1" ht="13.2" customHeight="1">
      <c r="A446" s="607" t="s">
        <v>505</v>
      </c>
      <c r="B446" s="607" t="s">
        <v>1222</v>
      </c>
      <c r="C446" s="690"/>
      <c r="D446" s="580"/>
      <c r="E446" s="581"/>
      <c r="F446" s="778"/>
      <c r="G446" s="581"/>
      <c r="H446" s="581"/>
      <c r="I446" s="949"/>
      <c r="J446" s="949"/>
      <c r="K446" s="825"/>
      <c r="L446" s="575"/>
      <c r="M446" s="809"/>
      <c r="N446" s="575"/>
      <c r="O446" s="575"/>
      <c r="P446" s="575"/>
      <c r="Q446" s="575"/>
      <c r="R446" s="575"/>
      <c r="S446" s="575"/>
      <c r="T446" s="809"/>
      <c r="U446" s="575"/>
      <c r="V446" s="575"/>
      <c r="W446" s="575"/>
      <c r="X446" s="575"/>
      <c r="Y446" s="575"/>
      <c r="Z446" s="575"/>
      <c r="AA446" s="809"/>
      <c r="AB446" s="817"/>
      <c r="AC446" s="575"/>
      <c r="AD446" s="575"/>
      <c r="AE446" s="753"/>
      <c r="AF446" s="575"/>
      <c r="AG446" s="575"/>
      <c r="AH446" s="842"/>
      <c r="AI446" s="1013">
        <f t="shared" si="21"/>
        <v>0</v>
      </c>
      <c r="AJ446" s="949">
        <v>0</v>
      </c>
      <c r="AK446" s="581">
        <f t="shared" si="22"/>
        <v>0</v>
      </c>
      <c r="AL446" s="750" t="s">
        <v>1689</v>
      </c>
      <c r="AM446" s="743">
        <f t="shared" si="23"/>
        <v>56.66</v>
      </c>
    </row>
    <row r="447" spans="1:39" s="560" customFormat="1" ht="13.2" customHeight="1">
      <c r="A447" s="604" t="s">
        <v>506</v>
      </c>
      <c r="B447" s="604" t="s">
        <v>1223</v>
      </c>
      <c r="C447" s="614" t="s">
        <v>36</v>
      </c>
      <c r="D447" s="580"/>
      <c r="E447" s="581"/>
      <c r="F447" s="778"/>
      <c r="G447" s="581"/>
      <c r="H447" s="581"/>
      <c r="I447" s="949"/>
      <c r="J447" s="949"/>
      <c r="K447" s="825"/>
      <c r="L447" s="575"/>
      <c r="M447" s="809"/>
      <c r="N447" s="575"/>
      <c r="O447" s="575"/>
      <c r="P447" s="575"/>
      <c r="Q447" s="575"/>
      <c r="R447" s="575"/>
      <c r="S447" s="575"/>
      <c r="T447" s="809"/>
      <c r="U447" s="575"/>
      <c r="V447" s="575"/>
      <c r="W447" s="575"/>
      <c r="X447" s="575"/>
      <c r="Y447" s="575"/>
      <c r="Z447" s="575"/>
      <c r="AA447" s="809"/>
      <c r="AB447" s="817"/>
      <c r="AC447" s="575"/>
      <c r="AD447" s="575"/>
      <c r="AE447" s="753"/>
      <c r="AF447" s="575"/>
      <c r="AG447" s="575"/>
      <c r="AH447" s="842"/>
      <c r="AI447" s="1013">
        <f t="shared" si="21"/>
        <v>0</v>
      </c>
      <c r="AJ447" s="949">
        <v>0</v>
      </c>
      <c r="AK447" s="581">
        <f t="shared" si="22"/>
        <v>0</v>
      </c>
      <c r="AL447" s="750" t="s">
        <v>1690</v>
      </c>
      <c r="AM447" s="743">
        <f t="shared" si="23"/>
        <v>8.17</v>
      </c>
    </row>
    <row r="448" spans="1:39" s="560" customFormat="1" ht="13.2" customHeight="1">
      <c r="A448" s="604" t="s">
        <v>507</v>
      </c>
      <c r="B448" s="604" t="s">
        <v>1224</v>
      </c>
      <c r="C448" s="614" t="s">
        <v>36</v>
      </c>
      <c r="D448" s="580"/>
      <c r="E448" s="581"/>
      <c r="F448" s="778"/>
      <c r="G448" s="581"/>
      <c r="H448" s="581"/>
      <c r="I448" s="949"/>
      <c r="J448" s="949"/>
      <c r="K448" s="825"/>
      <c r="L448" s="575"/>
      <c r="M448" s="809"/>
      <c r="N448" s="575"/>
      <c r="O448" s="575"/>
      <c r="P448" s="575"/>
      <c r="Q448" s="575"/>
      <c r="R448" s="575"/>
      <c r="S448" s="575"/>
      <c r="T448" s="809"/>
      <c r="U448" s="575"/>
      <c r="V448" s="575"/>
      <c r="W448" s="575"/>
      <c r="X448" s="575"/>
      <c r="Y448" s="575"/>
      <c r="Z448" s="575"/>
      <c r="AA448" s="809"/>
      <c r="AB448" s="817"/>
      <c r="AC448" s="575"/>
      <c r="AD448" s="575"/>
      <c r="AE448" s="753"/>
      <c r="AF448" s="575"/>
      <c r="AG448" s="575"/>
      <c r="AH448" s="842"/>
      <c r="AI448" s="1013">
        <f t="shared" si="21"/>
        <v>0</v>
      </c>
      <c r="AJ448" s="949">
        <v>0</v>
      </c>
      <c r="AK448" s="581">
        <f t="shared" si="22"/>
        <v>0</v>
      </c>
      <c r="AL448" s="750"/>
      <c r="AM448" s="743">
        <f t="shared" si="23"/>
        <v>0</v>
      </c>
    </row>
    <row r="449" spans="1:39" s="560" customFormat="1" ht="13.2" customHeight="1">
      <c r="A449" s="607" t="s">
        <v>508</v>
      </c>
      <c r="B449" s="607" t="s">
        <v>1225</v>
      </c>
      <c r="C449" s="690"/>
      <c r="D449" s="580"/>
      <c r="E449" s="581"/>
      <c r="F449" s="778"/>
      <c r="G449" s="581"/>
      <c r="H449" s="581"/>
      <c r="I449" s="949"/>
      <c r="J449" s="949"/>
      <c r="K449" s="825"/>
      <c r="L449" s="575"/>
      <c r="M449" s="809"/>
      <c r="N449" s="575"/>
      <c r="O449" s="575"/>
      <c r="P449" s="575"/>
      <c r="Q449" s="575"/>
      <c r="R449" s="575"/>
      <c r="S449" s="575"/>
      <c r="T449" s="809"/>
      <c r="U449" s="575"/>
      <c r="V449" s="575"/>
      <c r="W449" s="575"/>
      <c r="X449" s="575"/>
      <c r="Y449" s="575"/>
      <c r="Z449" s="575"/>
      <c r="AA449" s="809"/>
      <c r="AB449" s="817"/>
      <c r="AC449" s="575"/>
      <c r="AD449" s="575"/>
      <c r="AE449" s="753"/>
      <c r="AF449" s="575"/>
      <c r="AG449" s="575"/>
      <c r="AH449" s="842"/>
      <c r="AI449" s="1013">
        <f t="shared" si="21"/>
        <v>0</v>
      </c>
      <c r="AJ449" s="949">
        <v>0</v>
      </c>
      <c r="AK449" s="581">
        <f t="shared" si="22"/>
        <v>0</v>
      </c>
      <c r="AL449" s="750" t="s">
        <v>1691</v>
      </c>
      <c r="AM449" s="743">
        <f t="shared" si="23"/>
        <v>77.680000000000007</v>
      </c>
    </row>
    <row r="450" spans="1:39" s="560" customFormat="1" ht="13.2" customHeight="1">
      <c r="A450" s="604" t="s">
        <v>509</v>
      </c>
      <c r="B450" s="604" t="s">
        <v>1226</v>
      </c>
      <c r="C450" s="614" t="s">
        <v>36</v>
      </c>
      <c r="D450" s="580"/>
      <c r="E450" s="581"/>
      <c r="F450" s="778"/>
      <c r="G450" s="581"/>
      <c r="H450" s="581"/>
      <c r="I450" s="949"/>
      <c r="J450" s="949"/>
      <c r="K450" s="825"/>
      <c r="L450" s="575"/>
      <c r="M450" s="809"/>
      <c r="N450" s="575"/>
      <c r="O450" s="575"/>
      <c r="P450" s="575"/>
      <c r="Q450" s="575"/>
      <c r="R450" s="575"/>
      <c r="S450" s="575"/>
      <c r="T450" s="809"/>
      <c r="U450" s="575"/>
      <c r="V450" s="575"/>
      <c r="W450" s="575"/>
      <c r="X450" s="575"/>
      <c r="Y450" s="575"/>
      <c r="Z450" s="575"/>
      <c r="AA450" s="809"/>
      <c r="AB450" s="817"/>
      <c r="AC450" s="575"/>
      <c r="AD450" s="575"/>
      <c r="AE450" s="753"/>
      <c r="AF450" s="575"/>
      <c r="AG450" s="575"/>
      <c r="AH450" s="842"/>
      <c r="AI450" s="1013">
        <f t="shared" si="21"/>
        <v>0</v>
      </c>
      <c r="AJ450" s="949">
        <v>0</v>
      </c>
      <c r="AK450" s="581">
        <f t="shared" si="22"/>
        <v>0</v>
      </c>
      <c r="AL450" s="750" t="s">
        <v>1692</v>
      </c>
      <c r="AM450" s="743">
        <f t="shared" si="23"/>
        <v>51.98</v>
      </c>
    </row>
    <row r="451" spans="1:39" s="560" customFormat="1" ht="13.2" customHeight="1">
      <c r="A451" s="604" t="s">
        <v>921</v>
      </c>
      <c r="B451" s="604" t="s">
        <v>1227</v>
      </c>
      <c r="C451" s="614" t="s">
        <v>36</v>
      </c>
      <c r="D451" s="580"/>
      <c r="E451" s="581"/>
      <c r="F451" s="778"/>
      <c r="G451" s="581"/>
      <c r="H451" s="581"/>
      <c r="I451" s="949"/>
      <c r="J451" s="949"/>
      <c r="K451" s="825"/>
      <c r="L451" s="575"/>
      <c r="M451" s="809"/>
      <c r="N451" s="575"/>
      <c r="O451" s="575"/>
      <c r="P451" s="575"/>
      <c r="Q451" s="575"/>
      <c r="R451" s="575"/>
      <c r="S451" s="575"/>
      <c r="T451" s="809"/>
      <c r="U451" s="575"/>
      <c r="V451" s="575"/>
      <c r="W451" s="575"/>
      <c r="X451" s="575"/>
      <c r="Y451" s="575"/>
      <c r="Z451" s="575"/>
      <c r="AA451" s="809"/>
      <c r="AB451" s="817"/>
      <c r="AC451" s="575"/>
      <c r="AD451" s="575"/>
      <c r="AE451" s="753"/>
      <c r="AF451" s="575"/>
      <c r="AG451" s="575"/>
      <c r="AH451" s="842"/>
      <c r="AI451" s="1013">
        <f t="shared" si="21"/>
        <v>0</v>
      </c>
      <c r="AJ451" s="949">
        <v>0</v>
      </c>
      <c r="AK451" s="581">
        <f t="shared" si="22"/>
        <v>0</v>
      </c>
      <c r="AL451" s="750" t="s">
        <v>1693</v>
      </c>
      <c r="AM451" s="743">
        <f t="shared" si="23"/>
        <v>12</v>
      </c>
    </row>
    <row r="452" spans="1:39" s="560" customFormat="1" ht="13.2" customHeight="1">
      <c r="A452" s="604" t="s">
        <v>922</v>
      </c>
      <c r="B452" s="604" t="s">
        <v>1228</v>
      </c>
      <c r="C452" s="614" t="s">
        <v>36</v>
      </c>
      <c r="D452" s="580"/>
      <c r="E452" s="581"/>
      <c r="F452" s="778"/>
      <c r="G452" s="581"/>
      <c r="H452" s="581"/>
      <c r="I452" s="949"/>
      <c r="J452" s="949"/>
      <c r="K452" s="825"/>
      <c r="L452" s="575"/>
      <c r="M452" s="809"/>
      <c r="N452" s="575"/>
      <c r="O452" s="575"/>
      <c r="P452" s="575"/>
      <c r="Q452" s="575"/>
      <c r="R452" s="575"/>
      <c r="S452" s="575"/>
      <c r="T452" s="809"/>
      <c r="U452" s="575"/>
      <c r="V452" s="575"/>
      <c r="W452" s="575"/>
      <c r="X452" s="575"/>
      <c r="Y452" s="575"/>
      <c r="Z452" s="575"/>
      <c r="AA452" s="809"/>
      <c r="AB452" s="817"/>
      <c r="AC452" s="575"/>
      <c r="AD452" s="575"/>
      <c r="AE452" s="753"/>
      <c r="AF452" s="575"/>
      <c r="AG452" s="575"/>
      <c r="AH452" s="842"/>
      <c r="AI452" s="1013">
        <f t="shared" si="21"/>
        <v>0</v>
      </c>
      <c r="AJ452" s="949">
        <v>0</v>
      </c>
      <c r="AK452" s="581">
        <f t="shared" si="22"/>
        <v>0</v>
      </c>
      <c r="AL452" s="750" t="s">
        <v>1694</v>
      </c>
      <c r="AM452" s="743">
        <f t="shared" si="23"/>
        <v>19.97</v>
      </c>
    </row>
    <row r="453" spans="1:39" s="560" customFormat="1" ht="13.2" customHeight="1">
      <c r="A453" s="604" t="s">
        <v>923</v>
      </c>
      <c r="B453" s="604" t="s">
        <v>1229</v>
      </c>
      <c r="C453" s="614" t="s">
        <v>36</v>
      </c>
      <c r="D453" s="580"/>
      <c r="E453" s="581"/>
      <c r="F453" s="778"/>
      <c r="G453" s="581"/>
      <c r="H453" s="581"/>
      <c r="I453" s="949"/>
      <c r="J453" s="949"/>
      <c r="K453" s="825"/>
      <c r="L453" s="575"/>
      <c r="M453" s="809"/>
      <c r="N453" s="575"/>
      <c r="O453" s="575"/>
      <c r="P453" s="575"/>
      <c r="Q453" s="575"/>
      <c r="R453" s="575"/>
      <c r="S453" s="575"/>
      <c r="T453" s="809"/>
      <c r="U453" s="575"/>
      <c r="V453" s="575"/>
      <c r="W453" s="575"/>
      <c r="X453" s="575"/>
      <c r="Y453" s="575"/>
      <c r="Z453" s="575"/>
      <c r="AA453" s="809"/>
      <c r="AB453" s="817"/>
      <c r="AC453" s="575"/>
      <c r="AD453" s="575"/>
      <c r="AE453" s="753"/>
      <c r="AF453" s="575"/>
      <c r="AG453" s="575"/>
      <c r="AH453" s="842"/>
      <c r="AI453" s="1013">
        <f t="shared" si="21"/>
        <v>0</v>
      </c>
      <c r="AJ453" s="949">
        <v>0</v>
      </c>
      <c r="AK453" s="581">
        <f t="shared" si="22"/>
        <v>0</v>
      </c>
      <c r="AL453" s="750" t="s">
        <v>1695</v>
      </c>
      <c r="AM453" s="743">
        <f t="shared" si="23"/>
        <v>35.729999999999997</v>
      </c>
    </row>
    <row r="454" spans="1:39" s="560" customFormat="1" ht="13.2" customHeight="1">
      <c r="A454" s="604" t="s">
        <v>924</v>
      </c>
      <c r="B454" s="604" t="s">
        <v>1230</v>
      </c>
      <c r="C454" s="614" t="s">
        <v>36</v>
      </c>
      <c r="D454" s="580"/>
      <c r="E454" s="581"/>
      <c r="F454" s="778"/>
      <c r="G454" s="581"/>
      <c r="H454" s="581"/>
      <c r="I454" s="949"/>
      <c r="J454" s="949"/>
      <c r="K454" s="825"/>
      <c r="L454" s="575"/>
      <c r="M454" s="809"/>
      <c r="N454" s="575"/>
      <c r="O454" s="575"/>
      <c r="P454" s="575"/>
      <c r="Q454" s="575"/>
      <c r="R454" s="575"/>
      <c r="S454" s="575"/>
      <c r="T454" s="809"/>
      <c r="U454" s="575"/>
      <c r="V454" s="575"/>
      <c r="W454" s="575"/>
      <c r="X454" s="575"/>
      <c r="Y454" s="575"/>
      <c r="Z454" s="575"/>
      <c r="AA454" s="809"/>
      <c r="AB454" s="817"/>
      <c r="AC454" s="575"/>
      <c r="AD454" s="575"/>
      <c r="AE454" s="753"/>
      <c r="AF454" s="575"/>
      <c r="AG454" s="575"/>
      <c r="AH454" s="842"/>
      <c r="AI454" s="1013">
        <f t="shared" si="21"/>
        <v>0</v>
      </c>
      <c r="AJ454" s="949">
        <v>0</v>
      </c>
      <c r="AK454" s="581">
        <f t="shared" si="22"/>
        <v>0</v>
      </c>
      <c r="AL454" s="750" t="s">
        <v>1696</v>
      </c>
      <c r="AM454" s="743">
        <f t="shared" si="23"/>
        <v>35.9</v>
      </c>
    </row>
    <row r="455" spans="1:39" s="560" customFormat="1" ht="13.2" customHeight="1">
      <c r="A455" s="604" t="s">
        <v>925</v>
      </c>
      <c r="B455" s="604" t="s">
        <v>1231</v>
      </c>
      <c r="C455" s="614" t="s">
        <v>37</v>
      </c>
      <c r="D455" s="580"/>
      <c r="E455" s="581"/>
      <c r="F455" s="778"/>
      <c r="G455" s="581"/>
      <c r="H455" s="581"/>
      <c r="I455" s="949"/>
      <c r="J455" s="949"/>
      <c r="K455" s="825"/>
      <c r="L455" s="575"/>
      <c r="M455" s="809"/>
      <c r="N455" s="575"/>
      <c r="O455" s="575"/>
      <c r="P455" s="575"/>
      <c r="Q455" s="575"/>
      <c r="R455" s="575"/>
      <c r="S455" s="575"/>
      <c r="T455" s="809"/>
      <c r="U455" s="575"/>
      <c r="V455" s="575"/>
      <c r="W455" s="575"/>
      <c r="X455" s="575"/>
      <c r="Y455" s="575"/>
      <c r="Z455" s="575"/>
      <c r="AA455" s="809"/>
      <c r="AB455" s="817"/>
      <c r="AC455" s="575"/>
      <c r="AD455" s="575"/>
      <c r="AE455" s="753"/>
      <c r="AF455" s="575"/>
      <c r="AG455" s="575"/>
      <c r="AH455" s="842"/>
      <c r="AI455" s="1013">
        <f t="shared" si="21"/>
        <v>0</v>
      </c>
      <c r="AJ455" s="949">
        <v>0</v>
      </c>
      <c r="AK455" s="581">
        <f t="shared" si="22"/>
        <v>0</v>
      </c>
      <c r="AL455" s="750" t="s">
        <v>1697</v>
      </c>
      <c r="AM455" s="743">
        <f t="shared" si="23"/>
        <v>151.28</v>
      </c>
    </row>
    <row r="456" spans="1:39" s="560" customFormat="1" ht="13.2" customHeight="1">
      <c r="A456" s="604" t="s">
        <v>926</v>
      </c>
      <c r="B456" s="604" t="s">
        <v>1232</v>
      </c>
      <c r="C456" s="614" t="s">
        <v>37</v>
      </c>
      <c r="D456" s="580"/>
      <c r="E456" s="581"/>
      <c r="F456" s="778"/>
      <c r="G456" s="581"/>
      <c r="H456" s="581"/>
      <c r="I456" s="949"/>
      <c r="J456" s="949"/>
      <c r="K456" s="825"/>
      <c r="L456" s="575"/>
      <c r="M456" s="809"/>
      <c r="N456" s="575"/>
      <c r="O456" s="575"/>
      <c r="P456" s="575"/>
      <c r="Q456" s="575"/>
      <c r="R456" s="575"/>
      <c r="S456" s="575"/>
      <c r="T456" s="809"/>
      <c r="U456" s="575"/>
      <c r="V456" s="575"/>
      <c r="W456" s="575"/>
      <c r="X456" s="575"/>
      <c r="Y456" s="575"/>
      <c r="Z456" s="575"/>
      <c r="AA456" s="809"/>
      <c r="AB456" s="817"/>
      <c r="AC456" s="575"/>
      <c r="AD456" s="575"/>
      <c r="AE456" s="753"/>
      <c r="AF456" s="575"/>
      <c r="AG456" s="575"/>
      <c r="AH456" s="842"/>
      <c r="AI456" s="1013">
        <f t="shared" si="21"/>
        <v>0</v>
      </c>
      <c r="AJ456" s="949">
        <v>0</v>
      </c>
      <c r="AK456" s="581">
        <f t="shared" si="22"/>
        <v>0</v>
      </c>
      <c r="AL456" s="750"/>
      <c r="AM456" s="743">
        <f t="shared" si="23"/>
        <v>0</v>
      </c>
    </row>
    <row r="457" spans="1:39" s="560" customFormat="1" ht="13.2" customHeight="1">
      <c r="A457" s="607" t="s">
        <v>510</v>
      </c>
      <c r="B457" s="607" t="s">
        <v>1233</v>
      </c>
      <c r="C457" s="690"/>
      <c r="D457" s="580"/>
      <c r="E457" s="581"/>
      <c r="F457" s="778"/>
      <c r="G457" s="581"/>
      <c r="H457" s="581"/>
      <c r="I457" s="949"/>
      <c r="J457" s="949"/>
      <c r="K457" s="825"/>
      <c r="L457" s="575"/>
      <c r="M457" s="809"/>
      <c r="N457" s="575"/>
      <c r="O457" s="575"/>
      <c r="P457" s="575"/>
      <c r="Q457" s="575"/>
      <c r="R457" s="575"/>
      <c r="S457" s="575"/>
      <c r="T457" s="809"/>
      <c r="U457" s="575"/>
      <c r="V457" s="575"/>
      <c r="W457" s="575"/>
      <c r="X457" s="575"/>
      <c r="Y457" s="575"/>
      <c r="Z457" s="575"/>
      <c r="AA457" s="809"/>
      <c r="AB457" s="817"/>
      <c r="AC457" s="575"/>
      <c r="AD457" s="575"/>
      <c r="AE457" s="753"/>
      <c r="AF457" s="575"/>
      <c r="AG457" s="575"/>
      <c r="AH457" s="842"/>
      <c r="AI457" s="1013">
        <f t="shared" si="21"/>
        <v>0</v>
      </c>
      <c r="AJ457" s="949">
        <v>0</v>
      </c>
      <c r="AK457" s="581">
        <f t="shared" si="22"/>
        <v>0</v>
      </c>
      <c r="AL457" s="750" t="s">
        <v>1698</v>
      </c>
      <c r="AM457" s="743">
        <f t="shared" si="23"/>
        <v>33.950000000000003</v>
      </c>
    </row>
    <row r="458" spans="1:39" s="560" customFormat="1" ht="13.2" customHeight="1">
      <c r="A458" s="604" t="s">
        <v>511</v>
      </c>
      <c r="B458" s="604" t="s">
        <v>1234</v>
      </c>
      <c r="C458" s="614" t="s">
        <v>36</v>
      </c>
      <c r="D458" s="580"/>
      <c r="E458" s="581"/>
      <c r="F458" s="778"/>
      <c r="G458" s="581"/>
      <c r="H458" s="581"/>
      <c r="I458" s="949"/>
      <c r="J458" s="949"/>
      <c r="K458" s="825"/>
      <c r="L458" s="575"/>
      <c r="M458" s="809"/>
      <c r="N458" s="575"/>
      <c r="O458" s="575"/>
      <c r="P458" s="575"/>
      <c r="Q458" s="575"/>
      <c r="R458" s="575"/>
      <c r="S458" s="575"/>
      <c r="T458" s="809"/>
      <c r="U458" s="575"/>
      <c r="V458" s="575"/>
      <c r="W458" s="575"/>
      <c r="X458" s="575"/>
      <c r="Y458" s="575"/>
      <c r="Z458" s="575"/>
      <c r="AA458" s="809"/>
      <c r="AB458" s="817"/>
      <c r="AC458" s="575"/>
      <c r="AD458" s="575"/>
      <c r="AE458" s="753"/>
      <c r="AF458" s="575"/>
      <c r="AG458" s="575"/>
      <c r="AH458" s="842"/>
      <c r="AI458" s="1013">
        <f t="shared" si="21"/>
        <v>0</v>
      </c>
      <c r="AJ458" s="949">
        <v>0</v>
      </c>
      <c r="AK458" s="581">
        <f t="shared" si="22"/>
        <v>0</v>
      </c>
      <c r="AL458" s="750"/>
      <c r="AM458" s="743">
        <f t="shared" si="23"/>
        <v>0</v>
      </c>
    </row>
    <row r="459" spans="1:39" s="560" customFormat="1" ht="13.2" customHeight="1">
      <c r="A459" s="607" t="s">
        <v>927</v>
      </c>
      <c r="B459" s="607" t="s">
        <v>1235</v>
      </c>
      <c r="C459" s="690"/>
      <c r="D459" s="580"/>
      <c r="E459" s="581"/>
      <c r="F459" s="778"/>
      <c r="G459" s="581"/>
      <c r="H459" s="581"/>
      <c r="I459" s="949"/>
      <c r="J459" s="949"/>
      <c r="K459" s="825"/>
      <c r="L459" s="575"/>
      <c r="M459" s="809"/>
      <c r="N459" s="575"/>
      <c r="O459" s="575"/>
      <c r="P459" s="575"/>
      <c r="Q459" s="575"/>
      <c r="R459" s="575"/>
      <c r="S459" s="575"/>
      <c r="T459" s="809"/>
      <c r="U459" s="575"/>
      <c r="V459" s="575"/>
      <c r="W459" s="575"/>
      <c r="X459" s="575"/>
      <c r="Y459" s="575"/>
      <c r="Z459" s="575"/>
      <c r="AA459" s="809"/>
      <c r="AB459" s="817"/>
      <c r="AC459" s="575"/>
      <c r="AD459" s="575"/>
      <c r="AE459" s="753"/>
      <c r="AF459" s="575"/>
      <c r="AG459" s="575"/>
      <c r="AH459" s="842"/>
      <c r="AI459" s="1013">
        <f t="shared" si="21"/>
        <v>0</v>
      </c>
      <c r="AJ459" s="949">
        <v>0</v>
      </c>
      <c r="AK459" s="581">
        <f t="shared" si="22"/>
        <v>0</v>
      </c>
      <c r="AL459" s="750" t="s">
        <v>1699</v>
      </c>
      <c r="AM459" s="743">
        <f t="shared" si="23"/>
        <v>22.08</v>
      </c>
    </row>
    <row r="460" spans="1:39" s="560" customFormat="1" ht="13.2" customHeight="1">
      <c r="A460" s="604" t="s">
        <v>928</v>
      </c>
      <c r="B460" s="604" t="s">
        <v>1236</v>
      </c>
      <c r="C460" s="614" t="s">
        <v>36</v>
      </c>
      <c r="D460" s="580"/>
      <c r="E460" s="581"/>
      <c r="F460" s="778"/>
      <c r="G460" s="581"/>
      <c r="H460" s="581"/>
      <c r="I460" s="949"/>
      <c r="J460" s="949"/>
      <c r="K460" s="825"/>
      <c r="L460" s="575"/>
      <c r="M460" s="809"/>
      <c r="N460" s="575"/>
      <c r="O460" s="575"/>
      <c r="P460" s="575"/>
      <c r="Q460" s="575"/>
      <c r="R460" s="575"/>
      <c r="S460" s="575"/>
      <c r="T460" s="809"/>
      <c r="U460" s="575"/>
      <c r="V460" s="575"/>
      <c r="W460" s="575"/>
      <c r="X460" s="575"/>
      <c r="Y460" s="575"/>
      <c r="Z460" s="575"/>
      <c r="AA460" s="809"/>
      <c r="AB460" s="817"/>
      <c r="AC460" s="575"/>
      <c r="AD460" s="575"/>
      <c r="AE460" s="753"/>
      <c r="AF460" s="575"/>
      <c r="AG460" s="575"/>
      <c r="AH460" s="842"/>
      <c r="AI460" s="1013">
        <f t="shared" ref="AI460:AI523" si="24">ROUND((SUM(D460:AH460)),2)</f>
        <v>0</v>
      </c>
      <c r="AJ460" s="949">
        <v>0</v>
      </c>
      <c r="AK460" s="581">
        <f t="shared" si="22"/>
        <v>0</v>
      </c>
      <c r="AL460" s="750" t="s">
        <v>1700</v>
      </c>
      <c r="AM460" s="743">
        <f t="shared" si="23"/>
        <v>12.13</v>
      </c>
    </row>
    <row r="461" spans="1:39" s="560" customFormat="1" ht="13.2" customHeight="1">
      <c r="A461" s="604" t="s">
        <v>929</v>
      </c>
      <c r="B461" s="604" t="s">
        <v>1237</v>
      </c>
      <c r="C461" s="614" t="s">
        <v>36</v>
      </c>
      <c r="D461" s="580"/>
      <c r="E461" s="581"/>
      <c r="F461" s="778"/>
      <c r="G461" s="581"/>
      <c r="H461" s="581"/>
      <c r="I461" s="949"/>
      <c r="J461" s="949"/>
      <c r="K461" s="825"/>
      <c r="L461" s="575"/>
      <c r="M461" s="809"/>
      <c r="N461" s="575"/>
      <c r="O461" s="575"/>
      <c r="P461" s="575"/>
      <c r="Q461" s="575"/>
      <c r="R461" s="575"/>
      <c r="S461" s="575"/>
      <c r="T461" s="809"/>
      <c r="U461" s="575"/>
      <c r="V461" s="575"/>
      <c r="W461" s="575"/>
      <c r="X461" s="575"/>
      <c r="Y461" s="575"/>
      <c r="Z461" s="575"/>
      <c r="AA461" s="809"/>
      <c r="AB461" s="817"/>
      <c r="AC461" s="575"/>
      <c r="AD461" s="575"/>
      <c r="AE461" s="753"/>
      <c r="AF461" s="575"/>
      <c r="AG461" s="575"/>
      <c r="AH461" s="842"/>
      <c r="AI461" s="1013">
        <f t="shared" si="24"/>
        <v>0</v>
      </c>
      <c r="AJ461" s="949">
        <v>0</v>
      </c>
      <c r="AK461" s="581">
        <f t="shared" si="22"/>
        <v>0</v>
      </c>
      <c r="AL461" s="750" t="s">
        <v>1701</v>
      </c>
      <c r="AM461" s="743">
        <f t="shared" si="23"/>
        <v>9.9499999999999993</v>
      </c>
    </row>
    <row r="462" spans="1:39" s="560" customFormat="1" ht="13.2" customHeight="1">
      <c r="A462" s="604" t="s">
        <v>930</v>
      </c>
      <c r="B462" s="604" t="s">
        <v>1238</v>
      </c>
      <c r="C462" s="614" t="s">
        <v>36</v>
      </c>
      <c r="D462" s="580"/>
      <c r="E462" s="581"/>
      <c r="F462" s="778"/>
      <c r="G462" s="581"/>
      <c r="H462" s="581"/>
      <c r="I462" s="949"/>
      <c r="J462" s="949"/>
      <c r="K462" s="825"/>
      <c r="L462" s="575"/>
      <c r="M462" s="809"/>
      <c r="N462" s="575"/>
      <c r="O462" s="575"/>
      <c r="P462" s="575"/>
      <c r="Q462" s="575"/>
      <c r="R462" s="575"/>
      <c r="S462" s="575"/>
      <c r="T462" s="809"/>
      <c r="U462" s="575"/>
      <c r="V462" s="575"/>
      <c r="W462" s="575"/>
      <c r="X462" s="575"/>
      <c r="Y462" s="575"/>
      <c r="Z462" s="575"/>
      <c r="AA462" s="809"/>
      <c r="AB462" s="817"/>
      <c r="AC462" s="575"/>
      <c r="AD462" s="575"/>
      <c r="AE462" s="753"/>
      <c r="AF462" s="575"/>
      <c r="AG462" s="575"/>
      <c r="AH462" s="842"/>
      <c r="AI462" s="1013">
        <f t="shared" si="24"/>
        <v>0</v>
      </c>
      <c r="AJ462" s="949">
        <v>0</v>
      </c>
      <c r="AK462" s="581">
        <f t="shared" si="22"/>
        <v>0</v>
      </c>
      <c r="AL462" s="750"/>
      <c r="AM462" s="743">
        <f t="shared" si="23"/>
        <v>0</v>
      </c>
    </row>
    <row r="463" spans="1:39" s="560" customFormat="1" ht="13.2" customHeight="1">
      <c r="A463" s="607" t="s">
        <v>931</v>
      </c>
      <c r="B463" s="607" t="s">
        <v>1242</v>
      </c>
      <c r="C463" s="690"/>
      <c r="D463" s="580"/>
      <c r="E463" s="581"/>
      <c r="F463" s="778"/>
      <c r="G463" s="581"/>
      <c r="H463" s="581"/>
      <c r="I463" s="949"/>
      <c r="J463" s="949"/>
      <c r="K463" s="825"/>
      <c r="L463" s="575"/>
      <c r="M463" s="809"/>
      <c r="N463" s="575"/>
      <c r="O463" s="575"/>
      <c r="P463" s="575"/>
      <c r="Q463" s="575"/>
      <c r="R463" s="575"/>
      <c r="S463" s="575"/>
      <c r="T463" s="809"/>
      <c r="U463" s="575"/>
      <c r="V463" s="575"/>
      <c r="W463" s="575"/>
      <c r="X463" s="575"/>
      <c r="Y463" s="575"/>
      <c r="Z463" s="575"/>
      <c r="AA463" s="809"/>
      <c r="AB463" s="817"/>
      <c r="AC463" s="575"/>
      <c r="AD463" s="575"/>
      <c r="AE463" s="753"/>
      <c r="AF463" s="575"/>
      <c r="AG463" s="575"/>
      <c r="AH463" s="842"/>
      <c r="AI463" s="1013">
        <f t="shared" si="24"/>
        <v>0</v>
      </c>
      <c r="AJ463" s="949">
        <v>0</v>
      </c>
      <c r="AK463" s="581">
        <f t="shared" si="22"/>
        <v>0</v>
      </c>
      <c r="AL463" s="750" t="s">
        <v>1702</v>
      </c>
      <c r="AM463" s="743">
        <f t="shared" si="23"/>
        <v>8.93</v>
      </c>
    </row>
    <row r="464" spans="1:39" s="560" customFormat="1" ht="13.2" customHeight="1">
      <c r="A464" s="604" t="s">
        <v>932</v>
      </c>
      <c r="B464" s="604" t="s">
        <v>1243</v>
      </c>
      <c r="C464" s="614" t="s">
        <v>36</v>
      </c>
      <c r="D464" s="580"/>
      <c r="E464" s="581"/>
      <c r="F464" s="778"/>
      <c r="G464" s="581"/>
      <c r="H464" s="581"/>
      <c r="I464" s="949"/>
      <c r="J464" s="949"/>
      <c r="K464" s="825"/>
      <c r="L464" s="575"/>
      <c r="M464" s="809"/>
      <c r="N464" s="575"/>
      <c r="O464" s="575"/>
      <c r="P464" s="575"/>
      <c r="Q464" s="575"/>
      <c r="R464" s="575"/>
      <c r="S464" s="575"/>
      <c r="T464" s="809"/>
      <c r="U464" s="575"/>
      <c r="V464" s="575"/>
      <c r="W464" s="575"/>
      <c r="X464" s="575"/>
      <c r="Y464" s="575"/>
      <c r="Z464" s="575"/>
      <c r="AA464" s="809"/>
      <c r="AB464" s="817"/>
      <c r="AC464" s="575"/>
      <c r="AD464" s="575"/>
      <c r="AE464" s="753"/>
      <c r="AF464" s="575"/>
      <c r="AG464" s="575"/>
      <c r="AH464" s="842"/>
      <c r="AI464" s="1013">
        <f t="shared" si="24"/>
        <v>0</v>
      </c>
      <c r="AJ464" s="949">
        <v>0</v>
      </c>
      <c r="AK464" s="581">
        <f t="shared" si="22"/>
        <v>0</v>
      </c>
      <c r="AL464" s="750"/>
      <c r="AM464" s="743">
        <f t="shared" si="23"/>
        <v>0</v>
      </c>
    </row>
    <row r="465" spans="1:39" s="560" customFormat="1" ht="13.2" customHeight="1">
      <c r="A465" s="607" t="s">
        <v>933</v>
      </c>
      <c r="B465" s="607" t="s">
        <v>1244</v>
      </c>
      <c r="C465" s="690"/>
      <c r="D465" s="580"/>
      <c r="E465" s="581"/>
      <c r="F465" s="778"/>
      <c r="G465" s="581"/>
      <c r="H465" s="581"/>
      <c r="I465" s="949"/>
      <c r="J465" s="949"/>
      <c r="K465" s="825"/>
      <c r="L465" s="575"/>
      <c r="M465" s="809"/>
      <c r="N465" s="575"/>
      <c r="O465" s="575"/>
      <c r="P465" s="575"/>
      <c r="Q465" s="575"/>
      <c r="R465" s="575"/>
      <c r="S465" s="575"/>
      <c r="T465" s="809"/>
      <c r="U465" s="575"/>
      <c r="V465" s="575"/>
      <c r="W465" s="575"/>
      <c r="X465" s="575"/>
      <c r="Y465" s="575"/>
      <c r="Z465" s="575"/>
      <c r="AA465" s="809"/>
      <c r="AB465" s="817"/>
      <c r="AC465" s="575"/>
      <c r="AD465" s="575"/>
      <c r="AE465" s="753"/>
      <c r="AF465" s="575"/>
      <c r="AG465" s="575"/>
      <c r="AH465" s="842"/>
      <c r="AI465" s="1013">
        <f t="shared" si="24"/>
        <v>0</v>
      </c>
      <c r="AJ465" s="949">
        <v>0</v>
      </c>
      <c r="AK465" s="581">
        <f t="shared" si="22"/>
        <v>0</v>
      </c>
      <c r="AL465" s="750" t="s">
        <v>1703</v>
      </c>
      <c r="AM465" s="743">
        <f t="shared" si="23"/>
        <v>6.91</v>
      </c>
    </row>
    <row r="466" spans="1:39" s="560" customFormat="1" ht="13.2" customHeight="1">
      <c r="A466" s="604" t="s">
        <v>934</v>
      </c>
      <c r="B466" s="604" t="s">
        <v>1245</v>
      </c>
      <c r="C466" s="614" t="s">
        <v>36</v>
      </c>
      <c r="D466" s="580"/>
      <c r="E466" s="581"/>
      <c r="F466" s="778"/>
      <c r="G466" s="581"/>
      <c r="H466" s="581"/>
      <c r="I466" s="949"/>
      <c r="J466" s="949"/>
      <c r="K466" s="825"/>
      <c r="L466" s="575"/>
      <c r="M466" s="809"/>
      <c r="N466" s="575"/>
      <c r="O466" s="575"/>
      <c r="P466" s="575"/>
      <c r="Q466" s="575"/>
      <c r="R466" s="575"/>
      <c r="S466" s="575"/>
      <c r="T466" s="809"/>
      <c r="U466" s="575"/>
      <c r="V466" s="575"/>
      <c r="W466" s="575"/>
      <c r="X466" s="575"/>
      <c r="Y466" s="575"/>
      <c r="Z466" s="575"/>
      <c r="AA466" s="809"/>
      <c r="AB466" s="817"/>
      <c r="AC466" s="575"/>
      <c r="AD466" s="575"/>
      <c r="AE466" s="753"/>
      <c r="AF466" s="575"/>
      <c r="AG466" s="575"/>
      <c r="AH466" s="842"/>
      <c r="AI466" s="1013">
        <f t="shared" si="24"/>
        <v>0</v>
      </c>
      <c r="AJ466" s="949">
        <v>0</v>
      </c>
      <c r="AK466" s="581">
        <f t="shared" si="22"/>
        <v>0</v>
      </c>
      <c r="AL466" s="750" t="s">
        <v>1704</v>
      </c>
      <c r="AM466" s="743">
        <f t="shared" si="23"/>
        <v>8.86</v>
      </c>
    </row>
    <row r="467" spans="1:39" s="560" customFormat="1" ht="13.2" customHeight="1">
      <c r="A467" s="604" t="s">
        <v>935</v>
      </c>
      <c r="B467" s="604" t="s">
        <v>1272</v>
      </c>
      <c r="C467" s="614" t="s">
        <v>36</v>
      </c>
      <c r="D467" s="580"/>
      <c r="E467" s="581"/>
      <c r="F467" s="778"/>
      <c r="G467" s="581"/>
      <c r="H467" s="581"/>
      <c r="I467" s="949"/>
      <c r="J467" s="949"/>
      <c r="K467" s="825"/>
      <c r="L467" s="575"/>
      <c r="M467" s="809"/>
      <c r="N467" s="575"/>
      <c r="O467" s="575"/>
      <c r="P467" s="575"/>
      <c r="Q467" s="575"/>
      <c r="R467" s="575"/>
      <c r="S467" s="575"/>
      <c r="T467" s="809"/>
      <c r="U467" s="575"/>
      <c r="V467" s="575"/>
      <c r="W467" s="575"/>
      <c r="X467" s="575"/>
      <c r="Y467" s="575"/>
      <c r="Z467" s="575"/>
      <c r="AA467" s="809"/>
      <c r="AB467" s="817"/>
      <c r="AC467" s="575"/>
      <c r="AD467" s="575"/>
      <c r="AE467" s="753"/>
      <c r="AF467" s="575"/>
      <c r="AG467" s="575"/>
      <c r="AH467" s="842"/>
      <c r="AI467" s="1013">
        <f t="shared" si="24"/>
        <v>0</v>
      </c>
      <c r="AJ467" s="949">
        <v>0</v>
      </c>
      <c r="AK467" s="581">
        <f t="shared" si="22"/>
        <v>0</v>
      </c>
      <c r="AL467" s="750" t="s">
        <v>1705</v>
      </c>
      <c r="AM467" s="743">
        <f t="shared" si="23"/>
        <v>10.78</v>
      </c>
    </row>
    <row r="468" spans="1:39" s="560" customFormat="1" ht="13.2" customHeight="1">
      <c r="A468" s="604" t="s">
        <v>936</v>
      </c>
      <c r="B468" s="604" t="s">
        <v>1246</v>
      </c>
      <c r="C468" s="614" t="s">
        <v>37</v>
      </c>
      <c r="D468" s="580"/>
      <c r="E468" s="581"/>
      <c r="F468" s="778"/>
      <c r="G468" s="581"/>
      <c r="H468" s="581"/>
      <c r="I468" s="949"/>
      <c r="J468" s="949"/>
      <c r="K468" s="825"/>
      <c r="L468" s="575"/>
      <c r="M468" s="809"/>
      <c r="N468" s="575"/>
      <c r="O468" s="575"/>
      <c r="P468" s="575"/>
      <c r="Q468" s="575"/>
      <c r="R468" s="575"/>
      <c r="S468" s="575"/>
      <c r="T468" s="809"/>
      <c r="U468" s="575"/>
      <c r="V468" s="575"/>
      <c r="W468" s="575"/>
      <c r="X468" s="575"/>
      <c r="Y468" s="575"/>
      <c r="Z468" s="575"/>
      <c r="AA468" s="809"/>
      <c r="AB468" s="817"/>
      <c r="AC468" s="575"/>
      <c r="AD468" s="575"/>
      <c r="AE468" s="753"/>
      <c r="AF468" s="575"/>
      <c r="AG468" s="575"/>
      <c r="AH468" s="842"/>
      <c r="AI468" s="1013">
        <f t="shared" si="24"/>
        <v>0</v>
      </c>
      <c r="AJ468" s="949">
        <v>0</v>
      </c>
      <c r="AK468" s="581">
        <f t="shared" ref="AK468:AK531" si="25">AI468+AJ468</f>
        <v>0</v>
      </c>
      <c r="AL468" s="750" t="s">
        <v>1706</v>
      </c>
      <c r="AM468" s="743">
        <f t="shared" ref="AM468:AM531" si="26">AL468-AK468</f>
        <v>14.4</v>
      </c>
    </row>
    <row r="469" spans="1:39" s="560" customFormat="1" ht="13.2" customHeight="1">
      <c r="A469" s="604" t="s">
        <v>937</v>
      </c>
      <c r="B469" s="604" t="s">
        <v>1247</v>
      </c>
      <c r="C469" s="614" t="s">
        <v>37</v>
      </c>
      <c r="D469" s="580"/>
      <c r="E469" s="581"/>
      <c r="F469" s="778"/>
      <c r="G469" s="581"/>
      <c r="H469" s="581"/>
      <c r="I469" s="949"/>
      <c r="J469" s="949"/>
      <c r="K469" s="825"/>
      <c r="L469" s="575"/>
      <c r="M469" s="809"/>
      <c r="N469" s="575"/>
      <c r="O469" s="575"/>
      <c r="P469" s="575"/>
      <c r="Q469" s="575"/>
      <c r="R469" s="575"/>
      <c r="S469" s="575"/>
      <c r="T469" s="809"/>
      <c r="U469" s="575"/>
      <c r="V469" s="575"/>
      <c r="W469" s="575"/>
      <c r="X469" s="575"/>
      <c r="Y469" s="575"/>
      <c r="Z469" s="575"/>
      <c r="AA469" s="809"/>
      <c r="AB469" s="817"/>
      <c r="AC469" s="575"/>
      <c r="AD469" s="575"/>
      <c r="AE469" s="753"/>
      <c r="AF469" s="575"/>
      <c r="AG469" s="575"/>
      <c r="AH469" s="842"/>
      <c r="AI469" s="1013">
        <f t="shared" si="24"/>
        <v>0</v>
      </c>
      <c r="AJ469" s="949">
        <v>0</v>
      </c>
      <c r="AK469" s="581">
        <f t="shared" si="25"/>
        <v>0</v>
      </c>
      <c r="AL469" s="750"/>
      <c r="AM469" s="743">
        <f t="shared" si="26"/>
        <v>0</v>
      </c>
    </row>
    <row r="470" spans="1:39" s="560" customFormat="1" ht="13.2" customHeight="1">
      <c r="A470" s="607" t="s">
        <v>938</v>
      </c>
      <c r="B470" s="607" t="s">
        <v>1184</v>
      </c>
      <c r="C470" s="690"/>
      <c r="D470" s="580"/>
      <c r="E470" s="581"/>
      <c r="F470" s="778"/>
      <c r="G470" s="581"/>
      <c r="H470" s="581"/>
      <c r="I470" s="949"/>
      <c r="J470" s="949"/>
      <c r="K470" s="825"/>
      <c r="L470" s="575"/>
      <c r="M470" s="809"/>
      <c r="N470" s="575"/>
      <c r="O470" s="575"/>
      <c r="P470" s="575"/>
      <c r="Q470" s="575"/>
      <c r="R470" s="575"/>
      <c r="S470" s="575"/>
      <c r="T470" s="809"/>
      <c r="U470" s="575"/>
      <c r="V470" s="575"/>
      <c r="W470" s="575"/>
      <c r="X470" s="575"/>
      <c r="Y470" s="575"/>
      <c r="Z470" s="575"/>
      <c r="AA470" s="809"/>
      <c r="AB470" s="817"/>
      <c r="AC470" s="575"/>
      <c r="AD470" s="575"/>
      <c r="AE470" s="753"/>
      <c r="AF470" s="575"/>
      <c r="AG470" s="575"/>
      <c r="AH470" s="842"/>
      <c r="AI470" s="1013">
        <f t="shared" si="24"/>
        <v>0</v>
      </c>
      <c r="AJ470" s="949">
        <v>0</v>
      </c>
      <c r="AK470" s="581">
        <f t="shared" si="25"/>
        <v>0</v>
      </c>
      <c r="AL470" s="750" t="s">
        <v>1707</v>
      </c>
      <c r="AM470" s="743">
        <f t="shared" si="26"/>
        <v>21.28</v>
      </c>
    </row>
    <row r="471" spans="1:39" s="560" customFormat="1" ht="13.2" customHeight="1">
      <c r="A471" s="604" t="s">
        <v>939</v>
      </c>
      <c r="B471" s="604" t="s">
        <v>1248</v>
      </c>
      <c r="C471" s="614" t="s">
        <v>36</v>
      </c>
      <c r="D471" s="580"/>
      <c r="E471" s="581"/>
      <c r="F471" s="778"/>
      <c r="G471" s="581"/>
      <c r="H471" s="581"/>
      <c r="I471" s="949"/>
      <c r="J471" s="949"/>
      <c r="K471" s="825"/>
      <c r="L471" s="575"/>
      <c r="M471" s="809"/>
      <c r="N471" s="575"/>
      <c r="O471" s="575"/>
      <c r="P471" s="575"/>
      <c r="Q471" s="575"/>
      <c r="R471" s="575"/>
      <c r="S471" s="575"/>
      <c r="T471" s="809"/>
      <c r="U471" s="575"/>
      <c r="V471" s="575"/>
      <c r="W471" s="575"/>
      <c r="X471" s="575"/>
      <c r="Y471" s="575"/>
      <c r="Z471" s="575"/>
      <c r="AA471" s="809"/>
      <c r="AB471" s="817"/>
      <c r="AC471" s="575"/>
      <c r="AD471" s="575"/>
      <c r="AE471" s="753"/>
      <c r="AF471" s="575"/>
      <c r="AG471" s="575"/>
      <c r="AH471" s="842"/>
      <c r="AI471" s="1013">
        <f t="shared" si="24"/>
        <v>0</v>
      </c>
      <c r="AJ471" s="949">
        <v>0</v>
      </c>
      <c r="AK471" s="581">
        <f t="shared" si="25"/>
        <v>0</v>
      </c>
      <c r="AL471" s="750" t="s">
        <v>1675</v>
      </c>
      <c r="AM471" s="743">
        <f t="shared" si="26"/>
        <v>6.15</v>
      </c>
    </row>
    <row r="472" spans="1:39" s="560" customFormat="1" ht="13.2" customHeight="1">
      <c r="A472" s="604" t="s">
        <v>940</v>
      </c>
      <c r="B472" s="604" t="s">
        <v>1249</v>
      </c>
      <c r="C472" s="614" t="s">
        <v>37</v>
      </c>
      <c r="D472" s="580"/>
      <c r="E472" s="581"/>
      <c r="F472" s="778"/>
      <c r="G472" s="581"/>
      <c r="H472" s="581"/>
      <c r="I472" s="949"/>
      <c r="J472" s="949"/>
      <c r="K472" s="825"/>
      <c r="L472" s="575"/>
      <c r="M472" s="809"/>
      <c r="N472" s="575"/>
      <c r="O472" s="575"/>
      <c r="P472" s="575"/>
      <c r="Q472" s="575"/>
      <c r="R472" s="575"/>
      <c r="S472" s="575"/>
      <c r="T472" s="809"/>
      <c r="U472" s="575"/>
      <c r="V472" s="575"/>
      <c r="W472" s="575"/>
      <c r="X472" s="575"/>
      <c r="Y472" s="575"/>
      <c r="Z472" s="575"/>
      <c r="AA472" s="809"/>
      <c r="AB472" s="817"/>
      <c r="AC472" s="575"/>
      <c r="AD472" s="575"/>
      <c r="AE472" s="753"/>
      <c r="AF472" s="575"/>
      <c r="AG472" s="575"/>
      <c r="AH472" s="842"/>
      <c r="AI472" s="1013">
        <f t="shared" si="24"/>
        <v>0</v>
      </c>
      <c r="AJ472" s="949">
        <v>0</v>
      </c>
      <c r="AK472" s="581">
        <f t="shared" si="25"/>
        <v>0</v>
      </c>
      <c r="AL472" s="750"/>
      <c r="AM472" s="743">
        <f t="shared" si="26"/>
        <v>0</v>
      </c>
    </row>
    <row r="473" spans="1:39" s="560" customFormat="1" ht="13.2" customHeight="1">
      <c r="A473" s="607" t="s">
        <v>941</v>
      </c>
      <c r="B473" s="607" t="s">
        <v>1250</v>
      </c>
      <c r="C473" s="690"/>
      <c r="D473" s="580"/>
      <c r="E473" s="581"/>
      <c r="F473" s="778"/>
      <c r="G473" s="581"/>
      <c r="H473" s="581"/>
      <c r="I473" s="949"/>
      <c r="J473" s="949"/>
      <c r="K473" s="825"/>
      <c r="L473" s="575"/>
      <c r="M473" s="809"/>
      <c r="N473" s="575"/>
      <c r="O473" s="575"/>
      <c r="P473" s="575"/>
      <c r="Q473" s="575"/>
      <c r="R473" s="575"/>
      <c r="S473" s="575"/>
      <c r="T473" s="809"/>
      <c r="U473" s="575"/>
      <c r="V473" s="575"/>
      <c r="W473" s="575"/>
      <c r="X473" s="575"/>
      <c r="Y473" s="575"/>
      <c r="Z473" s="575"/>
      <c r="AA473" s="809"/>
      <c r="AB473" s="817"/>
      <c r="AC473" s="575"/>
      <c r="AD473" s="575"/>
      <c r="AE473" s="753"/>
      <c r="AF473" s="575"/>
      <c r="AG473" s="575"/>
      <c r="AH473" s="842"/>
      <c r="AI473" s="1013">
        <f t="shared" si="24"/>
        <v>0</v>
      </c>
      <c r="AJ473" s="949">
        <v>0</v>
      </c>
      <c r="AK473" s="581">
        <f t="shared" si="25"/>
        <v>0</v>
      </c>
      <c r="AL473" s="750" t="s">
        <v>1708</v>
      </c>
      <c r="AM473" s="743">
        <f t="shared" si="26"/>
        <v>1.89</v>
      </c>
    </row>
    <row r="474" spans="1:39" s="560" customFormat="1" ht="13.2" customHeight="1">
      <c r="A474" s="604" t="s">
        <v>942</v>
      </c>
      <c r="B474" s="604" t="s">
        <v>1251</v>
      </c>
      <c r="C474" s="614" t="s">
        <v>36</v>
      </c>
      <c r="D474" s="580"/>
      <c r="E474" s="581"/>
      <c r="F474" s="778"/>
      <c r="G474" s="581"/>
      <c r="H474" s="581"/>
      <c r="I474" s="949"/>
      <c r="J474" s="949"/>
      <c r="K474" s="825"/>
      <c r="L474" s="575"/>
      <c r="M474" s="809"/>
      <c r="N474" s="575"/>
      <c r="O474" s="575"/>
      <c r="P474" s="575"/>
      <c r="Q474" s="575"/>
      <c r="R474" s="575"/>
      <c r="S474" s="575"/>
      <c r="T474" s="809"/>
      <c r="U474" s="575"/>
      <c r="V474" s="575"/>
      <c r="W474" s="575"/>
      <c r="X474" s="575"/>
      <c r="Y474" s="575"/>
      <c r="Z474" s="575"/>
      <c r="AA474" s="809"/>
      <c r="AB474" s="817"/>
      <c r="AC474" s="575"/>
      <c r="AD474" s="575"/>
      <c r="AE474" s="753"/>
      <c r="AF474" s="575"/>
      <c r="AG474" s="575"/>
      <c r="AH474" s="842"/>
      <c r="AI474" s="1013">
        <f t="shared" si="24"/>
        <v>0</v>
      </c>
      <c r="AJ474" s="949">
        <v>0</v>
      </c>
      <c r="AK474" s="581">
        <f t="shared" si="25"/>
        <v>0</v>
      </c>
      <c r="AL474" s="750" t="s">
        <v>1709</v>
      </c>
      <c r="AM474" s="743">
        <f t="shared" si="26"/>
        <v>3.15</v>
      </c>
    </row>
    <row r="475" spans="1:39" s="560" customFormat="1" ht="13.2" customHeight="1">
      <c r="A475" s="604" t="s">
        <v>943</v>
      </c>
      <c r="B475" s="604" t="s">
        <v>1281</v>
      </c>
      <c r="C475" s="614" t="s">
        <v>36</v>
      </c>
      <c r="D475" s="580"/>
      <c r="E475" s="581"/>
      <c r="F475" s="778"/>
      <c r="G475" s="581"/>
      <c r="H475" s="581"/>
      <c r="I475" s="949"/>
      <c r="J475" s="949"/>
      <c r="K475" s="825"/>
      <c r="L475" s="575"/>
      <c r="M475" s="809"/>
      <c r="N475" s="575"/>
      <c r="O475" s="575"/>
      <c r="P475" s="575"/>
      <c r="Q475" s="575"/>
      <c r="R475" s="575"/>
      <c r="S475" s="575"/>
      <c r="T475" s="809"/>
      <c r="U475" s="575"/>
      <c r="V475" s="575"/>
      <c r="W475" s="575"/>
      <c r="X475" s="575"/>
      <c r="Y475" s="575"/>
      <c r="Z475" s="575"/>
      <c r="AA475" s="809"/>
      <c r="AB475" s="817"/>
      <c r="AC475" s="575"/>
      <c r="AD475" s="575"/>
      <c r="AE475" s="753"/>
      <c r="AF475" s="575"/>
      <c r="AG475" s="575"/>
      <c r="AH475" s="842"/>
      <c r="AI475" s="1013">
        <f t="shared" si="24"/>
        <v>0</v>
      </c>
      <c r="AJ475" s="949">
        <v>0</v>
      </c>
      <c r="AK475" s="581">
        <f t="shared" si="25"/>
        <v>0</v>
      </c>
      <c r="AL475" s="750"/>
      <c r="AM475" s="743">
        <f t="shared" si="26"/>
        <v>0</v>
      </c>
    </row>
    <row r="476" spans="1:39" s="560" customFormat="1" ht="13.2" customHeight="1">
      <c r="A476" s="607" t="s">
        <v>944</v>
      </c>
      <c r="B476" s="607" t="s">
        <v>1252</v>
      </c>
      <c r="C476" s="690"/>
      <c r="D476" s="580"/>
      <c r="E476" s="581"/>
      <c r="F476" s="778"/>
      <c r="G476" s="581"/>
      <c r="H476" s="581"/>
      <c r="I476" s="949"/>
      <c r="J476" s="949"/>
      <c r="K476" s="825"/>
      <c r="L476" s="575"/>
      <c r="M476" s="809"/>
      <c r="N476" s="575"/>
      <c r="O476" s="575"/>
      <c r="P476" s="575"/>
      <c r="Q476" s="575"/>
      <c r="R476" s="575"/>
      <c r="S476" s="575"/>
      <c r="T476" s="809"/>
      <c r="U476" s="575"/>
      <c r="V476" s="575"/>
      <c r="W476" s="575"/>
      <c r="X476" s="575"/>
      <c r="Y476" s="575"/>
      <c r="Z476" s="575"/>
      <c r="AA476" s="809"/>
      <c r="AB476" s="817"/>
      <c r="AC476" s="575"/>
      <c r="AD476" s="575"/>
      <c r="AE476" s="753"/>
      <c r="AF476" s="575"/>
      <c r="AG476" s="575"/>
      <c r="AH476" s="842"/>
      <c r="AI476" s="1013">
        <f t="shared" si="24"/>
        <v>0</v>
      </c>
      <c r="AJ476" s="949">
        <v>0</v>
      </c>
      <c r="AK476" s="581">
        <f t="shared" si="25"/>
        <v>0</v>
      </c>
      <c r="AL476" s="750" t="s">
        <v>1627</v>
      </c>
      <c r="AM476" s="743">
        <f t="shared" si="26"/>
        <v>9</v>
      </c>
    </row>
    <row r="477" spans="1:39" s="560" customFormat="1" ht="13.2" customHeight="1">
      <c r="A477" s="604" t="s">
        <v>945</v>
      </c>
      <c r="B477" s="604" t="s">
        <v>1253</v>
      </c>
      <c r="C477" s="614" t="s">
        <v>1437</v>
      </c>
      <c r="D477" s="580"/>
      <c r="E477" s="581"/>
      <c r="F477" s="778"/>
      <c r="G477" s="581"/>
      <c r="H477" s="581"/>
      <c r="I477" s="949"/>
      <c r="J477" s="949"/>
      <c r="K477" s="825"/>
      <c r="L477" s="575"/>
      <c r="M477" s="809"/>
      <c r="N477" s="575"/>
      <c r="O477" s="575"/>
      <c r="P477" s="575"/>
      <c r="Q477" s="575"/>
      <c r="R477" s="575"/>
      <c r="S477" s="575"/>
      <c r="T477" s="809"/>
      <c r="U477" s="575"/>
      <c r="V477" s="575"/>
      <c r="W477" s="575"/>
      <c r="X477" s="575"/>
      <c r="Y477" s="575"/>
      <c r="Z477" s="575"/>
      <c r="AA477" s="809"/>
      <c r="AB477" s="817"/>
      <c r="AC477" s="575"/>
      <c r="AD477" s="575"/>
      <c r="AE477" s="753"/>
      <c r="AF477" s="575"/>
      <c r="AG477" s="575"/>
      <c r="AH477" s="842"/>
      <c r="AI477" s="1013">
        <f t="shared" si="24"/>
        <v>0</v>
      </c>
      <c r="AJ477" s="949">
        <v>0</v>
      </c>
      <c r="AK477" s="581">
        <f t="shared" si="25"/>
        <v>0</v>
      </c>
      <c r="AL477" s="750" t="s">
        <v>1441</v>
      </c>
      <c r="AM477" s="743">
        <f t="shared" si="26"/>
        <v>1</v>
      </c>
    </row>
    <row r="478" spans="1:39" s="560" customFormat="1" ht="13.2" customHeight="1">
      <c r="A478" s="604" t="s">
        <v>946</v>
      </c>
      <c r="B478" s="604" t="s">
        <v>1254</v>
      </c>
      <c r="C478" s="614" t="s">
        <v>35</v>
      </c>
      <c r="D478" s="580"/>
      <c r="E478" s="581"/>
      <c r="F478" s="778"/>
      <c r="G478" s="581"/>
      <c r="H478" s="581"/>
      <c r="I478" s="949"/>
      <c r="J478" s="949"/>
      <c r="K478" s="825"/>
      <c r="L478" s="575"/>
      <c r="M478" s="809"/>
      <c r="N478" s="575"/>
      <c r="O478" s="575"/>
      <c r="P478" s="575"/>
      <c r="Q478" s="575"/>
      <c r="R478" s="575"/>
      <c r="S478" s="575"/>
      <c r="T478" s="809"/>
      <c r="U478" s="575"/>
      <c r="V478" s="575"/>
      <c r="W478" s="575"/>
      <c r="X478" s="575"/>
      <c r="Y478" s="575"/>
      <c r="Z478" s="575"/>
      <c r="AA478" s="809"/>
      <c r="AB478" s="817"/>
      <c r="AC478" s="575"/>
      <c r="AD478" s="575"/>
      <c r="AE478" s="753"/>
      <c r="AF478" s="575"/>
      <c r="AG478" s="575"/>
      <c r="AH478" s="842"/>
      <c r="AI478" s="1013">
        <f t="shared" si="24"/>
        <v>0</v>
      </c>
      <c r="AJ478" s="949">
        <v>0</v>
      </c>
      <c r="AK478" s="581">
        <f t="shared" si="25"/>
        <v>0</v>
      </c>
      <c r="AL478" s="750" t="s">
        <v>1684</v>
      </c>
      <c r="AM478" s="743">
        <f t="shared" si="26"/>
        <v>2</v>
      </c>
    </row>
    <row r="479" spans="1:39" s="560" customFormat="1" ht="13.2" customHeight="1">
      <c r="A479" s="604" t="s">
        <v>947</v>
      </c>
      <c r="B479" s="604" t="s">
        <v>1282</v>
      </c>
      <c r="C479" s="614" t="s">
        <v>35</v>
      </c>
      <c r="D479" s="580"/>
      <c r="E479" s="581"/>
      <c r="F479" s="778"/>
      <c r="G479" s="581"/>
      <c r="H479" s="581"/>
      <c r="I479" s="949"/>
      <c r="J479" s="949"/>
      <c r="K479" s="825"/>
      <c r="L479" s="575"/>
      <c r="M479" s="809"/>
      <c r="N479" s="575"/>
      <c r="O479" s="575"/>
      <c r="P479" s="575"/>
      <c r="Q479" s="575"/>
      <c r="R479" s="575"/>
      <c r="S479" s="575"/>
      <c r="T479" s="809"/>
      <c r="U479" s="575"/>
      <c r="V479" s="575"/>
      <c r="W479" s="575"/>
      <c r="X479" s="575"/>
      <c r="Y479" s="575"/>
      <c r="Z479" s="575"/>
      <c r="AA479" s="809"/>
      <c r="AB479" s="817"/>
      <c r="AC479" s="575"/>
      <c r="AD479" s="575"/>
      <c r="AE479" s="753"/>
      <c r="AF479" s="575"/>
      <c r="AG479" s="575"/>
      <c r="AH479" s="842"/>
      <c r="AI479" s="1013">
        <f t="shared" si="24"/>
        <v>0</v>
      </c>
      <c r="AJ479" s="949">
        <v>0</v>
      </c>
      <c r="AK479" s="581">
        <f t="shared" si="25"/>
        <v>0</v>
      </c>
      <c r="AL479" s="750"/>
      <c r="AM479" s="743">
        <f t="shared" si="26"/>
        <v>0</v>
      </c>
    </row>
    <row r="480" spans="1:39" s="560" customFormat="1" ht="13.2" customHeight="1">
      <c r="A480" s="607" t="s">
        <v>948</v>
      </c>
      <c r="B480" s="607" t="s">
        <v>1255</v>
      </c>
      <c r="C480" s="690"/>
      <c r="D480" s="580"/>
      <c r="E480" s="581"/>
      <c r="F480" s="778"/>
      <c r="G480" s="581"/>
      <c r="H480" s="581"/>
      <c r="I480" s="949"/>
      <c r="J480" s="949"/>
      <c r="K480" s="825"/>
      <c r="L480" s="575"/>
      <c r="M480" s="809"/>
      <c r="N480" s="575"/>
      <c r="O480" s="575"/>
      <c r="P480" s="575"/>
      <c r="Q480" s="575"/>
      <c r="R480" s="575"/>
      <c r="S480" s="575"/>
      <c r="T480" s="809"/>
      <c r="U480" s="575"/>
      <c r="V480" s="575"/>
      <c r="W480" s="575"/>
      <c r="X480" s="575"/>
      <c r="Y480" s="575"/>
      <c r="Z480" s="575"/>
      <c r="AA480" s="809"/>
      <c r="AB480" s="817"/>
      <c r="AC480" s="575"/>
      <c r="AD480" s="575"/>
      <c r="AE480" s="753"/>
      <c r="AF480" s="575"/>
      <c r="AG480" s="575"/>
      <c r="AH480" s="842"/>
      <c r="AI480" s="1013">
        <f t="shared" si="24"/>
        <v>0</v>
      </c>
      <c r="AJ480" s="949">
        <v>0</v>
      </c>
      <c r="AK480" s="581">
        <f t="shared" si="25"/>
        <v>0</v>
      </c>
      <c r="AL480" s="750" t="s">
        <v>1710</v>
      </c>
      <c r="AM480" s="743">
        <f t="shared" si="26"/>
        <v>4.96</v>
      </c>
    </row>
    <row r="481" spans="1:39" s="560" customFormat="1" ht="13.2" customHeight="1">
      <c r="A481" s="604" t="s">
        <v>949</v>
      </c>
      <c r="B481" s="604" t="s">
        <v>1256</v>
      </c>
      <c r="C481" s="614" t="s">
        <v>36</v>
      </c>
      <c r="D481" s="580"/>
      <c r="E481" s="581"/>
      <c r="F481" s="778"/>
      <c r="G481" s="581"/>
      <c r="H481" s="581"/>
      <c r="I481" s="949"/>
      <c r="J481" s="949"/>
      <c r="K481" s="825"/>
      <c r="L481" s="575"/>
      <c r="M481" s="809"/>
      <c r="N481" s="575"/>
      <c r="O481" s="575"/>
      <c r="P481" s="575"/>
      <c r="Q481" s="575"/>
      <c r="R481" s="575"/>
      <c r="S481" s="575"/>
      <c r="T481" s="809"/>
      <c r="U481" s="575"/>
      <c r="V481" s="575"/>
      <c r="W481" s="575"/>
      <c r="X481" s="575"/>
      <c r="Y481" s="575"/>
      <c r="Z481" s="575"/>
      <c r="AA481" s="809"/>
      <c r="AB481" s="817"/>
      <c r="AC481" s="575"/>
      <c r="AD481" s="575"/>
      <c r="AE481" s="753"/>
      <c r="AF481" s="575"/>
      <c r="AG481" s="575"/>
      <c r="AH481" s="842"/>
      <c r="AI481" s="1013">
        <f t="shared" si="24"/>
        <v>0</v>
      </c>
      <c r="AJ481" s="949">
        <v>0</v>
      </c>
      <c r="AK481" s="581">
        <f t="shared" si="25"/>
        <v>0</v>
      </c>
      <c r="AL481" s="750" t="s">
        <v>1474</v>
      </c>
      <c r="AM481" s="743">
        <f t="shared" si="26"/>
        <v>1.2</v>
      </c>
    </row>
    <row r="482" spans="1:39" s="560" customFormat="1" ht="13.2" customHeight="1">
      <c r="A482" s="604" t="s">
        <v>950</v>
      </c>
      <c r="B482" s="604" t="s">
        <v>1257</v>
      </c>
      <c r="C482" s="614" t="s">
        <v>36</v>
      </c>
      <c r="D482" s="580"/>
      <c r="E482" s="581"/>
      <c r="F482" s="778"/>
      <c r="G482" s="581"/>
      <c r="H482" s="581"/>
      <c r="I482" s="949"/>
      <c r="J482" s="949"/>
      <c r="K482" s="825"/>
      <c r="L482" s="575"/>
      <c r="M482" s="809"/>
      <c r="N482" s="575"/>
      <c r="O482" s="575"/>
      <c r="P482" s="575"/>
      <c r="Q482" s="575"/>
      <c r="R482" s="575"/>
      <c r="S482" s="575"/>
      <c r="T482" s="809"/>
      <c r="U482" s="575"/>
      <c r="V482" s="575"/>
      <c r="W482" s="575"/>
      <c r="X482" s="575"/>
      <c r="Y482" s="575"/>
      <c r="Z482" s="575"/>
      <c r="AA482" s="809"/>
      <c r="AB482" s="817"/>
      <c r="AC482" s="575"/>
      <c r="AD482" s="575"/>
      <c r="AE482" s="753"/>
      <c r="AF482" s="575"/>
      <c r="AG482" s="575"/>
      <c r="AH482" s="842"/>
      <c r="AI482" s="1013">
        <f t="shared" si="24"/>
        <v>0</v>
      </c>
      <c r="AJ482" s="949">
        <v>0</v>
      </c>
      <c r="AK482" s="581">
        <f t="shared" si="25"/>
        <v>0</v>
      </c>
      <c r="AL482" s="750"/>
      <c r="AM482" s="743">
        <f t="shared" si="26"/>
        <v>0</v>
      </c>
    </row>
    <row r="483" spans="1:39" s="560" customFormat="1" ht="13.2" customHeight="1">
      <c r="A483" s="607" t="s">
        <v>951</v>
      </c>
      <c r="B483" s="607" t="s">
        <v>1258</v>
      </c>
      <c r="C483" s="690"/>
      <c r="D483" s="580"/>
      <c r="E483" s="581"/>
      <c r="F483" s="778"/>
      <c r="G483" s="581"/>
      <c r="H483" s="581"/>
      <c r="I483" s="949"/>
      <c r="J483" s="949"/>
      <c r="K483" s="825"/>
      <c r="L483" s="575"/>
      <c r="M483" s="809"/>
      <c r="N483" s="575"/>
      <c r="O483" s="575"/>
      <c r="P483" s="575"/>
      <c r="Q483" s="575"/>
      <c r="R483" s="575"/>
      <c r="S483" s="575"/>
      <c r="T483" s="809"/>
      <c r="U483" s="575"/>
      <c r="V483" s="575"/>
      <c r="W483" s="575"/>
      <c r="X483" s="575"/>
      <c r="Y483" s="575"/>
      <c r="Z483" s="575"/>
      <c r="AA483" s="809"/>
      <c r="AB483" s="817"/>
      <c r="AC483" s="575"/>
      <c r="AD483" s="575"/>
      <c r="AE483" s="753"/>
      <c r="AF483" s="575"/>
      <c r="AG483" s="575"/>
      <c r="AH483" s="842"/>
      <c r="AI483" s="1013">
        <f t="shared" si="24"/>
        <v>0</v>
      </c>
      <c r="AJ483" s="949">
        <v>0</v>
      </c>
      <c r="AK483" s="581">
        <f t="shared" si="25"/>
        <v>0</v>
      </c>
      <c r="AL483" s="750" t="s">
        <v>1698</v>
      </c>
      <c r="AM483" s="743">
        <f t="shared" si="26"/>
        <v>33.950000000000003</v>
      </c>
    </row>
    <row r="484" spans="1:39" s="560" customFormat="1" ht="13.2" customHeight="1">
      <c r="A484" s="604" t="s">
        <v>952</v>
      </c>
      <c r="B484" s="604" t="s">
        <v>1259</v>
      </c>
      <c r="C484" s="614" t="s">
        <v>36</v>
      </c>
      <c r="D484" s="580"/>
      <c r="E484" s="581"/>
      <c r="F484" s="778"/>
      <c r="G484" s="581"/>
      <c r="H484" s="581"/>
      <c r="I484" s="949"/>
      <c r="J484" s="949"/>
      <c r="K484" s="825"/>
      <c r="L484" s="575"/>
      <c r="M484" s="809"/>
      <c r="N484" s="575"/>
      <c r="O484" s="575"/>
      <c r="P484" s="575"/>
      <c r="Q484" s="575"/>
      <c r="R484" s="575"/>
      <c r="S484" s="575"/>
      <c r="T484" s="809"/>
      <c r="U484" s="575"/>
      <c r="V484" s="575"/>
      <c r="W484" s="575"/>
      <c r="X484" s="575"/>
      <c r="Y484" s="575"/>
      <c r="Z484" s="575"/>
      <c r="AA484" s="809"/>
      <c r="AB484" s="817"/>
      <c r="AC484" s="575"/>
      <c r="AD484" s="575"/>
      <c r="AE484" s="753"/>
      <c r="AF484" s="575"/>
      <c r="AG484" s="575"/>
      <c r="AH484" s="842"/>
      <c r="AI484" s="1013">
        <f t="shared" si="24"/>
        <v>0</v>
      </c>
      <c r="AJ484" s="949">
        <v>0</v>
      </c>
      <c r="AK484" s="581">
        <f t="shared" si="25"/>
        <v>0</v>
      </c>
      <c r="AL484" s="750" t="s">
        <v>1691</v>
      </c>
      <c r="AM484" s="743">
        <f t="shared" si="26"/>
        <v>77.680000000000007</v>
      </c>
    </row>
    <row r="485" spans="1:39" s="560" customFormat="1" ht="13.2" customHeight="1">
      <c r="A485" s="604" t="s">
        <v>953</v>
      </c>
      <c r="B485" s="604" t="s">
        <v>1260</v>
      </c>
      <c r="C485" s="614" t="s">
        <v>36</v>
      </c>
      <c r="D485" s="580"/>
      <c r="E485" s="581"/>
      <c r="F485" s="778"/>
      <c r="G485" s="581"/>
      <c r="H485" s="581"/>
      <c r="I485" s="949"/>
      <c r="J485" s="949"/>
      <c r="K485" s="825"/>
      <c r="L485" s="575"/>
      <c r="M485" s="809"/>
      <c r="N485" s="575"/>
      <c r="O485" s="575"/>
      <c r="P485" s="575"/>
      <c r="Q485" s="575"/>
      <c r="R485" s="575"/>
      <c r="S485" s="575"/>
      <c r="T485" s="809"/>
      <c r="U485" s="575"/>
      <c r="V485" s="575"/>
      <c r="W485" s="575"/>
      <c r="X485" s="575"/>
      <c r="Y485" s="575"/>
      <c r="Z485" s="575"/>
      <c r="AA485" s="809"/>
      <c r="AB485" s="817"/>
      <c r="AC485" s="575"/>
      <c r="AD485" s="575"/>
      <c r="AE485" s="753"/>
      <c r="AF485" s="575"/>
      <c r="AG485" s="575"/>
      <c r="AH485" s="842"/>
      <c r="AI485" s="1013">
        <f t="shared" si="24"/>
        <v>0</v>
      </c>
      <c r="AJ485" s="949">
        <v>0</v>
      </c>
      <c r="AK485" s="581">
        <f t="shared" si="25"/>
        <v>0</v>
      </c>
      <c r="AL485" s="750" t="s">
        <v>1692</v>
      </c>
      <c r="AM485" s="743">
        <f t="shared" si="26"/>
        <v>51.98</v>
      </c>
    </row>
    <row r="486" spans="1:39" s="560" customFormat="1" ht="13.2" customHeight="1">
      <c r="A486" s="604" t="s">
        <v>954</v>
      </c>
      <c r="B486" s="604" t="s">
        <v>1261</v>
      </c>
      <c r="C486" s="614" t="s">
        <v>36</v>
      </c>
      <c r="D486" s="580"/>
      <c r="E486" s="581"/>
      <c r="F486" s="778"/>
      <c r="G486" s="581"/>
      <c r="H486" s="581"/>
      <c r="I486" s="949"/>
      <c r="J486" s="949"/>
      <c r="K486" s="825"/>
      <c r="L486" s="575"/>
      <c r="M486" s="809"/>
      <c r="N486" s="575"/>
      <c r="O486" s="575"/>
      <c r="P486" s="575"/>
      <c r="Q486" s="575"/>
      <c r="R486" s="575"/>
      <c r="S486" s="575"/>
      <c r="T486" s="809"/>
      <c r="U486" s="575"/>
      <c r="V486" s="575"/>
      <c r="W486" s="575"/>
      <c r="X486" s="575"/>
      <c r="Y486" s="575"/>
      <c r="Z486" s="575"/>
      <c r="AA486" s="809"/>
      <c r="AB486" s="817"/>
      <c r="AC486" s="575"/>
      <c r="AD486" s="575"/>
      <c r="AE486" s="753"/>
      <c r="AF486" s="575"/>
      <c r="AG486" s="575"/>
      <c r="AH486" s="842"/>
      <c r="AI486" s="1013">
        <f t="shared" si="24"/>
        <v>0</v>
      </c>
      <c r="AJ486" s="949">
        <v>0</v>
      </c>
      <c r="AK486" s="581">
        <f t="shared" si="25"/>
        <v>0</v>
      </c>
      <c r="AL486" s="750" t="s">
        <v>1693</v>
      </c>
      <c r="AM486" s="743">
        <f t="shared" si="26"/>
        <v>12</v>
      </c>
    </row>
    <row r="487" spans="1:39" s="560" customFormat="1" ht="13.2" customHeight="1">
      <c r="A487" s="604" t="s">
        <v>955</v>
      </c>
      <c r="B487" s="604" t="s">
        <v>1262</v>
      </c>
      <c r="C487" s="614" t="s">
        <v>36</v>
      </c>
      <c r="D487" s="580"/>
      <c r="E487" s="581"/>
      <c r="F487" s="778"/>
      <c r="G487" s="581"/>
      <c r="H487" s="581"/>
      <c r="I487" s="949"/>
      <c r="J487" s="949"/>
      <c r="K487" s="825"/>
      <c r="L487" s="575"/>
      <c r="M487" s="809"/>
      <c r="N487" s="575"/>
      <c r="O487" s="575"/>
      <c r="P487" s="575"/>
      <c r="Q487" s="575"/>
      <c r="R487" s="575"/>
      <c r="S487" s="575"/>
      <c r="T487" s="809"/>
      <c r="U487" s="575"/>
      <c r="V487" s="575"/>
      <c r="W487" s="575"/>
      <c r="X487" s="575"/>
      <c r="Y487" s="575"/>
      <c r="Z487" s="575"/>
      <c r="AA487" s="809"/>
      <c r="AB487" s="817"/>
      <c r="AC487" s="575"/>
      <c r="AD487" s="575"/>
      <c r="AE487" s="753"/>
      <c r="AF487" s="575"/>
      <c r="AG487" s="575"/>
      <c r="AH487" s="842"/>
      <c r="AI487" s="1013">
        <f t="shared" si="24"/>
        <v>0</v>
      </c>
      <c r="AJ487" s="949">
        <v>0</v>
      </c>
      <c r="AK487" s="581">
        <f t="shared" si="25"/>
        <v>0</v>
      </c>
      <c r="AL487" s="750" t="s">
        <v>1694</v>
      </c>
      <c r="AM487" s="743">
        <f t="shared" si="26"/>
        <v>19.97</v>
      </c>
    </row>
    <row r="488" spans="1:39" s="560" customFormat="1" ht="13.2" customHeight="1">
      <c r="A488" s="604" t="s">
        <v>956</v>
      </c>
      <c r="B488" s="604" t="s">
        <v>1263</v>
      </c>
      <c r="C488" s="614" t="s">
        <v>36</v>
      </c>
      <c r="D488" s="580"/>
      <c r="E488" s="581"/>
      <c r="F488" s="778"/>
      <c r="G488" s="581"/>
      <c r="H488" s="581"/>
      <c r="I488" s="949"/>
      <c r="J488" s="949"/>
      <c r="K488" s="825"/>
      <c r="L488" s="575"/>
      <c r="M488" s="809"/>
      <c r="N488" s="575"/>
      <c r="O488" s="575"/>
      <c r="P488" s="575"/>
      <c r="Q488" s="575"/>
      <c r="R488" s="575"/>
      <c r="S488" s="575"/>
      <c r="T488" s="809"/>
      <c r="U488" s="575"/>
      <c r="V488" s="575"/>
      <c r="W488" s="575"/>
      <c r="X488" s="575"/>
      <c r="Y488" s="575"/>
      <c r="Z488" s="575"/>
      <c r="AA488" s="809"/>
      <c r="AB488" s="817"/>
      <c r="AC488" s="575"/>
      <c r="AD488" s="575"/>
      <c r="AE488" s="753"/>
      <c r="AF488" s="575"/>
      <c r="AG488" s="575"/>
      <c r="AH488" s="842"/>
      <c r="AI488" s="1013">
        <f t="shared" si="24"/>
        <v>0</v>
      </c>
      <c r="AJ488" s="949">
        <v>0</v>
      </c>
      <c r="AK488" s="581">
        <f t="shared" si="25"/>
        <v>0</v>
      </c>
      <c r="AL488" s="750" t="s">
        <v>1703</v>
      </c>
      <c r="AM488" s="743">
        <f t="shared" si="26"/>
        <v>6.91</v>
      </c>
    </row>
    <row r="489" spans="1:39" s="560" customFormat="1" ht="13.2" customHeight="1">
      <c r="A489" s="604" t="s">
        <v>957</v>
      </c>
      <c r="B489" s="604" t="s">
        <v>1264</v>
      </c>
      <c r="C489" s="614" t="s">
        <v>36</v>
      </c>
      <c r="D489" s="580"/>
      <c r="E489" s="581"/>
      <c r="F489" s="778"/>
      <c r="G489" s="581"/>
      <c r="H489" s="581"/>
      <c r="I489" s="949"/>
      <c r="J489" s="949"/>
      <c r="K489" s="825"/>
      <c r="L489" s="575"/>
      <c r="M489" s="809"/>
      <c r="N489" s="575"/>
      <c r="O489" s="575"/>
      <c r="P489" s="575"/>
      <c r="Q489" s="575"/>
      <c r="R489" s="575"/>
      <c r="S489" s="575"/>
      <c r="T489" s="809"/>
      <c r="U489" s="575"/>
      <c r="V489" s="575"/>
      <c r="W489" s="575"/>
      <c r="X489" s="575"/>
      <c r="Y489" s="575"/>
      <c r="Z489" s="575"/>
      <c r="AA489" s="809"/>
      <c r="AB489" s="817"/>
      <c r="AC489" s="575"/>
      <c r="AD489" s="575"/>
      <c r="AE489" s="753"/>
      <c r="AF489" s="575"/>
      <c r="AG489" s="575"/>
      <c r="AH489" s="842"/>
      <c r="AI489" s="1013">
        <f t="shared" si="24"/>
        <v>0</v>
      </c>
      <c r="AJ489" s="949">
        <v>0</v>
      </c>
      <c r="AK489" s="581">
        <f t="shared" si="25"/>
        <v>0</v>
      </c>
      <c r="AL489" s="750" t="s">
        <v>1711</v>
      </c>
      <c r="AM489" s="743">
        <f t="shared" si="26"/>
        <v>10.5</v>
      </c>
    </row>
    <row r="490" spans="1:39" s="560" customFormat="1" ht="13.2" customHeight="1">
      <c r="A490" s="604" t="s">
        <v>958</v>
      </c>
      <c r="B490" s="604" t="s">
        <v>1265</v>
      </c>
      <c r="C490" s="614" t="s">
        <v>36</v>
      </c>
      <c r="D490" s="580"/>
      <c r="E490" s="581"/>
      <c r="F490" s="778"/>
      <c r="G490" s="581"/>
      <c r="H490" s="581"/>
      <c r="I490" s="949"/>
      <c r="J490" s="949"/>
      <c r="K490" s="825"/>
      <c r="L490" s="575"/>
      <c r="M490" s="809"/>
      <c r="N490" s="575"/>
      <c r="O490" s="575"/>
      <c r="P490" s="575"/>
      <c r="Q490" s="575"/>
      <c r="R490" s="575"/>
      <c r="S490" s="575"/>
      <c r="T490" s="809"/>
      <c r="U490" s="575"/>
      <c r="V490" s="575"/>
      <c r="W490" s="575"/>
      <c r="X490" s="575"/>
      <c r="Y490" s="575"/>
      <c r="Z490" s="575"/>
      <c r="AA490" s="809"/>
      <c r="AB490" s="817"/>
      <c r="AC490" s="575"/>
      <c r="AD490" s="575"/>
      <c r="AE490" s="753"/>
      <c r="AF490" s="575"/>
      <c r="AG490" s="575"/>
      <c r="AH490" s="842"/>
      <c r="AI490" s="1013">
        <f t="shared" si="24"/>
        <v>0</v>
      </c>
      <c r="AJ490" s="949">
        <v>0</v>
      </c>
      <c r="AK490" s="581">
        <f t="shared" si="25"/>
        <v>0</v>
      </c>
      <c r="AL490" s="750"/>
      <c r="AM490" s="743">
        <f t="shared" si="26"/>
        <v>0</v>
      </c>
    </row>
    <row r="491" spans="1:39" s="560" customFormat="1" ht="13.2" customHeight="1">
      <c r="A491" s="607" t="s">
        <v>959</v>
      </c>
      <c r="B491" s="607" t="s">
        <v>1266</v>
      </c>
      <c r="C491" s="690"/>
      <c r="D491" s="580"/>
      <c r="E491" s="581"/>
      <c r="F491" s="778"/>
      <c r="G491" s="581"/>
      <c r="H491" s="581"/>
      <c r="I491" s="949"/>
      <c r="J491" s="949"/>
      <c r="K491" s="825"/>
      <c r="L491" s="575"/>
      <c r="M491" s="809"/>
      <c r="N491" s="575"/>
      <c r="O491" s="575"/>
      <c r="P491" s="575"/>
      <c r="Q491" s="575"/>
      <c r="R491" s="575"/>
      <c r="S491" s="575"/>
      <c r="T491" s="809"/>
      <c r="U491" s="575"/>
      <c r="V491" s="575"/>
      <c r="W491" s="575"/>
      <c r="X491" s="575"/>
      <c r="Y491" s="575"/>
      <c r="Z491" s="575"/>
      <c r="AA491" s="809"/>
      <c r="AB491" s="817"/>
      <c r="AC491" s="575"/>
      <c r="AD491" s="575"/>
      <c r="AE491" s="753"/>
      <c r="AF491" s="575"/>
      <c r="AG491" s="575"/>
      <c r="AH491" s="842"/>
      <c r="AI491" s="1013">
        <f t="shared" si="24"/>
        <v>0</v>
      </c>
      <c r="AJ491" s="949">
        <v>0</v>
      </c>
      <c r="AK491" s="581">
        <f t="shared" si="25"/>
        <v>0</v>
      </c>
      <c r="AL491" s="750" t="s">
        <v>1712</v>
      </c>
      <c r="AM491" s="743">
        <f t="shared" si="26"/>
        <v>11</v>
      </c>
    </row>
    <row r="492" spans="1:39" s="560" customFormat="1" ht="13.2" customHeight="1">
      <c r="A492" s="604" t="s">
        <v>960</v>
      </c>
      <c r="B492" s="604" t="s">
        <v>1267</v>
      </c>
      <c r="C492" s="614" t="s">
        <v>1436</v>
      </c>
      <c r="D492" s="580"/>
      <c r="E492" s="581"/>
      <c r="F492" s="778"/>
      <c r="G492" s="581"/>
      <c r="H492" s="581"/>
      <c r="I492" s="949"/>
      <c r="J492" s="949"/>
      <c r="K492" s="825"/>
      <c r="L492" s="575"/>
      <c r="M492" s="809"/>
      <c r="N492" s="575"/>
      <c r="O492" s="575"/>
      <c r="P492" s="575"/>
      <c r="Q492" s="575"/>
      <c r="R492" s="575"/>
      <c r="S492" s="575"/>
      <c r="T492" s="809"/>
      <c r="U492" s="575"/>
      <c r="V492" s="575"/>
      <c r="W492" s="575"/>
      <c r="X492" s="575"/>
      <c r="Y492" s="575"/>
      <c r="Z492" s="575"/>
      <c r="AA492" s="809"/>
      <c r="AB492" s="817"/>
      <c r="AC492" s="575"/>
      <c r="AD492" s="575"/>
      <c r="AE492" s="753"/>
      <c r="AF492" s="575"/>
      <c r="AG492" s="575"/>
      <c r="AH492" s="842"/>
      <c r="AI492" s="1013">
        <f t="shared" si="24"/>
        <v>0</v>
      </c>
      <c r="AJ492" s="949">
        <v>0</v>
      </c>
      <c r="AK492" s="581">
        <f t="shared" si="25"/>
        <v>0</v>
      </c>
      <c r="AL492" s="750" t="s">
        <v>1441</v>
      </c>
      <c r="AM492" s="743">
        <f t="shared" si="26"/>
        <v>1</v>
      </c>
    </row>
    <row r="493" spans="1:39" s="560" customFormat="1" ht="13.2" customHeight="1">
      <c r="A493" s="604" t="s">
        <v>961</v>
      </c>
      <c r="B493" s="604" t="s">
        <v>1268</v>
      </c>
      <c r="C493" s="614" t="s">
        <v>63</v>
      </c>
      <c r="D493" s="580"/>
      <c r="E493" s="581"/>
      <c r="F493" s="778"/>
      <c r="G493" s="581"/>
      <c r="H493" s="581"/>
      <c r="I493" s="949"/>
      <c r="J493" s="949"/>
      <c r="K493" s="825"/>
      <c r="L493" s="575"/>
      <c r="M493" s="809"/>
      <c r="N493" s="575"/>
      <c r="O493" s="575"/>
      <c r="P493" s="575"/>
      <c r="Q493" s="575"/>
      <c r="R493" s="575"/>
      <c r="S493" s="575"/>
      <c r="T493" s="809"/>
      <c r="U493" s="575"/>
      <c r="V493" s="575"/>
      <c r="W493" s="575"/>
      <c r="X493" s="575"/>
      <c r="Y493" s="575"/>
      <c r="Z493" s="575"/>
      <c r="AA493" s="809"/>
      <c r="AB493" s="817"/>
      <c r="AC493" s="575"/>
      <c r="AD493" s="575"/>
      <c r="AE493" s="753"/>
      <c r="AF493" s="575"/>
      <c r="AG493" s="575"/>
      <c r="AH493" s="842"/>
      <c r="AI493" s="1013">
        <f t="shared" si="24"/>
        <v>0</v>
      </c>
      <c r="AJ493" s="949">
        <v>0</v>
      </c>
      <c r="AK493" s="581">
        <f t="shared" si="25"/>
        <v>0</v>
      </c>
      <c r="AL493" s="750" t="s">
        <v>1713</v>
      </c>
      <c r="AM493" s="743">
        <f t="shared" si="26"/>
        <v>8.15</v>
      </c>
    </row>
    <row r="494" spans="1:39" s="560" customFormat="1" ht="13.2" customHeight="1">
      <c r="A494" s="604" t="s">
        <v>962</v>
      </c>
      <c r="B494" s="604" t="s">
        <v>1269</v>
      </c>
      <c r="C494" s="614" t="s">
        <v>36</v>
      </c>
      <c r="D494" s="580"/>
      <c r="E494" s="581"/>
      <c r="F494" s="778"/>
      <c r="G494" s="581"/>
      <c r="H494" s="581"/>
      <c r="I494" s="949"/>
      <c r="J494" s="949"/>
      <c r="K494" s="825"/>
      <c r="L494" s="575"/>
      <c r="M494" s="809"/>
      <c r="N494" s="575"/>
      <c r="O494" s="575"/>
      <c r="P494" s="575"/>
      <c r="Q494" s="575"/>
      <c r="R494" s="575"/>
      <c r="S494" s="575"/>
      <c r="T494" s="809"/>
      <c r="U494" s="575"/>
      <c r="V494" s="575"/>
      <c r="W494" s="575"/>
      <c r="X494" s="575"/>
      <c r="Y494" s="575"/>
      <c r="Z494" s="575"/>
      <c r="AA494" s="809"/>
      <c r="AB494" s="817"/>
      <c r="AC494" s="575"/>
      <c r="AD494" s="575"/>
      <c r="AE494" s="753"/>
      <c r="AF494" s="575"/>
      <c r="AG494" s="575"/>
      <c r="AH494" s="842"/>
      <c r="AI494" s="1013">
        <f t="shared" si="24"/>
        <v>0</v>
      </c>
      <c r="AJ494" s="949">
        <v>0</v>
      </c>
      <c r="AK494" s="581">
        <f t="shared" si="25"/>
        <v>0</v>
      </c>
      <c r="AL494" s="750"/>
      <c r="AM494" s="743">
        <f t="shared" si="26"/>
        <v>0</v>
      </c>
    </row>
    <row r="495" spans="1:39" s="560" customFormat="1" ht="13.2" customHeight="1">
      <c r="A495" s="492" t="s">
        <v>512</v>
      </c>
      <c r="B495" s="608" t="s">
        <v>1284</v>
      </c>
      <c r="C495" s="690"/>
      <c r="D495" s="580"/>
      <c r="E495" s="581"/>
      <c r="F495" s="778"/>
      <c r="G495" s="581"/>
      <c r="H495" s="581"/>
      <c r="I495" s="949"/>
      <c r="J495" s="949"/>
      <c r="K495" s="825"/>
      <c r="L495" s="575"/>
      <c r="M495" s="809"/>
      <c r="N495" s="575"/>
      <c r="O495" s="575"/>
      <c r="P495" s="575"/>
      <c r="Q495" s="575"/>
      <c r="R495" s="575"/>
      <c r="S495" s="575"/>
      <c r="T495" s="809"/>
      <c r="U495" s="575"/>
      <c r="V495" s="575"/>
      <c r="W495" s="575"/>
      <c r="X495" s="575"/>
      <c r="Y495" s="575"/>
      <c r="Z495" s="575"/>
      <c r="AA495" s="809"/>
      <c r="AB495" s="817"/>
      <c r="AC495" s="575"/>
      <c r="AD495" s="575"/>
      <c r="AE495" s="753"/>
      <c r="AF495" s="575"/>
      <c r="AG495" s="575"/>
      <c r="AH495" s="842"/>
      <c r="AI495" s="1013">
        <f t="shared" si="24"/>
        <v>0</v>
      </c>
      <c r="AJ495" s="949">
        <v>0</v>
      </c>
      <c r="AK495" s="581">
        <f t="shared" si="25"/>
        <v>0</v>
      </c>
      <c r="AL495" s="750"/>
      <c r="AM495" s="743">
        <f t="shared" si="26"/>
        <v>0</v>
      </c>
    </row>
    <row r="496" spans="1:39" s="560" customFormat="1" ht="13.2" customHeight="1">
      <c r="A496" s="607" t="s">
        <v>513</v>
      </c>
      <c r="B496" s="607" t="s">
        <v>1222</v>
      </c>
      <c r="C496" s="690"/>
      <c r="D496" s="580"/>
      <c r="E496" s="581"/>
      <c r="F496" s="778"/>
      <c r="G496" s="581"/>
      <c r="H496" s="581"/>
      <c r="I496" s="949"/>
      <c r="J496" s="949"/>
      <c r="K496" s="825"/>
      <c r="L496" s="575"/>
      <c r="M496" s="809"/>
      <c r="N496" s="575"/>
      <c r="O496" s="575"/>
      <c r="P496" s="575"/>
      <c r="Q496" s="575"/>
      <c r="R496" s="575"/>
      <c r="S496" s="575"/>
      <c r="T496" s="809"/>
      <c r="U496" s="575"/>
      <c r="V496" s="575"/>
      <c r="W496" s="575"/>
      <c r="X496" s="575"/>
      <c r="Y496" s="575"/>
      <c r="Z496" s="575"/>
      <c r="AA496" s="809"/>
      <c r="AB496" s="817"/>
      <c r="AC496" s="575"/>
      <c r="AD496" s="575"/>
      <c r="AE496" s="753"/>
      <c r="AF496" s="575"/>
      <c r="AG496" s="575"/>
      <c r="AH496" s="842"/>
      <c r="AI496" s="1013">
        <f t="shared" si="24"/>
        <v>0</v>
      </c>
      <c r="AJ496" s="949">
        <v>0</v>
      </c>
      <c r="AK496" s="581">
        <f t="shared" si="25"/>
        <v>0</v>
      </c>
      <c r="AL496" s="750" t="s">
        <v>1714</v>
      </c>
      <c r="AM496" s="743">
        <f t="shared" si="26"/>
        <v>239.98</v>
      </c>
    </row>
    <row r="497" spans="1:39" s="560" customFormat="1" ht="13.2" customHeight="1">
      <c r="A497" s="604" t="s">
        <v>514</v>
      </c>
      <c r="B497" s="604" t="s">
        <v>1285</v>
      </c>
      <c r="C497" s="614" t="s">
        <v>36</v>
      </c>
      <c r="D497" s="580"/>
      <c r="E497" s="581"/>
      <c r="F497" s="778"/>
      <c r="G497" s="581"/>
      <c r="H497" s="581"/>
      <c r="I497" s="949"/>
      <c r="J497" s="949"/>
      <c r="K497" s="825"/>
      <c r="L497" s="575"/>
      <c r="M497" s="809"/>
      <c r="N497" s="575"/>
      <c r="O497" s="575"/>
      <c r="P497" s="575"/>
      <c r="Q497" s="575"/>
      <c r="R497" s="575"/>
      <c r="S497" s="575"/>
      <c r="T497" s="809"/>
      <c r="U497" s="575"/>
      <c r="V497" s="575"/>
      <c r="W497" s="583"/>
      <c r="X497" s="575"/>
      <c r="Y497" s="575"/>
      <c r="Z497" s="575"/>
      <c r="AA497" s="809"/>
      <c r="AB497" s="817"/>
      <c r="AC497" s="575"/>
      <c r="AD497" s="575"/>
      <c r="AE497" s="753"/>
      <c r="AF497" s="575"/>
      <c r="AG497" s="575"/>
      <c r="AH497" s="842"/>
      <c r="AI497" s="1013">
        <f t="shared" si="24"/>
        <v>0</v>
      </c>
      <c r="AJ497" s="949">
        <v>0</v>
      </c>
      <c r="AK497" s="581">
        <f t="shared" si="25"/>
        <v>0</v>
      </c>
      <c r="AL497" s="750"/>
      <c r="AM497" s="743">
        <f t="shared" si="26"/>
        <v>0</v>
      </c>
    </row>
    <row r="498" spans="1:39" s="560" customFormat="1" ht="13.2" customHeight="1">
      <c r="A498" s="607" t="s">
        <v>963</v>
      </c>
      <c r="B498" s="607" t="s">
        <v>1225</v>
      </c>
      <c r="C498" s="690"/>
      <c r="D498" s="580"/>
      <c r="E498" s="581"/>
      <c r="F498" s="778"/>
      <c r="G498" s="581"/>
      <c r="H498" s="581"/>
      <c r="I498" s="949"/>
      <c r="J498" s="949"/>
      <c r="K498" s="825"/>
      <c r="L498" s="575"/>
      <c r="M498" s="809"/>
      <c r="N498" s="575"/>
      <c r="O498" s="575"/>
      <c r="P498" s="575"/>
      <c r="Q498" s="575"/>
      <c r="R498" s="575"/>
      <c r="S498" s="575"/>
      <c r="T498" s="809"/>
      <c r="U498" s="575"/>
      <c r="V498" s="575"/>
      <c r="W498" s="575"/>
      <c r="X498" s="575"/>
      <c r="Y498" s="575"/>
      <c r="Z498" s="575"/>
      <c r="AA498" s="809"/>
      <c r="AB498" s="817"/>
      <c r="AC498" s="575"/>
      <c r="AD498" s="575"/>
      <c r="AE498" s="753"/>
      <c r="AF498" s="575"/>
      <c r="AG498" s="575"/>
      <c r="AH498" s="842"/>
      <c r="AI498" s="1013">
        <f t="shared" si="24"/>
        <v>0</v>
      </c>
      <c r="AJ498" s="949">
        <v>0</v>
      </c>
      <c r="AK498" s="581">
        <f t="shared" si="25"/>
        <v>0</v>
      </c>
      <c r="AL498" s="750" t="s">
        <v>1715</v>
      </c>
      <c r="AM498" s="743">
        <f t="shared" si="26"/>
        <v>117.85</v>
      </c>
    </row>
    <row r="499" spans="1:39" s="560" customFormat="1" ht="13.2" customHeight="1">
      <c r="A499" s="604" t="s">
        <v>964</v>
      </c>
      <c r="B499" s="604" t="s">
        <v>1286</v>
      </c>
      <c r="C499" s="614" t="s">
        <v>36</v>
      </c>
      <c r="D499" s="580"/>
      <c r="E499" s="581"/>
      <c r="F499" s="778"/>
      <c r="G499" s="581"/>
      <c r="H499" s="581"/>
      <c r="I499" s="949"/>
      <c r="J499" s="949"/>
      <c r="K499" s="825"/>
      <c r="L499" s="575"/>
      <c r="M499" s="809"/>
      <c r="N499" s="575"/>
      <c r="O499" s="575"/>
      <c r="P499" s="575"/>
      <c r="Q499" s="1143">
        <f>2.9*3.2</f>
        <v>9.2799999999999994</v>
      </c>
      <c r="R499" s="1096">
        <f>1.7*2.7</f>
        <v>4.59</v>
      </c>
      <c r="S499" s="1143">
        <f>2*2.7</f>
        <v>5.4</v>
      </c>
      <c r="T499" s="809"/>
      <c r="U499" s="1143">
        <f>3.5*0.56</f>
        <v>1.9600000000000002</v>
      </c>
      <c r="V499" s="1143">
        <f>3.5*2.25</f>
        <v>7.875</v>
      </c>
      <c r="W499" s="575"/>
      <c r="X499" s="575"/>
      <c r="Z499" s="1122">
        <f>2.95*3.3</f>
        <v>9.7349999999999994</v>
      </c>
      <c r="AA499" s="809"/>
      <c r="AB499" s="817"/>
      <c r="AC499" s="1145">
        <f>2.65*2.35</f>
        <v>6.2275</v>
      </c>
      <c r="AD499" s="575"/>
      <c r="AE499" s="753"/>
      <c r="AF499" s="575"/>
      <c r="AG499" s="575"/>
      <c r="AH499" s="842"/>
      <c r="AI499" s="1156">
        <f t="shared" si="24"/>
        <v>45.07</v>
      </c>
      <c r="AJ499" s="949">
        <v>0</v>
      </c>
      <c r="AK499" s="581">
        <f t="shared" si="25"/>
        <v>45.07</v>
      </c>
      <c r="AL499" s="750" t="s">
        <v>1716</v>
      </c>
      <c r="AM499" s="743">
        <f t="shared" si="26"/>
        <v>20.869999999999997</v>
      </c>
    </row>
    <row r="500" spans="1:39" s="560" customFormat="1" ht="13.2" customHeight="1">
      <c r="A500" s="604" t="s">
        <v>965</v>
      </c>
      <c r="B500" s="604" t="s">
        <v>1287</v>
      </c>
      <c r="C500" s="614" t="s">
        <v>36</v>
      </c>
      <c r="D500" s="580"/>
      <c r="E500" s="581"/>
      <c r="F500" s="778"/>
      <c r="G500" s="581"/>
      <c r="H500" s="581"/>
      <c r="I500" s="949"/>
      <c r="J500" s="949"/>
      <c r="K500" s="825"/>
      <c r="L500" s="575"/>
      <c r="M500" s="809"/>
      <c r="N500" s="575"/>
      <c r="O500" s="575"/>
      <c r="P500" s="575"/>
      <c r="Q500" s="575"/>
      <c r="R500" s="575"/>
      <c r="S500" s="575"/>
      <c r="T500" s="809"/>
      <c r="U500" s="575"/>
      <c r="V500" s="575"/>
      <c r="W500" s="575"/>
      <c r="X500" s="575"/>
      <c r="Y500" s="575"/>
      <c r="Z500" s="575"/>
      <c r="AA500" s="809"/>
      <c r="AB500" s="817"/>
      <c r="AC500" s="575"/>
      <c r="AD500" s="575"/>
      <c r="AE500" s="753"/>
      <c r="AF500" s="575"/>
      <c r="AG500" s="575"/>
      <c r="AH500" s="842"/>
      <c r="AI500" s="1013">
        <f t="shared" si="24"/>
        <v>0</v>
      </c>
      <c r="AJ500" s="949">
        <v>0</v>
      </c>
      <c r="AK500" s="581">
        <f t="shared" si="25"/>
        <v>0</v>
      </c>
      <c r="AL500" s="750" t="s">
        <v>1576</v>
      </c>
      <c r="AM500" s="743">
        <f t="shared" si="26"/>
        <v>49.66</v>
      </c>
    </row>
    <row r="501" spans="1:39" s="560" customFormat="1" ht="13.2" customHeight="1">
      <c r="A501" s="604" t="s">
        <v>966</v>
      </c>
      <c r="B501" s="604" t="s">
        <v>1288</v>
      </c>
      <c r="C501" s="614" t="s">
        <v>36</v>
      </c>
      <c r="D501" s="580"/>
      <c r="E501" s="581"/>
      <c r="F501" s="778"/>
      <c r="G501" s="581"/>
      <c r="H501" s="581"/>
      <c r="I501" s="949"/>
      <c r="J501" s="949"/>
      <c r="K501" s="825"/>
      <c r="L501" s="575"/>
      <c r="M501" s="809"/>
      <c r="N501" s="575"/>
      <c r="O501" s="575"/>
      <c r="P501" s="1096">
        <f>3.2*0.5</f>
        <v>1.6</v>
      </c>
      <c r="Q501" s="575"/>
      <c r="R501" s="1096">
        <f>4.2*0.5+2*0.5</f>
        <v>3.1</v>
      </c>
      <c r="S501" s="1143">
        <f>2.2*0.5+2.45*0.5+2.8*0.5</f>
        <v>3.7250000000000001</v>
      </c>
      <c r="T501" s="809"/>
      <c r="U501" s="575"/>
      <c r="V501" s="1143">
        <f>3.1*0.27+8.75*0.27+2.6*0.6</f>
        <v>4.759500000000001</v>
      </c>
      <c r="W501" s="575"/>
      <c r="X501" s="583"/>
      <c r="Y501" s="1096">
        <f>11.5*0.45</f>
        <v>5.1749999999999998</v>
      </c>
      <c r="Z501" s="583"/>
      <c r="AA501" s="809"/>
      <c r="AB501" s="817"/>
      <c r="AC501" s="575"/>
      <c r="AD501" s="575"/>
      <c r="AE501" s="753"/>
      <c r="AF501" s="575"/>
      <c r="AG501" s="575"/>
      <c r="AH501" s="842"/>
      <c r="AI501" s="1156">
        <f t="shared" si="24"/>
        <v>18.36</v>
      </c>
      <c r="AJ501" s="949">
        <v>0</v>
      </c>
      <c r="AK501" s="581">
        <f t="shared" si="25"/>
        <v>18.36</v>
      </c>
      <c r="AL501" s="750"/>
      <c r="AM501" s="743">
        <f t="shared" si="26"/>
        <v>-18.36</v>
      </c>
    </row>
    <row r="502" spans="1:39" s="560" customFormat="1" ht="13.2" customHeight="1">
      <c r="A502" s="607" t="s">
        <v>967</v>
      </c>
      <c r="B502" s="607" t="s">
        <v>1277</v>
      </c>
      <c r="C502" s="690"/>
      <c r="D502" s="580"/>
      <c r="E502" s="581"/>
      <c r="F502" s="778"/>
      <c r="G502" s="581"/>
      <c r="H502" s="581"/>
      <c r="I502" s="949"/>
      <c r="J502" s="949"/>
      <c r="K502" s="825"/>
      <c r="L502" s="575"/>
      <c r="M502" s="809"/>
      <c r="N502" s="575"/>
      <c r="O502" s="575"/>
      <c r="P502" s="575"/>
      <c r="Q502" s="575"/>
      <c r="R502" s="575"/>
      <c r="S502" s="575"/>
      <c r="T502" s="809"/>
      <c r="U502" s="575"/>
      <c r="V502" s="575"/>
      <c r="W502" s="575"/>
      <c r="X502" s="575"/>
      <c r="Y502" s="575"/>
      <c r="Z502" s="575"/>
      <c r="AA502" s="809"/>
      <c r="AB502" s="817"/>
      <c r="AC502" s="575"/>
      <c r="AD502" s="575"/>
      <c r="AE502" s="753"/>
      <c r="AF502" s="575"/>
      <c r="AG502" s="575"/>
      <c r="AH502" s="842"/>
      <c r="AI502" s="1013">
        <f t="shared" si="24"/>
        <v>0</v>
      </c>
      <c r="AJ502" s="949">
        <v>0</v>
      </c>
      <c r="AK502" s="581">
        <f t="shared" si="25"/>
        <v>0</v>
      </c>
      <c r="AL502" s="750" t="s">
        <v>1717</v>
      </c>
      <c r="AM502" s="743">
        <f t="shared" si="26"/>
        <v>7.98</v>
      </c>
    </row>
    <row r="503" spans="1:39" s="560" customFormat="1" ht="13.2" customHeight="1">
      <c r="A503" s="604" t="s">
        <v>968</v>
      </c>
      <c r="B503" s="604" t="s">
        <v>1289</v>
      </c>
      <c r="C503" s="614" t="s">
        <v>36</v>
      </c>
      <c r="D503" s="580"/>
      <c r="E503" s="581"/>
      <c r="F503" s="778"/>
      <c r="G503" s="581"/>
      <c r="H503" s="581"/>
      <c r="I503" s="949"/>
      <c r="J503" s="949"/>
      <c r="K503" s="825"/>
      <c r="L503" s="575"/>
      <c r="M503" s="809"/>
      <c r="N503" s="575"/>
      <c r="O503" s="575"/>
      <c r="P503" s="575"/>
      <c r="Q503" s="575"/>
      <c r="R503" s="575"/>
      <c r="S503" s="575"/>
      <c r="T503" s="809"/>
      <c r="U503" s="575"/>
      <c r="V503" s="575"/>
      <c r="W503" s="575"/>
      <c r="X503" s="575"/>
      <c r="Y503" s="575"/>
      <c r="Z503" s="575"/>
      <c r="AA503" s="809"/>
      <c r="AB503" s="817"/>
      <c r="AC503" s="575"/>
      <c r="AD503" s="575"/>
      <c r="AE503" s="753"/>
      <c r="AF503" s="575"/>
      <c r="AG503" s="575"/>
      <c r="AH503" s="842"/>
      <c r="AI503" s="1013">
        <f t="shared" si="24"/>
        <v>0</v>
      </c>
      <c r="AJ503" s="949">
        <v>0</v>
      </c>
      <c r="AK503" s="581">
        <f t="shared" si="25"/>
        <v>0</v>
      </c>
      <c r="AL503" s="750"/>
      <c r="AM503" s="743">
        <f t="shared" si="26"/>
        <v>0</v>
      </c>
    </row>
    <row r="504" spans="1:39" s="560" customFormat="1" ht="13.2" customHeight="1">
      <c r="A504" s="607" t="s">
        <v>969</v>
      </c>
      <c r="B504" s="607" t="s">
        <v>1258</v>
      </c>
      <c r="C504" s="690"/>
      <c r="D504" s="580"/>
      <c r="E504" s="581"/>
      <c r="F504" s="778"/>
      <c r="G504" s="581"/>
      <c r="H504" s="581"/>
      <c r="I504" s="949"/>
      <c r="J504" s="949"/>
      <c r="K504" s="825"/>
      <c r="L504" s="575"/>
      <c r="M504" s="809"/>
      <c r="N504" s="575"/>
      <c r="O504" s="575"/>
      <c r="P504" s="575"/>
      <c r="Q504" s="575"/>
      <c r="R504" s="575"/>
      <c r="S504" s="575"/>
      <c r="T504" s="809"/>
      <c r="U504" s="575"/>
      <c r="V504" s="575"/>
      <c r="W504" s="575"/>
      <c r="X504" s="575"/>
      <c r="Y504" s="575"/>
      <c r="Z504" s="575"/>
      <c r="AA504" s="809"/>
      <c r="AB504" s="817"/>
      <c r="AC504" s="575"/>
      <c r="AD504" s="575"/>
      <c r="AE504" s="753"/>
      <c r="AF504" s="575"/>
      <c r="AG504" s="575"/>
      <c r="AH504" s="842"/>
      <c r="AI504" s="1013">
        <f t="shared" si="24"/>
        <v>0</v>
      </c>
      <c r="AJ504" s="949">
        <v>0</v>
      </c>
      <c r="AK504" s="581">
        <f t="shared" si="25"/>
        <v>0</v>
      </c>
      <c r="AL504" s="750" t="s">
        <v>1715</v>
      </c>
      <c r="AM504" s="743">
        <f t="shared" si="26"/>
        <v>117.85</v>
      </c>
    </row>
    <row r="505" spans="1:39" s="560" customFormat="1" ht="13.2" customHeight="1">
      <c r="A505" s="604" t="s">
        <v>970</v>
      </c>
      <c r="B505" s="604" t="s">
        <v>1290</v>
      </c>
      <c r="C505" s="614" t="s">
        <v>36</v>
      </c>
      <c r="D505" s="580"/>
      <c r="E505" s="581"/>
      <c r="F505" s="778"/>
      <c r="G505" s="581"/>
      <c r="H505" s="581"/>
      <c r="I505" s="949"/>
      <c r="J505" s="949"/>
      <c r="K505" s="825"/>
      <c r="L505" s="575"/>
      <c r="M505" s="809"/>
      <c r="N505" s="575"/>
      <c r="O505" s="575"/>
      <c r="P505" s="575"/>
      <c r="Q505" s="575"/>
      <c r="R505" s="575"/>
      <c r="S505" s="575"/>
      <c r="T505" s="809"/>
      <c r="U505" s="575"/>
      <c r="V505" s="575"/>
      <c r="W505" s="575"/>
      <c r="X505" s="575"/>
      <c r="Y505" s="575"/>
      <c r="Z505" s="575"/>
      <c r="AA505" s="809"/>
      <c r="AB505" s="817"/>
      <c r="AC505" s="575"/>
      <c r="AD505" s="575"/>
      <c r="AE505" s="753"/>
      <c r="AF505" s="575"/>
      <c r="AG505" s="575"/>
      <c r="AH505" s="842"/>
      <c r="AI505" s="1013">
        <f t="shared" si="24"/>
        <v>0</v>
      </c>
      <c r="AJ505" s="949">
        <v>0</v>
      </c>
      <c r="AK505" s="581">
        <f t="shared" si="25"/>
        <v>0</v>
      </c>
      <c r="AL505" s="750" t="s">
        <v>1716</v>
      </c>
      <c r="AM505" s="743">
        <f t="shared" si="26"/>
        <v>65.94</v>
      </c>
    </row>
    <row r="506" spans="1:39" s="560" customFormat="1" ht="13.2" customHeight="1">
      <c r="A506" s="604" t="s">
        <v>971</v>
      </c>
      <c r="B506" s="604" t="s">
        <v>1262</v>
      </c>
      <c r="C506" s="614" t="s">
        <v>36</v>
      </c>
      <c r="D506" s="580"/>
      <c r="E506" s="581"/>
      <c r="F506" s="778"/>
      <c r="G506" s="581"/>
      <c r="H506" s="581"/>
      <c r="I506" s="949"/>
      <c r="J506" s="949"/>
      <c r="K506" s="825"/>
      <c r="L506" s="575"/>
      <c r="M506" s="809"/>
      <c r="N506" s="575"/>
      <c r="O506" s="575"/>
      <c r="P506" s="575"/>
      <c r="Q506" s="575"/>
      <c r="R506" s="575"/>
      <c r="S506" s="575"/>
      <c r="T506" s="809"/>
      <c r="U506" s="575"/>
      <c r="V506" s="575"/>
      <c r="W506" s="575"/>
      <c r="X506" s="575"/>
      <c r="Y506" s="575"/>
      <c r="Z506" s="575"/>
      <c r="AA506" s="809"/>
      <c r="AB506" s="817"/>
      <c r="AC506" s="575"/>
      <c r="AD506" s="575"/>
      <c r="AE506" s="753"/>
      <c r="AF506" s="575"/>
      <c r="AG506" s="575"/>
      <c r="AH506" s="842"/>
      <c r="AI506" s="1013">
        <f t="shared" si="24"/>
        <v>0</v>
      </c>
      <c r="AJ506" s="949">
        <v>0</v>
      </c>
      <c r="AK506" s="581">
        <f t="shared" si="25"/>
        <v>0</v>
      </c>
      <c r="AL506" s="750" t="s">
        <v>1576</v>
      </c>
      <c r="AM506" s="743">
        <f t="shared" si="26"/>
        <v>49.66</v>
      </c>
    </row>
    <row r="507" spans="1:39" s="560" customFormat="1" ht="13.2" customHeight="1">
      <c r="A507" s="604" t="s">
        <v>972</v>
      </c>
      <c r="B507" s="604" t="s">
        <v>1263</v>
      </c>
      <c r="C507" s="614" t="s">
        <v>36</v>
      </c>
      <c r="D507" s="580"/>
      <c r="E507" s="581"/>
      <c r="F507" s="778"/>
      <c r="G507" s="581"/>
      <c r="H507" s="581"/>
      <c r="I507" s="949"/>
      <c r="J507" s="949"/>
      <c r="K507" s="825"/>
      <c r="L507" s="575"/>
      <c r="M507" s="809"/>
      <c r="N507" s="575"/>
      <c r="O507" s="575"/>
      <c r="P507" s="575"/>
      <c r="Q507" s="575"/>
      <c r="R507" s="575"/>
      <c r="S507" s="575"/>
      <c r="T507" s="809"/>
      <c r="U507" s="575"/>
      <c r="V507" s="575"/>
      <c r="W507" s="575"/>
      <c r="X507" s="575"/>
      <c r="Y507" s="575"/>
      <c r="Z507" s="575"/>
      <c r="AA507" s="809"/>
      <c r="AB507" s="817"/>
      <c r="AC507" s="575"/>
      <c r="AD507" s="575"/>
      <c r="AE507" s="753"/>
      <c r="AF507" s="575"/>
      <c r="AG507" s="575"/>
      <c r="AH507" s="842"/>
      <c r="AI507" s="1013">
        <f t="shared" si="24"/>
        <v>0</v>
      </c>
      <c r="AJ507" s="949">
        <v>0</v>
      </c>
      <c r="AK507" s="581">
        <f t="shared" si="25"/>
        <v>0</v>
      </c>
      <c r="AL507" s="750"/>
      <c r="AM507" s="743">
        <f t="shared" si="26"/>
        <v>0</v>
      </c>
    </row>
    <row r="508" spans="1:39" s="560" customFormat="1" ht="13.2" customHeight="1">
      <c r="A508" s="492" t="s">
        <v>973</v>
      </c>
      <c r="B508" s="608" t="s">
        <v>1291</v>
      </c>
      <c r="C508" s="690"/>
      <c r="D508" s="580"/>
      <c r="E508" s="581"/>
      <c r="F508" s="778"/>
      <c r="G508" s="581"/>
      <c r="H508" s="581"/>
      <c r="I508" s="949"/>
      <c r="J508" s="949"/>
      <c r="K508" s="825"/>
      <c r="L508" s="575"/>
      <c r="M508" s="809"/>
      <c r="N508" s="575"/>
      <c r="O508" s="575"/>
      <c r="P508" s="575"/>
      <c r="Q508" s="575"/>
      <c r="R508" s="575"/>
      <c r="S508" s="575"/>
      <c r="T508" s="809"/>
      <c r="U508" s="575"/>
      <c r="V508" s="575"/>
      <c r="W508" s="575"/>
      <c r="X508" s="575"/>
      <c r="Y508" s="575"/>
      <c r="Z508" s="575"/>
      <c r="AA508" s="809"/>
      <c r="AB508" s="817"/>
      <c r="AC508" s="575"/>
      <c r="AD508" s="575"/>
      <c r="AE508" s="753"/>
      <c r="AF508" s="575"/>
      <c r="AG508" s="575"/>
      <c r="AH508" s="842"/>
      <c r="AI508" s="1013">
        <f t="shared" si="24"/>
        <v>0</v>
      </c>
      <c r="AJ508" s="949">
        <v>0</v>
      </c>
      <c r="AK508" s="581">
        <f t="shared" si="25"/>
        <v>0</v>
      </c>
      <c r="AL508" s="750" t="s">
        <v>1718</v>
      </c>
      <c r="AM508" s="743">
        <f t="shared" si="26"/>
        <v>154.19</v>
      </c>
    </row>
    <row r="509" spans="1:39" s="560" customFormat="1" ht="13.2" customHeight="1">
      <c r="A509" s="607" t="s">
        <v>974</v>
      </c>
      <c r="B509" s="607" t="s">
        <v>1292</v>
      </c>
      <c r="C509" s="614" t="s">
        <v>36</v>
      </c>
      <c r="D509" s="580"/>
      <c r="E509" s="581"/>
      <c r="F509" s="778"/>
      <c r="G509" s="581"/>
      <c r="H509" s="581"/>
      <c r="I509" s="949"/>
      <c r="J509" s="949"/>
      <c r="K509" s="825"/>
      <c r="L509" s="575"/>
      <c r="M509" s="809"/>
      <c r="N509" s="575"/>
      <c r="O509" s="575"/>
      <c r="P509" s="575"/>
      <c r="Q509" s="575"/>
      <c r="R509" s="1096">
        <f>5*3.8+3.2*0.28</f>
        <v>19.896000000000001</v>
      </c>
      <c r="S509" s="1143">
        <f>3.5*1.8</f>
        <v>6.3</v>
      </c>
      <c r="T509" s="809"/>
      <c r="U509" s="1143">
        <f>3.5*0.56+2.25*0.26+3.3*2.95</f>
        <v>12.28</v>
      </c>
      <c r="V509" s="1143">
        <f>3.5*2.25+3.2*0.8+2.45*2.4</f>
        <v>16.315000000000001</v>
      </c>
      <c r="W509" s="575"/>
      <c r="X509" s="575"/>
      <c r="Z509" s="1122">
        <f>2.95*3.3</f>
        <v>9.7349999999999994</v>
      </c>
      <c r="AA509" s="809"/>
      <c r="AB509" s="817"/>
      <c r="AC509" s="1145">
        <f>2.65*2.35</f>
        <v>6.2275</v>
      </c>
      <c r="AD509" s="575"/>
      <c r="AE509" s="753"/>
      <c r="AF509" s="575"/>
      <c r="AG509" s="575"/>
      <c r="AH509" s="842"/>
      <c r="AI509" s="1156">
        <f t="shared" si="24"/>
        <v>70.75</v>
      </c>
      <c r="AJ509" s="949">
        <v>0</v>
      </c>
      <c r="AK509" s="581">
        <f t="shared" si="25"/>
        <v>70.75</v>
      </c>
      <c r="AL509" s="750" t="s">
        <v>1719</v>
      </c>
      <c r="AM509" s="743">
        <f t="shared" si="26"/>
        <v>-21.939999999999998</v>
      </c>
    </row>
    <row r="510" spans="1:39" s="560" customFormat="1" ht="13.2" customHeight="1">
      <c r="A510" s="607" t="s">
        <v>975</v>
      </c>
      <c r="B510" s="607" t="s">
        <v>1293</v>
      </c>
      <c r="C510" s="614" t="s">
        <v>36</v>
      </c>
      <c r="D510" s="580"/>
      <c r="E510" s="581"/>
      <c r="F510" s="778"/>
      <c r="G510" s="581"/>
      <c r="H510" s="581"/>
      <c r="I510" s="949"/>
      <c r="J510" s="949"/>
      <c r="K510" s="825"/>
      <c r="L510" s="575"/>
      <c r="M510" s="809"/>
      <c r="N510" s="575"/>
      <c r="O510" s="575"/>
      <c r="P510" s="575"/>
      <c r="Q510" s="575"/>
      <c r="R510" s="575"/>
      <c r="S510" s="575"/>
      <c r="T510" s="809"/>
      <c r="U510" s="575"/>
      <c r="V510" s="575"/>
      <c r="W510" s="575"/>
      <c r="X510" s="575"/>
      <c r="Y510" s="575"/>
      <c r="Z510" s="575"/>
      <c r="AA510" s="809"/>
      <c r="AB510" s="817"/>
      <c r="AC510" s="575"/>
      <c r="AD510" s="575"/>
      <c r="AE510" s="753"/>
      <c r="AF510" s="575"/>
      <c r="AG510" s="575"/>
      <c r="AH510" s="842"/>
      <c r="AI510" s="1013">
        <f t="shared" si="24"/>
        <v>0</v>
      </c>
      <c r="AJ510" s="949">
        <v>0</v>
      </c>
      <c r="AK510" s="581">
        <f t="shared" si="25"/>
        <v>0</v>
      </c>
      <c r="AL510" s="750"/>
      <c r="AM510" s="743">
        <f t="shared" si="26"/>
        <v>0</v>
      </c>
    </row>
    <row r="511" spans="1:39" s="560" customFormat="1" ht="13.2" customHeight="1">
      <c r="A511" s="492" t="s">
        <v>976</v>
      </c>
      <c r="B511" s="608" t="s">
        <v>1294</v>
      </c>
      <c r="C511" s="690"/>
      <c r="D511" s="580"/>
      <c r="E511" s="581"/>
      <c r="F511" s="778"/>
      <c r="G511" s="581"/>
      <c r="H511" s="581"/>
      <c r="I511" s="949"/>
      <c r="J511" s="949"/>
      <c r="K511" s="825"/>
      <c r="L511" s="575"/>
      <c r="M511" s="809"/>
      <c r="N511" s="575"/>
      <c r="O511" s="575"/>
      <c r="P511" s="575"/>
      <c r="Q511" s="575"/>
      <c r="R511" s="575"/>
      <c r="S511" s="575"/>
      <c r="T511" s="809"/>
      <c r="U511" s="575"/>
      <c r="V511" s="575"/>
      <c r="W511" s="575"/>
      <c r="X511" s="575"/>
      <c r="Y511" s="575"/>
      <c r="Z511" s="575"/>
      <c r="AA511" s="809"/>
      <c r="AB511" s="817"/>
      <c r="AC511" s="575"/>
      <c r="AD511" s="575"/>
      <c r="AE511" s="753"/>
      <c r="AF511" s="575"/>
      <c r="AG511" s="575"/>
      <c r="AH511" s="842"/>
      <c r="AI511" s="1013">
        <f t="shared" si="24"/>
        <v>0</v>
      </c>
      <c r="AJ511" s="949">
        <v>0</v>
      </c>
      <c r="AK511" s="581">
        <f t="shared" si="25"/>
        <v>0</v>
      </c>
      <c r="AL511" s="750"/>
      <c r="AM511" s="743">
        <f t="shared" si="26"/>
        <v>0</v>
      </c>
    </row>
    <row r="512" spans="1:39" s="560" customFormat="1" ht="13.2" customHeight="1">
      <c r="A512" s="607" t="s">
        <v>977</v>
      </c>
      <c r="B512" s="607" t="s">
        <v>1235</v>
      </c>
      <c r="C512" s="690"/>
      <c r="D512" s="580"/>
      <c r="E512" s="581"/>
      <c r="F512" s="778"/>
      <c r="G512" s="581"/>
      <c r="H512" s="581"/>
      <c r="I512" s="949"/>
      <c r="J512" s="949"/>
      <c r="K512" s="825"/>
      <c r="L512" s="575"/>
      <c r="M512" s="809"/>
      <c r="N512" s="575"/>
      <c r="O512" s="575"/>
      <c r="P512" s="575"/>
      <c r="Q512" s="575"/>
      <c r="R512" s="575"/>
      <c r="S512" s="575"/>
      <c r="T512" s="809"/>
      <c r="U512" s="575"/>
      <c r="V512" s="575"/>
      <c r="W512" s="575"/>
      <c r="X512" s="575"/>
      <c r="Y512" s="575"/>
      <c r="Z512" s="575"/>
      <c r="AA512" s="809"/>
      <c r="AB512" s="817"/>
      <c r="AC512" s="575"/>
      <c r="AD512" s="575"/>
      <c r="AE512" s="753"/>
      <c r="AF512" s="575"/>
      <c r="AG512" s="575"/>
      <c r="AH512" s="842"/>
      <c r="AI512" s="1013">
        <f t="shared" si="24"/>
        <v>0</v>
      </c>
      <c r="AJ512" s="949">
        <v>0</v>
      </c>
      <c r="AK512" s="581">
        <f t="shared" si="25"/>
        <v>0</v>
      </c>
      <c r="AL512" s="750" t="s">
        <v>1594</v>
      </c>
      <c r="AM512" s="743">
        <f t="shared" si="26"/>
        <v>60</v>
      </c>
    </row>
    <row r="513" spans="1:39" s="560" customFormat="1" ht="13.2" customHeight="1">
      <c r="A513" s="604" t="s">
        <v>978</v>
      </c>
      <c r="B513" s="604" t="s">
        <v>1295</v>
      </c>
      <c r="C513" s="614" t="s">
        <v>36</v>
      </c>
      <c r="D513" s="580"/>
      <c r="E513" s="581"/>
      <c r="F513" s="778"/>
      <c r="G513" s="581"/>
      <c r="H513" s="581"/>
      <c r="I513" s="949"/>
      <c r="J513" s="949"/>
      <c r="K513" s="825"/>
      <c r="L513" s="575"/>
      <c r="M513" s="809"/>
      <c r="N513" s="575"/>
      <c r="O513" s="575"/>
      <c r="P513" s="575"/>
      <c r="Q513" s="575"/>
      <c r="R513" s="575"/>
      <c r="S513" s="575"/>
      <c r="T513" s="809"/>
      <c r="U513" s="575"/>
      <c r="V513" s="575"/>
      <c r="W513" s="575"/>
      <c r="X513" s="575"/>
      <c r="Y513" s="575"/>
      <c r="Z513" s="575"/>
      <c r="AA513" s="809"/>
      <c r="AB513" s="817"/>
      <c r="AC513" s="575"/>
      <c r="AD513" s="575"/>
      <c r="AE513" s="753"/>
      <c r="AF513" s="575"/>
      <c r="AG513" s="575"/>
      <c r="AH513" s="842"/>
      <c r="AI513" s="1013">
        <f t="shared" si="24"/>
        <v>0</v>
      </c>
      <c r="AJ513" s="949">
        <v>0</v>
      </c>
      <c r="AK513" s="581">
        <f t="shared" si="25"/>
        <v>0</v>
      </c>
      <c r="AL513" s="750" t="s">
        <v>1619</v>
      </c>
      <c r="AM513" s="743">
        <f t="shared" si="26"/>
        <v>5.18</v>
      </c>
    </row>
    <row r="514" spans="1:39" s="560" customFormat="1" ht="13.2" customHeight="1">
      <c r="A514" s="604" t="s">
        <v>979</v>
      </c>
      <c r="B514" s="604" t="s">
        <v>1296</v>
      </c>
      <c r="C514" s="614" t="s">
        <v>36</v>
      </c>
      <c r="D514" s="580"/>
      <c r="E514" s="581"/>
      <c r="F514" s="778"/>
      <c r="G514" s="581"/>
      <c r="H514" s="581"/>
      <c r="I514" s="949"/>
      <c r="J514" s="949"/>
      <c r="K514" s="825"/>
      <c r="L514" s="575"/>
      <c r="M514" s="809"/>
      <c r="N514" s="575"/>
      <c r="O514" s="575"/>
      <c r="P514" s="575"/>
      <c r="Q514" s="575"/>
      <c r="R514" s="575"/>
      <c r="S514" s="575"/>
      <c r="T514" s="809"/>
      <c r="U514" s="575"/>
      <c r="V514" s="575"/>
      <c r="W514" s="575"/>
      <c r="X514" s="575"/>
      <c r="Y514" s="575"/>
      <c r="Z514" s="575"/>
      <c r="AA514" s="809"/>
      <c r="AB514" s="817"/>
      <c r="AC514" s="575"/>
      <c r="AD514" s="575"/>
      <c r="AE514" s="753"/>
      <c r="AF514" s="575"/>
      <c r="AG514" s="575"/>
      <c r="AH514" s="842"/>
      <c r="AI514" s="1013">
        <f t="shared" si="24"/>
        <v>0</v>
      </c>
      <c r="AJ514" s="949">
        <v>0</v>
      </c>
      <c r="AK514" s="581">
        <f t="shared" si="25"/>
        <v>0</v>
      </c>
      <c r="AL514" s="750"/>
      <c r="AM514" s="743">
        <f t="shared" si="26"/>
        <v>0</v>
      </c>
    </row>
    <row r="515" spans="1:39" s="560" customFormat="1" ht="13.2" customHeight="1">
      <c r="A515" s="607" t="s">
        <v>980</v>
      </c>
      <c r="B515" s="607" t="s">
        <v>1239</v>
      </c>
      <c r="C515" s="690"/>
      <c r="D515" s="580"/>
      <c r="E515" s="581"/>
      <c r="F515" s="778"/>
      <c r="G515" s="581"/>
      <c r="H515" s="581"/>
      <c r="I515" s="949"/>
      <c r="J515" s="949"/>
      <c r="K515" s="825"/>
      <c r="L515" s="575"/>
      <c r="M515" s="809"/>
      <c r="N515" s="575"/>
      <c r="O515" s="575"/>
      <c r="P515" s="575"/>
      <c r="Q515" s="575"/>
      <c r="R515" s="575"/>
      <c r="S515" s="575"/>
      <c r="T515" s="809"/>
      <c r="U515" s="575"/>
      <c r="V515" s="575"/>
      <c r="W515" s="575"/>
      <c r="X515" s="575"/>
      <c r="Y515" s="575"/>
      <c r="Z515" s="575"/>
      <c r="AA515" s="809"/>
      <c r="AB515" s="817"/>
      <c r="AC515" s="575"/>
      <c r="AD515" s="575"/>
      <c r="AE515" s="753"/>
      <c r="AF515" s="575"/>
      <c r="AG515" s="575"/>
      <c r="AH515" s="842"/>
      <c r="AI515" s="1013">
        <f t="shared" si="24"/>
        <v>0</v>
      </c>
      <c r="AJ515" s="949">
        <v>0</v>
      </c>
      <c r="AK515" s="581">
        <f t="shared" si="25"/>
        <v>0</v>
      </c>
      <c r="AL515" s="750" t="s">
        <v>1720</v>
      </c>
      <c r="AM515" s="743">
        <f t="shared" si="26"/>
        <v>73.98</v>
      </c>
    </row>
    <row r="516" spans="1:39" s="560" customFormat="1" ht="13.2" customHeight="1">
      <c r="A516" s="604" t="s">
        <v>981</v>
      </c>
      <c r="B516" s="604" t="s">
        <v>1297</v>
      </c>
      <c r="C516" s="614" t="s">
        <v>37</v>
      </c>
      <c r="D516" s="580"/>
      <c r="E516" s="581"/>
      <c r="F516" s="778"/>
      <c r="G516" s="581"/>
      <c r="H516" s="581"/>
      <c r="I516" s="949"/>
      <c r="J516" s="949"/>
      <c r="K516" s="825"/>
      <c r="L516" s="575"/>
      <c r="M516" s="809"/>
      <c r="N516" s="575"/>
      <c r="O516" s="575"/>
      <c r="P516" s="575"/>
      <c r="Q516" s="575"/>
      <c r="R516" s="575"/>
      <c r="S516" s="575"/>
      <c r="T516" s="809"/>
      <c r="U516" s="575"/>
      <c r="V516" s="575"/>
      <c r="W516" s="575"/>
      <c r="X516" s="575"/>
      <c r="Y516" s="575"/>
      <c r="Z516" s="575"/>
      <c r="AA516" s="809"/>
      <c r="AB516" s="817"/>
      <c r="AC516" s="575"/>
      <c r="AD516" s="575"/>
      <c r="AE516" s="753"/>
      <c r="AF516" s="575"/>
      <c r="AG516" s="575"/>
      <c r="AH516" s="842"/>
      <c r="AI516" s="1013">
        <f t="shared" si="24"/>
        <v>0</v>
      </c>
      <c r="AJ516" s="949">
        <v>0</v>
      </c>
      <c r="AK516" s="581">
        <f t="shared" si="25"/>
        <v>0</v>
      </c>
      <c r="AL516" s="750" t="s">
        <v>1721</v>
      </c>
      <c r="AM516" s="743">
        <f t="shared" si="26"/>
        <v>44.39</v>
      </c>
    </row>
    <row r="517" spans="1:39" s="560" customFormat="1" ht="13.2" customHeight="1">
      <c r="A517" s="604" t="s">
        <v>982</v>
      </c>
      <c r="B517" s="604" t="s">
        <v>1241</v>
      </c>
      <c r="C517" s="614" t="s">
        <v>36</v>
      </c>
      <c r="D517" s="580"/>
      <c r="E517" s="581"/>
      <c r="F517" s="778"/>
      <c r="G517" s="581"/>
      <c r="H517" s="581"/>
      <c r="I517" s="949"/>
      <c r="J517" s="949"/>
      <c r="K517" s="825"/>
      <c r="L517" s="575"/>
      <c r="M517" s="809"/>
      <c r="N517" s="575"/>
      <c r="O517" s="575"/>
      <c r="P517" s="575"/>
      <c r="Q517" s="575"/>
      <c r="R517" s="575"/>
      <c r="S517" s="575"/>
      <c r="T517" s="809"/>
      <c r="U517" s="575"/>
      <c r="V517" s="575"/>
      <c r="W517" s="575"/>
      <c r="X517" s="575"/>
      <c r="Y517" s="575"/>
      <c r="Z517" s="575"/>
      <c r="AA517" s="809"/>
      <c r="AB517" s="817"/>
      <c r="AC517" s="575"/>
      <c r="AD517" s="575"/>
      <c r="AE517" s="753"/>
      <c r="AF517" s="575"/>
      <c r="AG517" s="575"/>
      <c r="AH517" s="842"/>
      <c r="AI517" s="1013">
        <f t="shared" si="24"/>
        <v>0</v>
      </c>
      <c r="AJ517" s="949">
        <v>0</v>
      </c>
      <c r="AK517" s="581">
        <f t="shared" si="25"/>
        <v>0</v>
      </c>
      <c r="AL517" s="750"/>
      <c r="AM517" s="743">
        <f t="shared" si="26"/>
        <v>0</v>
      </c>
    </row>
    <row r="518" spans="1:39" s="560" customFormat="1" ht="13.2" customHeight="1">
      <c r="A518" s="607" t="s">
        <v>983</v>
      </c>
      <c r="B518" s="607" t="s">
        <v>1298</v>
      </c>
      <c r="C518" s="690"/>
      <c r="D518" s="580"/>
      <c r="E518" s="581"/>
      <c r="F518" s="778"/>
      <c r="G518" s="581"/>
      <c r="H518" s="581"/>
      <c r="I518" s="949"/>
      <c r="J518" s="949"/>
      <c r="K518" s="825"/>
      <c r="L518" s="575"/>
      <c r="M518" s="809"/>
      <c r="N518" s="575"/>
      <c r="O518" s="575"/>
      <c r="P518" s="575"/>
      <c r="Q518" s="575"/>
      <c r="R518" s="575"/>
      <c r="S518" s="575"/>
      <c r="T518" s="809"/>
      <c r="U518" s="575"/>
      <c r="V518" s="575"/>
      <c r="W518" s="575"/>
      <c r="X518" s="575"/>
      <c r="Y518" s="575"/>
      <c r="Z518" s="575"/>
      <c r="AA518" s="809"/>
      <c r="AB518" s="817"/>
      <c r="AC518" s="575"/>
      <c r="AD518" s="575"/>
      <c r="AE518" s="753"/>
      <c r="AF518" s="575"/>
      <c r="AG518" s="575"/>
      <c r="AH518" s="842"/>
      <c r="AI518" s="1013">
        <f t="shared" si="24"/>
        <v>0</v>
      </c>
      <c r="AJ518" s="949">
        <v>0</v>
      </c>
      <c r="AK518" s="581">
        <f t="shared" si="25"/>
        <v>0</v>
      </c>
      <c r="AL518" s="750" t="s">
        <v>1722</v>
      </c>
      <c r="AM518" s="743">
        <f t="shared" si="26"/>
        <v>64</v>
      </c>
    </row>
    <row r="519" spans="1:39" s="560" customFormat="1" ht="13.2" customHeight="1">
      <c r="A519" s="604" t="s">
        <v>984</v>
      </c>
      <c r="B519" s="604" t="s">
        <v>1299</v>
      </c>
      <c r="C519" s="614" t="s">
        <v>36</v>
      </c>
      <c r="D519" s="580"/>
      <c r="E519" s="581"/>
      <c r="F519" s="778"/>
      <c r="G519" s="581"/>
      <c r="H519" s="581"/>
      <c r="I519" s="949"/>
      <c r="J519" s="949"/>
      <c r="K519" s="825"/>
      <c r="L519" s="575"/>
      <c r="M519" s="809"/>
      <c r="N519" s="575"/>
      <c r="O519" s="575"/>
      <c r="P519" s="575"/>
      <c r="Q519" s="575"/>
      <c r="R519" s="575"/>
      <c r="S519" s="575"/>
      <c r="T519" s="809"/>
      <c r="U519" s="575"/>
      <c r="V519" s="575"/>
      <c r="W519" s="575"/>
      <c r="X519" s="575"/>
      <c r="Y519" s="575"/>
      <c r="Z519" s="575"/>
      <c r="AA519" s="809"/>
      <c r="AB519" s="817"/>
      <c r="AC519" s="575"/>
      <c r="AD519" s="575"/>
      <c r="AE519" s="753"/>
      <c r="AF519" s="575"/>
      <c r="AG519" s="575"/>
      <c r="AH519" s="842"/>
      <c r="AI519" s="1013">
        <f t="shared" si="24"/>
        <v>0</v>
      </c>
      <c r="AJ519" s="949">
        <v>0</v>
      </c>
      <c r="AK519" s="581">
        <f t="shared" si="25"/>
        <v>0</v>
      </c>
      <c r="AL519" s="750"/>
      <c r="AM519" s="743">
        <f t="shared" si="26"/>
        <v>0</v>
      </c>
    </row>
    <row r="520" spans="1:39" s="560" customFormat="1" ht="13.2" customHeight="1">
      <c r="A520" s="607" t="s">
        <v>985</v>
      </c>
      <c r="B520" s="607" t="s">
        <v>1186</v>
      </c>
      <c r="C520" s="690"/>
      <c r="D520" s="580"/>
      <c r="E520" s="581"/>
      <c r="F520" s="778"/>
      <c r="G520" s="581"/>
      <c r="H520" s="581"/>
      <c r="I520" s="949"/>
      <c r="J520" s="949"/>
      <c r="K520" s="825"/>
      <c r="L520" s="575"/>
      <c r="M520" s="809"/>
      <c r="N520" s="575"/>
      <c r="O520" s="575"/>
      <c r="P520" s="575"/>
      <c r="Q520" s="575"/>
      <c r="R520" s="575"/>
      <c r="S520" s="575"/>
      <c r="T520" s="809"/>
      <c r="U520" s="575"/>
      <c r="V520" s="575"/>
      <c r="W520" s="575"/>
      <c r="X520" s="575"/>
      <c r="Y520" s="575"/>
      <c r="Z520" s="575"/>
      <c r="AA520" s="809"/>
      <c r="AB520" s="817"/>
      <c r="AC520" s="575"/>
      <c r="AD520" s="575"/>
      <c r="AE520" s="753"/>
      <c r="AF520" s="575"/>
      <c r="AG520" s="575"/>
      <c r="AH520" s="842"/>
      <c r="AI520" s="1013">
        <f t="shared" si="24"/>
        <v>0</v>
      </c>
      <c r="AJ520" s="949">
        <v>0</v>
      </c>
      <c r="AK520" s="581">
        <f t="shared" si="25"/>
        <v>0</v>
      </c>
      <c r="AL520" s="750" t="s">
        <v>1723</v>
      </c>
      <c r="AM520" s="743">
        <f t="shared" si="26"/>
        <v>22</v>
      </c>
    </row>
    <row r="521" spans="1:39" s="560" customFormat="1" ht="13.2" customHeight="1">
      <c r="A521" s="604" t="s">
        <v>986</v>
      </c>
      <c r="B521" s="604" t="s">
        <v>1300</v>
      </c>
      <c r="C521" s="614" t="s">
        <v>37</v>
      </c>
      <c r="D521" s="580"/>
      <c r="E521" s="581"/>
      <c r="F521" s="778"/>
      <c r="G521" s="581"/>
      <c r="H521" s="581"/>
      <c r="I521" s="949"/>
      <c r="J521" s="949"/>
      <c r="K521" s="825"/>
      <c r="L521" s="575"/>
      <c r="M521" s="809"/>
      <c r="N521" s="575"/>
      <c r="O521" s="575"/>
      <c r="P521" s="575"/>
      <c r="Q521" s="575"/>
      <c r="R521" s="575"/>
      <c r="S521" s="575"/>
      <c r="T521" s="809"/>
      <c r="U521" s="575"/>
      <c r="V521" s="575"/>
      <c r="W521" s="575"/>
      <c r="X521" s="575"/>
      <c r="Y521" s="575"/>
      <c r="Z521" s="575"/>
      <c r="AA521" s="809"/>
      <c r="AB521" s="817"/>
      <c r="AC521" s="575"/>
      <c r="AD521" s="575"/>
      <c r="AE521" s="753"/>
      <c r="AF521" s="575"/>
      <c r="AG521" s="575"/>
      <c r="AH521" s="842"/>
      <c r="AI521" s="1013">
        <f t="shared" si="24"/>
        <v>0</v>
      </c>
      <c r="AJ521" s="949">
        <v>0</v>
      </c>
      <c r="AK521" s="581">
        <f t="shared" si="25"/>
        <v>0</v>
      </c>
      <c r="AL521" s="750" t="s">
        <v>1441</v>
      </c>
      <c r="AM521" s="743">
        <f t="shared" si="26"/>
        <v>1</v>
      </c>
    </row>
    <row r="522" spans="1:39" s="560" customFormat="1" ht="13.2" customHeight="1">
      <c r="A522" s="604" t="s">
        <v>987</v>
      </c>
      <c r="B522" s="604" t="s">
        <v>1301</v>
      </c>
      <c r="C522" s="614" t="s">
        <v>1436</v>
      </c>
      <c r="D522" s="580"/>
      <c r="E522" s="581"/>
      <c r="F522" s="778"/>
      <c r="G522" s="581"/>
      <c r="H522" s="581"/>
      <c r="I522" s="949"/>
      <c r="J522" s="949"/>
      <c r="K522" s="825"/>
      <c r="L522" s="575"/>
      <c r="M522" s="809"/>
      <c r="N522" s="575"/>
      <c r="O522" s="575"/>
      <c r="P522" s="575"/>
      <c r="Q522" s="575"/>
      <c r="R522" s="575"/>
      <c r="S522" s="575"/>
      <c r="T522" s="809"/>
      <c r="U522" s="575"/>
      <c r="V522" s="575"/>
      <c r="W522" s="575"/>
      <c r="X522" s="575"/>
      <c r="Y522" s="575"/>
      <c r="Z522" s="575"/>
      <c r="AA522" s="809"/>
      <c r="AB522" s="817"/>
      <c r="AC522" s="575"/>
      <c r="AD522" s="575"/>
      <c r="AE522" s="753"/>
      <c r="AF522" s="575"/>
      <c r="AG522" s="575"/>
      <c r="AH522" s="842"/>
      <c r="AI522" s="1013">
        <f t="shared" si="24"/>
        <v>0</v>
      </c>
      <c r="AJ522" s="949">
        <v>0</v>
      </c>
      <c r="AK522" s="581">
        <f t="shared" si="25"/>
        <v>0</v>
      </c>
      <c r="AL522" s="750"/>
      <c r="AM522" s="743">
        <f t="shared" si="26"/>
        <v>0</v>
      </c>
    </row>
    <row r="523" spans="1:39" s="560" customFormat="1" ht="13.2" customHeight="1">
      <c r="A523" s="492" t="s">
        <v>988</v>
      </c>
      <c r="B523" s="608" t="s">
        <v>1302</v>
      </c>
      <c r="C523" s="690"/>
      <c r="D523" s="580"/>
      <c r="E523" s="581"/>
      <c r="F523" s="778"/>
      <c r="G523" s="581"/>
      <c r="H523" s="581"/>
      <c r="I523" s="949"/>
      <c r="J523" s="949"/>
      <c r="K523" s="825"/>
      <c r="L523" s="575"/>
      <c r="M523" s="809"/>
      <c r="N523" s="575"/>
      <c r="O523" s="575"/>
      <c r="P523" s="575"/>
      <c r="Q523" s="575"/>
      <c r="R523" s="575"/>
      <c r="S523" s="575"/>
      <c r="T523" s="809"/>
      <c r="U523" s="575"/>
      <c r="V523" s="575"/>
      <c r="W523" s="575"/>
      <c r="X523" s="575"/>
      <c r="Y523" s="575"/>
      <c r="Z523" s="575"/>
      <c r="AA523" s="809"/>
      <c r="AB523" s="817"/>
      <c r="AC523" s="575"/>
      <c r="AD523" s="575"/>
      <c r="AE523" s="753"/>
      <c r="AF523" s="575"/>
      <c r="AG523" s="575"/>
      <c r="AH523" s="842"/>
      <c r="AI523" s="1013">
        <f t="shared" si="24"/>
        <v>0</v>
      </c>
      <c r="AJ523" s="949">
        <v>0</v>
      </c>
      <c r="AK523" s="581">
        <f t="shared" si="25"/>
        <v>0</v>
      </c>
      <c r="AL523" s="750"/>
      <c r="AM523" s="743">
        <f t="shared" si="26"/>
        <v>0</v>
      </c>
    </row>
    <row r="524" spans="1:39" s="560" customFormat="1" ht="13.2" customHeight="1">
      <c r="A524" s="607" t="s">
        <v>989</v>
      </c>
      <c r="B524" s="607" t="s">
        <v>1235</v>
      </c>
      <c r="C524" s="690"/>
      <c r="D524" s="580"/>
      <c r="E524" s="581"/>
      <c r="F524" s="778"/>
      <c r="G524" s="581"/>
      <c r="H524" s="581"/>
      <c r="I524" s="949"/>
      <c r="J524" s="949"/>
      <c r="K524" s="825"/>
      <c r="L524" s="575"/>
      <c r="M524" s="809"/>
      <c r="N524" s="575"/>
      <c r="O524" s="575"/>
      <c r="P524" s="575"/>
      <c r="Q524" s="575"/>
      <c r="R524" s="575"/>
      <c r="S524" s="575"/>
      <c r="T524" s="809"/>
      <c r="U524" s="575"/>
      <c r="V524" s="575"/>
      <c r="W524" s="575"/>
      <c r="X524" s="575"/>
      <c r="Y524" s="575"/>
      <c r="Z524" s="575"/>
      <c r="AA524" s="809"/>
      <c r="AB524" s="817"/>
      <c r="AC524" s="575"/>
      <c r="AD524" s="575"/>
      <c r="AE524" s="753"/>
      <c r="AF524" s="575"/>
      <c r="AG524" s="575"/>
      <c r="AH524" s="842"/>
      <c r="AI524" s="1013">
        <f t="shared" ref="AI524:AI587" si="27">ROUND((SUM(D524:AH524)),2)</f>
        <v>0</v>
      </c>
      <c r="AJ524" s="949">
        <v>0</v>
      </c>
      <c r="AK524" s="581">
        <f t="shared" si="25"/>
        <v>0</v>
      </c>
      <c r="AL524" s="750" t="s">
        <v>1724</v>
      </c>
      <c r="AM524" s="743">
        <f t="shared" si="26"/>
        <v>28.21</v>
      </c>
    </row>
    <row r="525" spans="1:39" s="560" customFormat="1" ht="13.2" customHeight="1">
      <c r="A525" s="604" t="s">
        <v>990</v>
      </c>
      <c r="B525" s="604" t="s">
        <v>1303</v>
      </c>
      <c r="C525" s="614" t="s">
        <v>36</v>
      </c>
      <c r="D525" s="580"/>
      <c r="E525" s="581"/>
      <c r="F525" s="778"/>
      <c r="G525" s="581"/>
      <c r="H525" s="581"/>
      <c r="I525" s="949"/>
      <c r="J525" s="949"/>
      <c r="K525" s="825"/>
      <c r="L525" s="575"/>
      <c r="M525" s="809"/>
      <c r="N525" s="575"/>
      <c r="O525" s="575"/>
      <c r="P525" s="575"/>
      <c r="Q525" s="575"/>
      <c r="R525" s="575"/>
      <c r="S525" s="575"/>
      <c r="T525" s="809"/>
      <c r="U525" s="575"/>
      <c r="V525" s="575"/>
      <c r="W525" s="575"/>
      <c r="X525" s="575"/>
      <c r="Y525" s="575"/>
      <c r="Z525" s="575"/>
      <c r="AA525" s="809"/>
      <c r="AB525" s="817"/>
      <c r="AC525" s="575"/>
      <c r="AD525" s="575"/>
      <c r="AE525" s="753"/>
      <c r="AF525" s="575"/>
      <c r="AG525" s="575"/>
      <c r="AH525" s="842"/>
      <c r="AI525" s="1013">
        <f t="shared" si="27"/>
        <v>0</v>
      </c>
      <c r="AJ525" s="949">
        <v>0</v>
      </c>
      <c r="AK525" s="581">
        <f t="shared" si="25"/>
        <v>0</v>
      </c>
      <c r="AL525" s="750"/>
      <c r="AM525" s="743">
        <f t="shared" si="26"/>
        <v>0</v>
      </c>
    </row>
    <row r="526" spans="1:39" s="560" customFormat="1" ht="13.2" customHeight="1">
      <c r="A526" s="607" t="s">
        <v>991</v>
      </c>
      <c r="B526" s="607" t="s">
        <v>1304</v>
      </c>
      <c r="C526" s="690"/>
      <c r="D526" s="580"/>
      <c r="E526" s="581"/>
      <c r="F526" s="778"/>
      <c r="G526" s="581"/>
      <c r="H526" s="581"/>
      <c r="I526" s="949"/>
      <c r="J526" s="949"/>
      <c r="K526" s="825"/>
      <c r="L526" s="575"/>
      <c r="M526" s="809"/>
      <c r="N526" s="575"/>
      <c r="O526" s="575"/>
      <c r="P526" s="575"/>
      <c r="Q526" s="575"/>
      <c r="R526" s="575"/>
      <c r="S526" s="575"/>
      <c r="T526" s="809"/>
      <c r="U526" s="575"/>
      <c r="V526" s="575"/>
      <c r="W526" s="575"/>
      <c r="X526" s="575"/>
      <c r="Y526" s="575"/>
      <c r="Z526" s="575"/>
      <c r="AA526" s="809"/>
      <c r="AB526" s="817"/>
      <c r="AC526" s="575"/>
      <c r="AD526" s="575"/>
      <c r="AE526" s="753"/>
      <c r="AF526" s="575"/>
      <c r="AG526" s="575"/>
      <c r="AH526" s="842"/>
      <c r="AI526" s="1013">
        <f t="shared" si="27"/>
        <v>0</v>
      </c>
      <c r="AJ526" s="949">
        <v>0</v>
      </c>
      <c r="AK526" s="581">
        <f t="shared" si="25"/>
        <v>0</v>
      </c>
      <c r="AL526" s="750" t="s">
        <v>1725</v>
      </c>
      <c r="AM526" s="743">
        <f t="shared" si="26"/>
        <v>5.9</v>
      </c>
    </row>
    <row r="527" spans="1:39" s="560" customFormat="1" ht="13.2" customHeight="1">
      <c r="A527" s="604" t="s">
        <v>992</v>
      </c>
      <c r="B527" s="604" t="s">
        <v>1305</v>
      </c>
      <c r="C527" s="614" t="s">
        <v>39</v>
      </c>
      <c r="D527" s="580"/>
      <c r="E527" s="581"/>
      <c r="F527" s="778"/>
      <c r="G527" s="581"/>
      <c r="H527" s="581"/>
      <c r="I527" s="949"/>
      <c r="J527" s="949"/>
      <c r="K527" s="825"/>
      <c r="L527" s="575"/>
      <c r="M527" s="809"/>
      <c r="N527" s="575"/>
      <c r="O527" s="575"/>
      <c r="P527" s="575"/>
      <c r="Q527" s="575"/>
      <c r="R527" s="575"/>
      <c r="S527" s="575"/>
      <c r="T527" s="809"/>
      <c r="U527" s="575"/>
      <c r="V527" s="575"/>
      <c r="W527" s="575"/>
      <c r="X527" s="575"/>
      <c r="Y527" s="575"/>
      <c r="Z527" s="575"/>
      <c r="AA527" s="809"/>
      <c r="AB527" s="817"/>
      <c r="AC527" s="575"/>
      <c r="AD527" s="575"/>
      <c r="AE527" s="753"/>
      <c r="AF527" s="575"/>
      <c r="AG527" s="575"/>
      <c r="AH527" s="842"/>
      <c r="AI527" s="1013">
        <f t="shared" si="27"/>
        <v>0</v>
      </c>
      <c r="AJ527" s="949">
        <v>0</v>
      </c>
      <c r="AK527" s="581">
        <f t="shared" si="25"/>
        <v>0</v>
      </c>
      <c r="AL527" s="750" t="s">
        <v>1664</v>
      </c>
      <c r="AM527" s="743">
        <f t="shared" si="26"/>
        <v>18.920000000000002</v>
      </c>
    </row>
    <row r="528" spans="1:39" s="560" customFormat="1" ht="13.2" customHeight="1">
      <c r="A528" s="604" t="s">
        <v>993</v>
      </c>
      <c r="B528" s="604" t="s">
        <v>1182</v>
      </c>
      <c r="C528" s="614" t="s">
        <v>36</v>
      </c>
      <c r="D528" s="580"/>
      <c r="E528" s="581"/>
      <c r="F528" s="778"/>
      <c r="G528" s="581"/>
      <c r="H528" s="581"/>
      <c r="I528" s="949"/>
      <c r="J528" s="949"/>
      <c r="K528" s="825"/>
      <c r="L528" s="575"/>
      <c r="M528" s="809"/>
      <c r="N528" s="575"/>
      <c r="O528" s="575"/>
      <c r="P528" s="575"/>
      <c r="Q528" s="575"/>
      <c r="R528" s="575"/>
      <c r="S528" s="575"/>
      <c r="T528" s="809"/>
      <c r="U528" s="575"/>
      <c r="V528" s="575"/>
      <c r="W528" s="575"/>
      <c r="X528" s="575"/>
      <c r="Y528" s="575"/>
      <c r="Z528" s="575"/>
      <c r="AA528" s="809"/>
      <c r="AB528" s="817"/>
      <c r="AC528" s="575"/>
      <c r="AD528" s="575"/>
      <c r="AE528" s="753"/>
      <c r="AF528" s="575"/>
      <c r="AG528" s="575"/>
      <c r="AH528" s="842"/>
      <c r="AI528" s="1013">
        <f t="shared" si="27"/>
        <v>0</v>
      </c>
      <c r="AJ528" s="949">
        <v>0</v>
      </c>
      <c r="AK528" s="581">
        <f t="shared" si="25"/>
        <v>0</v>
      </c>
      <c r="AL528" s="750"/>
      <c r="AM528" s="743">
        <f t="shared" si="26"/>
        <v>0</v>
      </c>
    </row>
    <row r="529" spans="1:39" s="560" customFormat="1" ht="13.2" customHeight="1">
      <c r="A529" s="607" t="s">
        <v>994</v>
      </c>
      <c r="B529" s="607" t="s">
        <v>1277</v>
      </c>
      <c r="C529" s="690"/>
      <c r="D529" s="580"/>
      <c r="E529" s="581"/>
      <c r="F529" s="778"/>
      <c r="G529" s="581"/>
      <c r="H529" s="581"/>
      <c r="I529" s="949"/>
      <c r="J529" s="949"/>
      <c r="K529" s="825"/>
      <c r="L529" s="575"/>
      <c r="M529" s="809"/>
      <c r="N529" s="575"/>
      <c r="O529" s="575"/>
      <c r="P529" s="575"/>
      <c r="Q529" s="575"/>
      <c r="R529" s="575"/>
      <c r="S529" s="575"/>
      <c r="T529" s="809"/>
      <c r="U529" s="575"/>
      <c r="V529" s="575"/>
      <c r="W529" s="575"/>
      <c r="X529" s="575"/>
      <c r="Y529" s="575"/>
      <c r="Z529" s="575"/>
      <c r="AA529" s="809"/>
      <c r="AB529" s="817"/>
      <c r="AC529" s="575"/>
      <c r="AD529" s="575"/>
      <c r="AE529" s="753"/>
      <c r="AF529" s="575"/>
      <c r="AG529" s="575"/>
      <c r="AH529" s="842"/>
      <c r="AI529" s="1013">
        <f t="shared" si="27"/>
        <v>0</v>
      </c>
      <c r="AJ529" s="949">
        <v>0</v>
      </c>
      <c r="AK529" s="581">
        <f t="shared" si="25"/>
        <v>0</v>
      </c>
      <c r="AL529" s="750" t="s">
        <v>1614</v>
      </c>
      <c r="AM529" s="743">
        <f t="shared" si="26"/>
        <v>90.62</v>
      </c>
    </row>
    <row r="530" spans="1:39" s="560" customFormat="1" ht="13.2" customHeight="1">
      <c r="A530" s="604" t="s">
        <v>995</v>
      </c>
      <c r="B530" s="604" t="s">
        <v>1306</v>
      </c>
      <c r="C530" s="614" t="s">
        <v>37</v>
      </c>
      <c r="D530" s="580"/>
      <c r="E530" s="581"/>
      <c r="F530" s="778"/>
      <c r="G530" s="581"/>
      <c r="H530" s="581"/>
      <c r="I530" s="949"/>
      <c r="J530" s="949"/>
      <c r="K530" s="825"/>
      <c r="L530" s="575"/>
      <c r="M530" s="809"/>
      <c r="N530" s="575"/>
      <c r="O530" s="575"/>
      <c r="P530" s="575"/>
      <c r="Q530" s="575"/>
      <c r="R530" s="575"/>
      <c r="S530" s="575"/>
      <c r="T530" s="809"/>
      <c r="U530" s="575"/>
      <c r="V530" s="575"/>
      <c r="W530" s="575"/>
      <c r="X530" s="575"/>
      <c r="Y530" s="575"/>
      <c r="Z530" s="575"/>
      <c r="AA530" s="809"/>
      <c r="AB530" s="817"/>
      <c r="AC530" s="575"/>
      <c r="AD530" s="575"/>
      <c r="AE530" s="753"/>
      <c r="AF530" s="575"/>
      <c r="AG530" s="575"/>
      <c r="AH530" s="842"/>
      <c r="AI530" s="1013">
        <f t="shared" si="27"/>
        <v>0</v>
      </c>
      <c r="AJ530" s="949">
        <v>0</v>
      </c>
      <c r="AK530" s="581">
        <f t="shared" si="25"/>
        <v>0</v>
      </c>
      <c r="AL530" s="750"/>
      <c r="AM530" s="743">
        <f t="shared" si="26"/>
        <v>0</v>
      </c>
    </row>
    <row r="531" spans="1:39" s="560" customFormat="1" ht="13.2" customHeight="1">
      <c r="A531" s="607" t="s">
        <v>996</v>
      </c>
      <c r="B531" s="607" t="s">
        <v>1307</v>
      </c>
      <c r="C531" s="690"/>
      <c r="D531" s="580"/>
      <c r="E531" s="581"/>
      <c r="F531" s="778"/>
      <c r="G531" s="581"/>
      <c r="H531" s="581"/>
      <c r="I531" s="949"/>
      <c r="J531" s="949"/>
      <c r="K531" s="825"/>
      <c r="L531" s="575"/>
      <c r="M531" s="809"/>
      <c r="N531" s="575"/>
      <c r="O531" s="575"/>
      <c r="P531" s="575"/>
      <c r="Q531" s="575"/>
      <c r="R531" s="575"/>
      <c r="S531" s="575"/>
      <c r="T531" s="809"/>
      <c r="U531" s="575"/>
      <c r="V531" s="575"/>
      <c r="W531" s="575"/>
      <c r="X531" s="575"/>
      <c r="Y531" s="575"/>
      <c r="Z531" s="575"/>
      <c r="AA531" s="809"/>
      <c r="AB531" s="817"/>
      <c r="AC531" s="575"/>
      <c r="AD531" s="575"/>
      <c r="AE531" s="753"/>
      <c r="AF531" s="575"/>
      <c r="AG531" s="575"/>
      <c r="AH531" s="842"/>
      <c r="AI531" s="1013">
        <f t="shared" si="27"/>
        <v>0</v>
      </c>
      <c r="AJ531" s="949">
        <v>0</v>
      </c>
      <c r="AK531" s="581">
        <f t="shared" si="25"/>
        <v>0</v>
      </c>
      <c r="AL531" s="750" t="s">
        <v>1726</v>
      </c>
      <c r="AM531" s="743">
        <f t="shared" si="26"/>
        <v>36.799999999999997</v>
      </c>
    </row>
    <row r="532" spans="1:39" s="560" customFormat="1" ht="13.2" customHeight="1">
      <c r="A532" s="604" t="s">
        <v>997</v>
      </c>
      <c r="B532" s="604" t="s">
        <v>1300</v>
      </c>
      <c r="C532" s="614" t="s">
        <v>37</v>
      </c>
      <c r="D532" s="580"/>
      <c r="E532" s="581"/>
      <c r="F532" s="778"/>
      <c r="G532" s="581"/>
      <c r="H532" s="581"/>
      <c r="I532" s="949"/>
      <c r="J532" s="949"/>
      <c r="K532" s="825"/>
      <c r="L532" s="575"/>
      <c r="M532" s="809"/>
      <c r="N532" s="575"/>
      <c r="O532" s="575"/>
      <c r="P532" s="575"/>
      <c r="Q532" s="575"/>
      <c r="R532" s="575"/>
      <c r="S532" s="575"/>
      <c r="T532" s="809"/>
      <c r="U532" s="575"/>
      <c r="V532" s="575"/>
      <c r="W532" s="575"/>
      <c r="X532" s="575"/>
      <c r="Y532" s="575"/>
      <c r="Z532" s="575"/>
      <c r="AA532" s="809"/>
      <c r="AB532" s="817"/>
      <c r="AC532" s="575"/>
      <c r="AD532" s="575"/>
      <c r="AE532" s="753"/>
      <c r="AF532" s="575"/>
      <c r="AG532" s="575"/>
      <c r="AH532" s="842"/>
      <c r="AI532" s="1013">
        <f t="shared" si="27"/>
        <v>0</v>
      </c>
      <c r="AJ532" s="949">
        <v>0</v>
      </c>
      <c r="AK532" s="581">
        <f t="shared" ref="AK532:AK595" si="28">AI532+AJ532</f>
        <v>0</v>
      </c>
      <c r="AL532" s="750"/>
      <c r="AM532" s="743">
        <f t="shared" ref="AM532:AM595" si="29">AL532-AK532</f>
        <v>0</v>
      </c>
    </row>
    <row r="533" spans="1:39" s="560" customFormat="1" ht="13.2" customHeight="1">
      <c r="A533" s="492" t="s">
        <v>998</v>
      </c>
      <c r="B533" s="608" t="s">
        <v>1308</v>
      </c>
      <c r="C533" s="690"/>
      <c r="D533" s="580"/>
      <c r="E533" s="581"/>
      <c r="F533" s="778"/>
      <c r="G533" s="581"/>
      <c r="H533" s="581"/>
      <c r="I533" s="949"/>
      <c r="J533" s="949"/>
      <c r="K533" s="825"/>
      <c r="L533" s="575"/>
      <c r="M533" s="809"/>
      <c r="N533" s="575"/>
      <c r="O533" s="575"/>
      <c r="P533" s="575"/>
      <c r="Q533" s="575"/>
      <c r="R533" s="575"/>
      <c r="S533" s="575"/>
      <c r="T533" s="809"/>
      <c r="U533" s="575"/>
      <c r="V533" s="575"/>
      <c r="W533" s="575"/>
      <c r="X533" s="575"/>
      <c r="Y533" s="575"/>
      <c r="Z533" s="575"/>
      <c r="AA533" s="809"/>
      <c r="AB533" s="817"/>
      <c r="AC533" s="575"/>
      <c r="AD533" s="575"/>
      <c r="AE533" s="753"/>
      <c r="AF533" s="575"/>
      <c r="AG533" s="575"/>
      <c r="AH533" s="842"/>
      <c r="AI533" s="1013">
        <f t="shared" si="27"/>
        <v>0</v>
      </c>
      <c r="AJ533" s="949">
        <v>0</v>
      </c>
      <c r="AK533" s="581">
        <f t="shared" si="28"/>
        <v>0</v>
      </c>
      <c r="AL533" s="750"/>
      <c r="AM533" s="743">
        <f t="shared" si="29"/>
        <v>0</v>
      </c>
    </row>
    <row r="534" spans="1:39" s="560" customFormat="1" ht="13.2" customHeight="1">
      <c r="A534" s="607" t="s">
        <v>999</v>
      </c>
      <c r="B534" s="607" t="s">
        <v>1309</v>
      </c>
      <c r="C534" s="690"/>
      <c r="D534" s="580"/>
      <c r="E534" s="581"/>
      <c r="F534" s="778"/>
      <c r="G534" s="581"/>
      <c r="H534" s="581"/>
      <c r="I534" s="949"/>
      <c r="J534" s="949"/>
      <c r="K534" s="825"/>
      <c r="L534" s="575"/>
      <c r="M534" s="809"/>
      <c r="N534" s="575"/>
      <c r="O534" s="575"/>
      <c r="P534" s="575"/>
      <c r="Q534" s="575"/>
      <c r="R534" s="575"/>
      <c r="S534" s="575"/>
      <c r="T534" s="809"/>
      <c r="U534" s="575"/>
      <c r="V534" s="575"/>
      <c r="W534" s="575"/>
      <c r="X534" s="575"/>
      <c r="Y534" s="575"/>
      <c r="Z534" s="575"/>
      <c r="AA534" s="809"/>
      <c r="AB534" s="817"/>
      <c r="AC534" s="575"/>
      <c r="AD534" s="575"/>
      <c r="AE534" s="753"/>
      <c r="AF534" s="575"/>
      <c r="AG534" s="575"/>
      <c r="AH534" s="842"/>
      <c r="AI534" s="1013">
        <f t="shared" si="27"/>
        <v>0</v>
      </c>
      <c r="AJ534" s="949">
        <v>0</v>
      </c>
      <c r="AK534" s="581">
        <f t="shared" si="28"/>
        <v>0</v>
      </c>
      <c r="AL534" s="750" t="s">
        <v>1727</v>
      </c>
      <c r="AM534" s="743">
        <f t="shared" si="29"/>
        <v>42.32</v>
      </c>
    </row>
    <row r="535" spans="1:39" s="560" customFormat="1" ht="13.2" customHeight="1">
      <c r="A535" s="604" t="s">
        <v>1000</v>
      </c>
      <c r="B535" s="604" t="s">
        <v>1310</v>
      </c>
      <c r="C535" s="614" t="s">
        <v>36</v>
      </c>
      <c r="D535" s="580"/>
      <c r="E535" s="581"/>
      <c r="F535" s="778"/>
      <c r="G535" s="581"/>
      <c r="H535" s="581"/>
      <c r="I535" s="949"/>
      <c r="J535" s="949"/>
      <c r="K535" s="825"/>
      <c r="L535" s="575"/>
      <c r="M535" s="809"/>
      <c r="N535" s="575"/>
      <c r="O535" s="575"/>
      <c r="P535" s="575"/>
      <c r="Q535" s="575"/>
      <c r="R535" s="575"/>
      <c r="S535" s="575"/>
      <c r="T535" s="809"/>
      <c r="U535" s="575"/>
      <c r="V535" s="575"/>
      <c r="W535" s="575"/>
      <c r="X535" s="575"/>
      <c r="Y535" s="575"/>
      <c r="Z535" s="575"/>
      <c r="AA535" s="809"/>
      <c r="AB535" s="817"/>
      <c r="AC535" s="575"/>
      <c r="AD535" s="575"/>
      <c r="AE535" s="753"/>
      <c r="AF535" s="575"/>
      <c r="AG535" s="575"/>
      <c r="AH535" s="842"/>
      <c r="AI535" s="1013">
        <f t="shared" si="27"/>
        <v>0</v>
      </c>
      <c r="AJ535" s="949">
        <v>0</v>
      </c>
      <c r="AK535" s="581">
        <f t="shared" si="28"/>
        <v>0</v>
      </c>
      <c r="AL535" s="750" t="s">
        <v>1727</v>
      </c>
      <c r="AM535" s="743">
        <f t="shared" si="29"/>
        <v>42.32</v>
      </c>
    </row>
    <row r="536" spans="1:39" s="560" customFormat="1" ht="13.2" customHeight="1">
      <c r="A536" s="604" t="s">
        <v>1001</v>
      </c>
      <c r="B536" s="604" t="s">
        <v>1311</v>
      </c>
      <c r="C536" s="614" t="s">
        <v>36</v>
      </c>
      <c r="D536" s="580"/>
      <c r="E536" s="581"/>
      <c r="F536" s="778"/>
      <c r="G536" s="581"/>
      <c r="H536" s="581"/>
      <c r="I536" s="949"/>
      <c r="J536" s="949"/>
      <c r="K536" s="825"/>
      <c r="L536" s="575"/>
      <c r="M536" s="809"/>
      <c r="N536" s="575"/>
      <c r="O536" s="575"/>
      <c r="P536" s="575"/>
      <c r="Q536" s="575"/>
      <c r="R536" s="575"/>
      <c r="S536" s="575"/>
      <c r="T536" s="809"/>
      <c r="U536" s="575"/>
      <c r="V536" s="575"/>
      <c r="W536" s="575"/>
      <c r="X536" s="575"/>
      <c r="Y536" s="575"/>
      <c r="Z536" s="575"/>
      <c r="AA536" s="809"/>
      <c r="AB536" s="817"/>
      <c r="AC536" s="575"/>
      <c r="AD536" s="575"/>
      <c r="AE536" s="753"/>
      <c r="AF536" s="575"/>
      <c r="AG536" s="575"/>
      <c r="AH536" s="842"/>
      <c r="AI536" s="1013">
        <f t="shared" si="27"/>
        <v>0</v>
      </c>
      <c r="AJ536" s="949">
        <v>0</v>
      </c>
      <c r="AK536" s="581">
        <f t="shared" si="28"/>
        <v>0</v>
      </c>
      <c r="AL536" s="750" t="s">
        <v>1728</v>
      </c>
      <c r="AM536" s="743">
        <f t="shared" si="29"/>
        <v>10</v>
      </c>
    </row>
    <row r="537" spans="1:39" s="560" customFormat="1" ht="13.95" customHeight="1" thickBot="1">
      <c r="A537" s="604" t="s">
        <v>1002</v>
      </c>
      <c r="B537" s="604" t="s">
        <v>1312</v>
      </c>
      <c r="C537" s="614" t="s">
        <v>35</v>
      </c>
      <c r="D537" s="580"/>
      <c r="E537" s="581"/>
      <c r="F537" s="778"/>
      <c r="G537" s="581"/>
      <c r="H537" s="581"/>
      <c r="I537" s="949"/>
      <c r="J537" s="949"/>
      <c r="K537" s="825"/>
      <c r="L537" s="575"/>
      <c r="M537" s="809"/>
      <c r="N537" s="575"/>
      <c r="O537" s="575"/>
      <c r="P537" s="575"/>
      <c r="Q537" s="575"/>
      <c r="R537" s="575"/>
      <c r="S537" s="575"/>
      <c r="T537" s="809"/>
      <c r="U537" s="575"/>
      <c r="V537" s="575"/>
      <c r="W537" s="575"/>
      <c r="X537" s="575"/>
      <c r="Y537" s="575"/>
      <c r="Z537" s="575"/>
      <c r="AA537" s="809"/>
      <c r="AB537" s="817"/>
      <c r="AC537" s="575"/>
      <c r="AD537" s="575"/>
      <c r="AE537" s="753"/>
      <c r="AF537" s="575"/>
      <c r="AG537" s="575"/>
      <c r="AH537" s="842"/>
      <c r="AI537" s="1013">
        <f t="shared" si="27"/>
        <v>0</v>
      </c>
      <c r="AJ537" s="949">
        <v>0</v>
      </c>
      <c r="AK537" s="581">
        <f t="shared" si="28"/>
        <v>0</v>
      </c>
      <c r="AL537" s="750"/>
      <c r="AM537" s="743">
        <f t="shared" si="29"/>
        <v>0</v>
      </c>
    </row>
    <row r="538" spans="1:39" s="897" customFormat="1" ht="13.2" customHeight="1">
      <c r="A538" s="1016" t="s">
        <v>474</v>
      </c>
      <c r="B538" s="1016" t="s">
        <v>1313</v>
      </c>
      <c r="C538" s="1018"/>
      <c r="D538" s="580"/>
      <c r="E538" s="581"/>
      <c r="F538" s="778"/>
      <c r="G538" s="581"/>
      <c r="H538" s="581"/>
      <c r="I538" s="949"/>
      <c r="J538" s="949"/>
      <c r="K538" s="825"/>
      <c r="L538" s="575"/>
      <c r="M538" s="809"/>
      <c r="N538" s="575"/>
      <c r="O538" s="575"/>
      <c r="P538" s="575"/>
      <c r="Q538" s="575"/>
      <c r="R538" s="575"/>
      <c r="S538" s="575"/>
      <c r="T538" s="809"/>
      <c r="U538" s="575"/>
      <c r="V538" s="575"/>
      <c r="W538" s="575"/>
      <c r="X538" s="575"/>
      <c r="Y538" s="575"/>
      <c r="Z538" s="575"/>
      <c r="AA538" s="809"/>
      <c r="AB538" s="817"/>
      <c r="AC538" s="575"/>
      <c r="AD538" s="575"/>
      <c r="AE538" s="753"/>
      <c r="AF538" s="575"/>
      <c r="AG538" s="575"/>
      <c r="AH538" s="842"/>
      <c r="AI538" s="1013">
        <f t="shared" si="27"/>
        <v>0</v>
      </c>
      <c r="AJ538" s="949">
        <v>0</v>
      </c>
      <c r="AK538" s="581">
        <f t="shared" si="28"/>
        <v>0</v>
      </c>
      <c r="AL538" s="902"/>
      <c r="AM538" s="896">
        <f t="shared" si="29"/>
        <v>0</v>
      </c>
    </row>
    <row r="539" spans="1:39" s="560" customFormat="1" ht="13.2" customHeight="1">
      <c r="A539" s="492" t="s">
        <v>475</v>
      </c>
      <c r="B539" s="608" t="s">
        <v>1314</v>
      </c>
      <c r="C539" s="690"/>
      <c r="D539" s="580"/>
      <c r="E539" s="581"/>
      <c r="F539" s="778"/>
      <c r="G539" s="581"/>
      <c r="H539" s="581"/>
      <c r="I539" s="949"/>
      <c r="J539" s="949"/>
      <c r="K539" s="825"/>
      <c r="L539" s="575"/>
      <c r="M539" s="809"/>
      <c r="N539" s="575"/>
      <c r="O539" s="575"/>
      <c r="P539" s="575"/>
      <c r="Q539" s="575"/>
      <c r="R539" s="575"/>
      <c r="S539" s="575"/>
      <c r="T539" s="809"/>
      <c r="U539" s="575"/>
      <c r="V539" s="575"/>
      <c r="W539" s="575"/>
      <c r="X539" s="575"/>
      <c r="Y539" s="575"/>
      <c r="Z539" s="575"/>
      <c r="AA539" s="809"/>
      <c r="AB539" s="817"/>
      <c r="AC539" s="575"/>
      <c r="AD539" s="575"/>
      <c r="AE539" s="753"/>
      <c r="AF539" s="575"/>
      <c r="AG539" s="575"/>
      <c r="AH539" s="842"/>
      <c r="AI539" s="1013">
        <f t="shared" si="27"/>
        <v>0</v>
      </c>
      <c r="AJ539" s="949">
        <v>0</v>
      </c>
      <c r="AK539" s="581">
        <f t="shared" si="28"/>
        <v>0</v>
      </c>
      <c r="AL539" s="750" t="s">
        <v>1657</v>
      </c>
      <c r="AM539" s="743">
        <f t="shared" si="29"/>
        <v>4</v>
      </c>
    </row>
    <row r="540" spans="1:39" s="560" customFormat="1" ht="13.2" customHeight="1">
      <c r="A540" s="607" t="s">
        <v>476</v>
      </c>
      <c r="B540" s="607" t="s">
        <v>1315</v>
      </c>
      <c r="C540" s="614" t="s">
        <v>1436</v>
      </c>
      <c r="D540" s="580"/>
      <c r="E540" s="581"/>
      <c r="F540" s="778"/>
      <c r="G540" s="581"/>
      <c r="H540" s="581"/>
      <c r="I540" s="949"/>
      <c r="J540" s="949"/>
      <c r="K540" s="825"/>
      <c r="L540" s="575"/>
      <c r="M540" s="809"/>
      <c r="N540" s="575"/>
      <c r="O540" s="575"/>
      <c r="P540" s="575"/>
      <c r="Q540" s="575"/>
      <c r="R540" s="575"/>
      <c r="S540" s="575"/>
      <c r="T540" s="809"/>
      <c r="U540" s="575"/>
      <c r="V540" s="575"/>
      <c r="W540" s="575"/>
      <c r="X540" s="575"/>
      <c r="Y540" s="575"/>
      <c r="Z540" s="575"/>
      <c r="AA540" s="809"/>
      <c r="AB540" s="817"/>
      <c r="AC540" s="575"/>
      <c r="AD540" s="575"/>
      <c r="AE540" s="753"/>
      <c r="AF540" s="575"/>
      <c r="AG540" s="575"/>
      <c r="AH540" s="842"/>
      <c r="AI540" s="1013">
        <f t="shared" si="27"/>
        <v>0</v>
      </c>
      <c r="AJ540" s="949">
        <v>0</v>
      </c>
      <c r="AK540" s="581">
        <f t="shared" si="28"/>
        <v>0</v>
      </c>
      <c r="AL540" s="750" t="s">
        <v>1684</v>
      </c>
      <c r="AM540" s="743">
        <f t="shared" si="29"/>
        <v>2</v>
      </c>
    </row>
    <row r="541" spans="1:39" s="560" customFormat="1" ht="13.2" customHeight="1">
      <c r="A541" s="607" t="s">
        <v>477</v>
      </c>
      <c r="B541" s="607" t="s">
        <v>1316</v>
      </c>
      <c r="C541" s="614" t="s">
        <v>1436</v>
      </c>
      <c r="D541" s="580"/>
      <c r="E541" s="581"/>
      <c r="F541" s="778"/>
      <c r="G541" s="581"/>
      <c r="H541" s="581"/>
      <c r="I541" s="949"/>
      <c r="J541" s="949"/>
      <c r="K541" s="825"/>
      <c r="L541" s="575"/>
      <c r="M541" s="809"/>
      <c r="N541" s="575"/>
      <c r="O541" s="575"/>
      <c r="P541" s="575"/>
      <c r="Q541" s="575"/>
      <c r="R541" s="575"/>
      <c r="S541" s="575"/>
      <c r="T541" s="809"/>
      <c r="U541" s="575"/>
      <c r="V541" s="575"/>
      <c r="W541" s="575"/>
      <c r="X541" s="575"/>
      <c r="Y541" s="575"/>
      <c r="Z541" s="575"/>
      <c r="AA541" s="809"/>
      <c r="AB541" s="817"/>
      <c r="AC541" s="575"/>
      <c r="AD541" s="575"/>
      <c r="AE541" s="753"/>
      <c r="AF541" s="575"/>
      <c r="AG541" s="575"/>
      <c r="AH541" s="842"/>
      <c r="AI541" s="1013">
        <f t="shared" si="27"/>
        <v>0</v>
      </c>
      <c r="AJ541" s="949">
        <v>0</v>
      </c>
      <c r="AK541" s="581">
        <f t="shared" si="28"/>
        <v>0</v>
      </c>
      <c r="AL541" s="750" t="s">
        <v>1657</v>
      </c>
      <c r="AM541" s="743">
        <f t="shared" si="29"/>
        <v>4</v>
      </c>
    </row>
    <row r="542" spans="1:39" s="560" customFormat="1" ht="13.2" customHeight="1">
      <c r="A542" s="607" t="s">
        <v>478</v>
      </c>
      <c r="B542" s="607" t="s">
        <v>1317</v>
      </c>
      <c r="C542" s="614" t="s">
        <v>1436</v>
      </c>
      <c r="D542" s="580"/>
      <c r="E542" s="581"/>
      <c r="F542" s="778"/>
      <c r="G542" s="581"/>
      <c r="H542" s="581"/>
      <c r="I542" s="949"/>
      <c r="J542" s="949"/>
      <c r="K542" s="825"/>
      <c r="L542" s="575"/>
      <c r="M542" s="809"/>
      <c r="N542" s="575"/>
      <c r="O542" s="575"/>
      <c r="P542" s="575"/>
      <c r="Q542" s="575"/>
      <c r="R542" s="575"/>
      <c r="S542" s="575"/>
      <c r="T542" s="809"/>
      <c r="U542" s="575"/>
      <c r="V542" s="575"/>
      <c r="W542" s="575"/>
      <c r="X542" s="575"/>
      <c r="Y542" s="575"/>
      <c r="Z542" s="575"/>
      <c r="AA542" s="809"/>
      <c r="AB542" s="817"/>
      <c r="AC542" s="575"/>
      <c r="AD542" s="575"/>
      <c r="AE542" s="753"/>
      <c r="AF542" s="575"/>
      <c r="AG542" s="575"/>
      <c r="AH542" s="842"/>
      <c r="AI542" s="1013">
        <f t="shared" si="27"/>
        <v>0</v>
      </c>
      <c r="AJ542" s="949">
        <v>0</v>
      </c>
      <c r="AK542" s="581">
        <f t="shared" si="28"/>
        <v>0</v>
      </c>
      <c r="AL542" s="750" t="s">
        <v>1684</v>
      </c>
      <c r="AM542" s="743">
        <f t="shared" si="29"/>
        <v>2</v>
      </c>
    </row>
    <row r="543" spans="1:39" s="560" customFormat="1" ht="13.2" customHeight="1">
      <c r="A543" s="607" t="s">
        <v>1003</v>
      </c>
      <c r="B543" s="607" t="s">
        <v>1318</v>
      </c>
      <c r="C543" s="614" t="s">
        <v>1436</v>
      </c>
      <c r="D543" s="580"/>
      <c r="E543" s="581"/>
      <c r="F543" s="778"/>
      <c r="G543" s="581"/>
      <c r="H543" s="581"/>
      <c r="I543" s="949"/>
      <c r="J543" s="949"/>
      <c r="K543" s="825"/>
      <c r="L543" s="575"/>
      <c r="M543" s="809"/>
      <c r="N543" s="575"/>
      <c r="O543" s="575"/>
      <c r="P543" s="575"/>
      <c r="Q543" s="575"/>
      <c r="R543" s="575"/>
      <c r="S543" s="575"/>
      <c r="T543" s="809"/>
      <c r="U543" s="575"/>
      <c r="V543" s="575"/>
      <c r="W543" s="575"/>
      <c r="X543" s="575"/>
      <c r="Y543" s="575"/>
      <c r="Z543" s="575"/>
      <c r="AA543" s="809"/>
      <c r="AB543" s="817"/>
      <c r="AC543" s="575"/>
      <c r="AD543" s="575"/>
      <c r="AE543" s="753"/>
      <c r="AF543" s="575"/>
      <c r="AG543" s="575"/>
      <c r="AH543" s="842"/>
      <c r="AI543" s="1013">
        <f t="shared" si="27"/>
        <v>0</v>
      </c>
      <c r="AJ543" s="949">
        <v>0</v>
      </c>
      <c r="AK543" s="581">
        <f t="shared" si="28"/>
        <v>0</v>
      </c>
      <c r="AL543" s="750" t="s">
        <v>1441</v>
      </c>
      <c r="AM543" s="743">
        <f t="shared" si="29"/>
        <v>1</v>
      </c>
    </row>
    <row r="544" spans="1:39" s="560" customFormat="1" ht="13.2" customHeight="1">
      <c r="A544" s="607" t="s">
        <v>1004</v>
      </c>
      <c r="B544" s="607" t="s">
        <v>1319</v>
      </c>
      <c r="C544" s="614" t="s">
        <v>1436</v>
      </c>
      <c r="D544" s="580"/>
      <c r="E544" s="581"/>
      <c r="F544" s="778"/>
      <c r="G544" s="581"/>
      <c r="H544" s="581"/>
      <c r="I544" s="949"/>
      <c r="J544" s="949"/>
      <c r="K544" s="825"/>
      <c r="L544" s="575"/>
      <c r="M544" s="809"/>
      <c r="N544" s="575"/>
      <c r="O544" s="575"/>
      <c r="P544" s="575"/>
      <c r="Q544" s="575"/>
      <c r="R544" s="575"/>
      <c r="S544" s="575"/>
      <c r="T544" s="809"/>
      <c r="U544" s="575"/>
      <c r="V544" s="575"/>
      <c r="W544" s="575"/>
      <c r="X544" s="575"/>
      <c r="Y544" s="575"/>
      <c r="Z544" s="575"/>
      <c r="AA544" s="809"/>
      <c r="AB544" s="817"/>
      <c r="AC544" s="575"/>
      <c r="AD544" s="575"/>
      <c r="AE544" s="753"/>
      <c r="AF544" s="575"/>
      <c r="AG544" s="575"/>
      <c r="AH544" s="842"/>
      <c r="AI544" s="1013">
        <f t="shared" si="27"/>
        <v>0</v>
      </c>
      <c r="AJ544" s="949">
        <v>0</v>
      </c>
      <c r="AK544" s="581">
        <f t="shared" si="28"/>
        <v>0</v>
      </c>
      <c r="AL544" s="750" t="s">
        <v>1603</v>
      </c>
      <c r="AM544" s="743">
        <f t="shared" si="29"/>
        <v>6</v>
      </c>
    </row>
    <row r="545" spans="1:39" s="560" customFormat="1" ht="13.2" customHeight="1">
      <c r="A545" s="607" t="s">
        <v>1005</v>
      </c>
      <c r="B545" s="607" t="s">
        <v>1320</v>
      </c>
      <c r="C545" s="614" t="s">
        <v>1436</v>
      </c>
      <c r="D545" s="580"/>
      <c r="E545" s="581"/>
      <c r="F545" s="778"/>
      <c r="G545" s="581"/>
      <c r="H545" s="581"/>
      <c r="I545" s="949"/>
      <c r="J545" s="949"/>
      <c r="K545" s="825"/>
      <c r="L545" s="575"/>
      <c r="M545" s="809"/>
      <c r="N545" s="575"/>
      <c r="O545" s="575"/>
      <c r="P545" s="575"/>
      <c r="Q545" s="575"/>
      <c r="R545" s="575"/>
      <c r="S545" s="575"/>
      <c r="T545" s="809"/>
      <c r="U545" s="575"/>
      <c r="V545" s="575"/>
      <c r="W545" s="575"/>
      <c r="X545" s="575"/>
      <c r="Y545" s="575"/>
      <c r="Z545" s="575"/>
      <c r="AA545" s="809"/>
      <c r="AB545" s="817"/>
      <c r="AC545" s="575"/>
      <c r="AD545" s="575"/>
      <c r="AE545" s="753"/>
      <c r="AF545" s="575"/>
      <c r="AG545" s="575"/>
      <c r="AH545" s="842"/>
      <c r="AI545" s="1013">
        <f t="shared" si="27"/>
        <v>0</v>
      </c>
      <c r="AJ545" s="949">
        <v>0</v>
      </c>
      <c r="AK545" s="581">
        <f t="shared" si="28"/>
        <v>0</v>
      </c>
      <c r="AL545" s="750" t="s">
        <v>1657</v>
      </c>
      <c r="AM545" s="743">
        <f t="shared" si="29"/>
        <v>4</v>
      </c>
    </row>
    <row r="546" spans="1:39" s="560" customFormat="1" ht="13.2" customHeight="1">
      <c r="A546" s="607" t="s">
        <v>1006</v>
      </c>
      <c r="B546" s="607" t="s">
        <v>1321</v>
      </c>
      <c r="C546" s="614" t="s">
        <v>1436</v>
      </c>
      <c r="D546" s="580"/>
      <c r="E546" s="581"/>
      <c r="F546" s="778"/>
      <c r="G546" s="581"/>
      <c r="H546" s="581"/>
      <c r="I546" s="949"/>
      <c r="J546" s="949"/>
      <c r="K546" s="825"/>
      <c r="L546" s="575"/>
      <c r="M546" s="809"/>
      <c r="N546" s="575"/>
      <c r="O546" s="575"/>
      <c r="P546" s="575"/>
      <c r="Q546" s="575"/>
      <c r="R546" s="575"/>
      <c r="S546" s="575"/>
      <c r="T546" s="809"/>
      <c r="U546" s="575"/>
      <c r="V546" s="575"/>
      <c r="W546" s="575"/>
      <c r="X546" s="575"/>
      <c r="Y546" s="575"/>
      <c r="Z546" s="575"/>
      <c r="AA546" s="809"/>
      <c r="AB546" s="817"/>
      <c r="AC546" s="575"/>
      <c r="AD546" s="575"/>
      <c r="AE546" s="753"/>
      <c r="AF546" s="575"/>
      <c r="AG546" s="575"/>
      <c r="AH546" s="842"/>
      <c r="AI546" s="1013">
        <f t="shared" si="27"/>
        <v>0</v>
      </c>
      <c r="AJ546" s="949">
        <v>0</v>
      </c>
      <c r="AK546" s="581">
        <f t="shared" si="28"/>
        <v>0</v>
      </c>
      <c r="AL546" s="750" t="s">
        <v>1441</v>
      </c>
      <c r="AM546" s="743">
        <f t="shared" si="29"/>
        <v>1</v>
      </c>
    </row>
    <row r="547" spans="1:39" s="560" customFormat="1" ht="13.2" customHeight="1">
      <c r="A547" s="607" t="s">
        <v>1007</v>
      </c>
      <c r="B547" s="607" t="s">
        <v>1322</v>
      </c>
      <c r="C547" s="614" t="s">
        <v>1437</v>
      </c>
      <c r="D547" s="580"/>
      <c r="E547" s="581"/>
      <c r="F547" s="778"/>
      <c r="G547" s="581"/>
      <c r="H547" s="581"/>
      <c r="I547" s="949"/>
      <c r="J547" s="949"/>
      <c r="K547" s="825"/>
      <c r="L547" s="575"/>
      <c r="M547" s="809"/>
      <c r="N547" s="575"/>
      <c r="O547" s="575"/>
      <c r="P547" s="575"/>
      <c r="Q547" s="575"/>
      <c r="R547" s="575"/>
      <c r="S547" s="575"/>
      <c r="T547" s="809"/>
      <c r="U547" s="575"/>
      <c r="V547" s="575"/>
      <c r="W547" s="575"/>
      <c r="X547" s="575"/>
      <c r="Y547" s="575"/>
      <c r="Z547" s="575"/>
      <c r="AA547" s="809"/>
      <c r="AB547" s="817"/>
      <c r="AC547" s="575"/>
      <c r="AD547" s="575"/>
      <c r="AE547" s="753"/>
      <c r="AF547" s="575"/>
      <c r="AG547" s="575"/>
      <c r="AH547" s="842"/>
      <c r="AI547" s="1013">
        <f t="shared" si="27"/>
        <v>0</v>
      </c>
      <c r="AJ547" s="949">
        <v>0</v>
      </c>
      <c r="AK547" s="581">
        <f t="shared" si="28"/>
        <v>0</v>
      </c>
      <c r="AL547" s="750" t="s">
        <v>1441</v>
      </c>
      <c r="AM547" s="743">
        <f t="shared" si="29"/>
        <v>1</v>
      </c>
    </row>
    <row r="548" spans="1:39" s="560" customFormat="1" ht="13.2" customHeight="1">
      <c r="A548" s="607" t="s">
        <v>1008</v>
      </c>
      <c r="B548" s="607" t="s">
        <v>1323</v>
      </c>
      <c r="C548" s="614" t="s">
        <v>40</v>
      </c>
      <c r="D548" s="580"/>
      <c r="E548" s="581"/>
      <c r="F548" s="778"/>
      <c r="G548" s="581"/>
      <c r="H548" s="581"/>
      <c r="I548" s="949"/>
      <c r="J548" s="949"/>
      <c r="K548" s="825"/>
      <c r="L548" s="575"/>
      <c r="M548" s="809"/>
      <c r="N548" s="575"/>
      <c r="O548" s="575"/>
      <c r="P548" s="575"/>
      <c r="Q548" s="575"/>
      <c r="R548" s="575"/>
      <c r="S548" s="575"/>
      <c r="T548" s="809"/>
      <c r="U548" s="575"/>
      <c r="V548" s="575"/>
      <c r="W548" s="575"/>
      <c r="X548" s="575"/>
      <c r="Y548" s="575"/>
      <c r="Z548" s="575"/>
      <c r="AA548" s="809"/>
      <c r="AB548" s="817"/>
      <c r="AC548" s="575"/>
      <c r="AD548" s="575"/>
      <c r="AE548" s="753"/>
      <c r="AF548" s="575"/>
      <c r="AG548" s="575"/>
      <c r="AH548" s="842"/>
      <c r="AI548" s="1013">
        <f t="shared" si="27"/>
        <v>0</v>
      </c>
      <c r="AJ548" s="949">
        <v>0</v>
      </c>
      <c r="AK548" s="581">
        <f t="shared" si="28"/>
        <v>0</v>
      </c>
      <c r="AL548" s="750" t="s">
        <v>1441</v>
      </c>
      <c r="AM548" s="743">
        <f t="shared" si="29"/>
        <v>1</v>
      </c>
    </row>
    <row r="549" spans="1:39" s="560" customFormat="1" ht="13.2" customHeight="1">
      <c r="A549" s="607" t="s">
        <v>1009</v>
      </c>
      <c r="B549" s="607" t="s">
        <v>1324</v>
      </c>
      <c r="C549" s="614" t="s">
        <v>1436</v>
      </c>
      <c r="D549" s="580"/>
      <c r="E549" s="581"/>
      <c r="F549" s="778"/>
      <c r="G549" s="581"/>
      <c r="H549" s="581"/>
      <c r="I549" s="949"/>
      <c r="J549" s="949"/>
      <c r="K549" s="825"/>
      <c r="L549" s="575"/>
      <c r="M549" s="809"/>
      <c r="N549" s="575"/>
      <c r="O549" s="575"/>
      <c r="P549" s="575"/>
      <c r="Q549" s="575"/>
      <c r="R549" s="575"/>
      <c r="S549" s="575"/>
      <c r="T549" s="809"/>
      <c r="U549" s="575"/>
      <c r="V549" s="575"/>
      <c r="W549" s="575"/>
      <c r="X549" s="575"/>
      <c r="Y549" s="575"/>
      <c r="Z549" s="575"/>
      <c r="AA549" s="809"/>
      <c r="AB549" s="817"/>
      <c r="AC549" s="575"/>
      <c r="AD549" s="575"/>
      <c r="AE549" s="753"/>
      <c r="AF549" s="575"/>
      <c r="AG549" s="575"/>
      <c r="AH549" s="842"/>
      <c r="AI549" s="1013">
        <f t="shared" si="27"/>
        <v>0</v>
      </c>
      <c r="AJ549" s="949">
        <v>0</v>
      </c>
      <c r="AK549" s="581">
        <f t="shared" si="28"/>
        <v>0</v>
      </c>
      <c r="AL549" s="750" t="s">
        <v>1729</v>
      </c>
      <c r="AM549" s="743">
        <f t="shared" si="29"/>
        <v>19</v>
      </c>
    </row>
    <row r="550" spans="1:39" s="560" customFormat="1" ht="13.2" customHeight="1">
      <c r="A550" s="607" t="s">
        <v>1010</v>
      </c>
      <c r="B550" s="607" t="s">
        <v>1325</v>
      </c>
      <c r="C550" s="614" t="s">
        <v>1437</v>
      </c>
      <c r="D550" s="580"/>
      <c r="E550" s="581"/>
      <c r="F550" s="778"/>
      <c r="G550" s="581"/>
      <c r="H550" s="581"/>
      <c r="I550" s="949"/>
      <c r="J550" s="949"/>
      <c r="K550" s="825"/>
      <c r="L550" s="575"/>
      <c r="M550" s="809"/>
      <c r="N550" s="575"/>
      <c r="O550" s="575"/>
      <c r="P550" s="575"/>
      <c r="Q550" s="575"/>
      <c r="R550" s="575"/>
      <c r="S550" s="575"/>
      <c r="T550" s="809"/>
      <c r="U550" s="575"/>
      <c r="V550" s="575"/>
      <c r="W550" s="575"/>
      <c r="X550" s="575"/>
      <c r="Y550" s="575"/>
      <c r="Z550" s="575"/>
      <c r="AA550" s="809"/>
      <c r="AB550" s="817"/>
      <c r="AC550" s="575"/>
      <c r="AD550" s="575"/>
      <c r="AE550" s="753"/>
      <c r="AF550" s="575"/>
      <c r="AG550" s="575"/>
      <c r="AH550" s="842"/>
      <c r="AI550" s="1013">
        <f t="shared" si="27"/>
        <v>0</v>
      </c>
      <c r="AJ550" s="949">
        <v>0</v>
      </c>
      <c r="AK550" s="581">
        <f t="shared" si="28"/>
        <v>0</v>
      </c>
      <c r="AL550" s="750"/>
      <c r="AM550" s="743">
        <f t="shared" si="29"/>
        <v>0</v>
      </c>
    </row>
    <row r="551" spans="1:39" s="560" customFormat="1" ht="13.2" customHeight="1">
      <c r="A551" s="492" t="s">
        <v>479</v>
      </c>
      <c r="B551" s="608" t="s">
        <v>1326</v>
      </c>
      <c r="C551" s="690"/>
      <c r="D551" s="580"/>
      <c r="E551" s="581"/>
      <c r="F551" s="778"/>
      <c r="G551" s="581"/>
      <c r="H551" s="581"/>
      <c r="I551" s="949"/>
      <c r="J551" s="949"/>
      <c r="K551" s="825"/>
      <c r="L551" s="575"/>
      <c r="M551" s="809"/>
      <c r="N551" s="575"/>
      <c r="O551" s="575"/>
      <c r="P551" s="575"/>
      <c r="Q551" s="575"/>
      <c r="R551" s="575"/>
      <c r="S551" s="575"/>
      <c r="T551" s="809"/>
      <c r="U551" s="575"/>
      <c r="V551" s="575"/>
      <c r="W551" s="575"/>
      <c r="X551" s="575"/>
      <c r="Y551" s="575"/>
      <c r="Z551" s="575"/>
      <c r="AA551" s="809"/>
      <c r="AB551" s="817"/>
      <c r="AC551" s="575"/>
      <c r="AD551" s="575"/>
      <c r="AE551" s="753"/>
      <c r="AF551" s="575"/>
      <c r="AG551" s="575"/>
      <c r="AH551" s="842"/>
      <c r="AI551" s="1013">
        <f t="shared" si="27"/>
        <v>0</v>
      </c>
      <c r="AJ551" s="949">
        <v>0</v>
      </c>
      <c r="AK551" s="581">
        <f t="shared" si="28"/>
        <v>0</v>
      </c>
      <c r="AL551" s="750" t="s">
        <v>1657</v>
      </c>
      <c r="AM551" s="743">
        <f t="shared" si="29"/>
        <v>4</v>
      </c>
    </row>
    <row r="552" spans="1:39" s="560" customFormat="1" ht="13.2" customHeight="1">
      <c r="A552" s="607" t="s">
        <v>480</v>
      </c>
      <c r="B552" s="607" t="s">
        <v>1327</v>
      </c>
      <c r="C552" s="614" t="s">
        <v>1438</v>
      </c>
      <c r="D552" s="580"/>
      <c r="E552" s="581"/>
      <c r="F552" s="778"/>
      <c r="G552" s="581"/>
      <c r="H552" s="581"/>
      <c r="I552" s="949"/>
      <c r="J552" s="949"/>
      <c r="K552" s="825"/>
      <c r="L552" s="575"/>
      <c r="M552" s="809"/>
      <c r="N552" s="575"/>
      <c r="O552" s="575"/>
      <c r="P552" s="575"/>
      <c r="Q552" s="575"/>
      <c r="R552" s="575"/>
      <c r="S552" s="575"/>
      <c r="T552" s="809"/>
      <c r="U552" s="575"/>
      <c r="V552" s="575"/>
      <c r="W552" s="575"/>
      <c r="X552" s="575"/>
      <c r="Y552" s="575"/>
      <c r="Z552" s="575"/>
      <c r="AA552" s="809"/>
      <c r="AB552" s="817"/>
      <c r="AC552" s="575"/>
      <c r="AD552" s="575"/>
      <c r="AE552" s="753"/>
      <c r="AF552" s="575"/>
      <c r="AG552" s="575"/>
      <c r="AH552" s="842"/>
      <c r="AI552" s="1013">
        <f t="shared" si="27"/>
        <v>0</v>
      </c>
      <c r="AJ552" s="949">
        <v>0</v>
      </c>
      <c r="AK552" s="581">
        <f t="shared" si="28"/>
        <v>0</v>
      </c>
      <c r="AL552" s="750" t="s">
        <v>1603</v>
      </c>
      <c r="AM552" s="743">
        <f t="shared" si="29"/>
        <v>6</v>
      </c>
    </row>
    <row r="553" spans="1:39" s="560" customFormat="1" ht="13.2" customHeight="1">
      <c r="A553" s="607" t="s">
        <v>481</v>
      </c>
      <c r="B553" s="607" t="s">
        <v>1328</v>
      </c>
      <c r="C553" s="614" t="s">
        <v>1438</v>
      </c>
      <c r="D553" s="580"/>
      <c r="E553" s="581"/>
      <c r="F553" s="778"/>
      <c r="G553" s="581"/>
      <c r="H553" s="581"/>
      <c r="I553" s="949"/>
      <c r="J553" s="949"/>
      <c r="K553" s="825"/>
      <c r="L553" s="575"/>
      <c r="M553" s="809"/>
      <c r="N553" s="575"/>
      <c r="O553" s="575"/>
      <c r="P553" s="575"/>
      <c r="Q553" s="575"/>
      <c r="R553" s="575"/>
      <c r="S553" s="575"/>
      <c r="T553" s="809"/>
      <c r="U553" s="575"/>
      <c r="V553" s="575"/>
      <c r="W553" s="575"/>
      <c r="X553" s="575"/>
      <c r="Y553" s="575"/>
      <c r="Z553" s="575"/>
      <c r="AA553" s="809"/>
      <c r="AB553" s="817"/>
      <c r="AC553" s="575"/>
      <c r="AD553" s="575"/>
      <c r="AE553" s="753"/>
      <c r="AF553" s="575"/>
      <c r="AG553" s="575"/>
      <c r="AH553" s="842"/>
      <c r="AI553" s="1013">
        <f t="shared" si="27"/>
        <v>0</v>
      </c>
      <c r="AJ553" s="949">
        <v>0</v>
      </c>
      <c r="AK553" s="581">
        <f t="shared" si="28"/>
        <v>0</v>
      </c>
      <c r="AL553" s="750" t="s">
        <v>1728</v>
      </c>
      <c r="AM553" s="743">
        <f t="shared" si="29"/>
        <v>10</v>
      </c>
    </row>
    <row r="554" spans="1:39" s="560" customFormat="1" ht="13.2" customHeight="1">
      <c r="A554" s="607" t="s">
        <v>482</v>
      </c>
      <c r="B554" s="607" t="s">
        <v>1329</v>
      </c>
      <c r="C554" s="614" t="s">
        <v>1438</v>
      </c>
      <c r="D554" s="580"/>
      <c r="E554" s="581"/>
      <c r="F554" s="778"/>
      <c r="G554" s="581"/>
      <c r="H554" s="581"/>
      <c r="I554" s="949"/>
      <c r="J554" s="949"/>
      <c r="K554" s="825"/>
      <c r="L554" s="575"/>
      <c r="M554" s="809"/>
      <c r="N554" s="575"/>
      <c r="O554" s="575"/>
      <c r="P554" s="575"/>
      <c r="Q554" s="575"/>
      <c r="R554" s="575"/>
      <c r="S554" s="575"/>
      <c r="T554" s="809"/>
      <c r="U554" s="575"/>
      <c r="V554" s="575"/>
      <c r="W554" s="575"/>
      <c r="X554" s="575"/>
      <c r="Y554" s="575"/>
      <c r="Z554" s="575"/>
      <c r="AA554" s="809"/>
      <c r="AB554" s="817"/>
      <c r="AC554" s="575"/>
      <c r="AD554" s="575"/>
      <c r="AE554" s="753"/>
      <c r="AF554" s="575"/>
      <c r="AG554" s="575"/>
      <c r="AH554" s="842"/>
      <c r="AI554" s="1013">
        <f t="shared" si="27"/>
        <v>0</v>
      </c>
      <c r="AJ554" s="949">
        <v>0</v>
      </c>
      <c r="AK554" s="581">
        <f t="shared" si="28"/>
        <v>0</v>
      </c>
      <c r="AL554" s="750" t="s">
        <v>1730</v>
      </c>
      <c r="AM554" s="743">
        <f t="shared" si="29"/>
        <v>32.450000000000003</v>
      </c>
    </row>
    <row r="555" spans="1:39" s="560" customFormat="1" ht="13.2" customHeight="1">
      <c r="A555" s="607" t="s">
        <v>1011</v>
      </c>
      <c r="B555" s="607" t="s">
        <v>1330</v>
      </c>
      <c r="C555" s="614" t="s">
        <v>37</v>
      </c>
      <c r="D555" s="580"/>
      <c r="E555" s="581"/>
      <c r="F555" s="778"/>
      <c r="G555" s="581"/>
      <c r="H555" s="581"/>
      <c r="I555" s="949"/>
      <c r="J555" s="949"/>
      <c r="K555" s="825"/>
      <c r="L555" s="575"/>
      <c r="M555" s="809"/>
      <c r="N555" s="575"/>
      <c r="O555" s="575"/>
      <c r="P555" s="575"/>
      <c r="Q555" s="575"/>
      <c r="R555" s="575"/>
      <c r="S555" s="575"/>
      <c r="T555" s="809"/>
      <c r="U555" s="575"/>
      <c r="V555" s="575"/>
      <c r="W555" s="575"/>
      <c r="X555" s="575"/>
      <c r="Y555" s="575"/>
      <c r="Z555" s="575"/>
      <c r="AA555" s="809"/>
      <c r="AB555" s="817"/>
      <c r="AC555" s="575"/>
      <c r="AD555" s="575"/>
      <c r="AE555" s="753"/>
      <c r="AF555" s="575"/>
      <c r="AG555" s="575"/>
      <c r="AH555" s="842"/>
      <c r="AI555" s="1013">
        <f t="shared" si="27"/>
        <v>0</v>
      </c>
      <c r="AJ555" s="949">
        <v>0</v>
      </c>
      <c r="AK555" s="581">
        <f t="shared" si="28"/>
        <v>0</v>
      </c>
      <c r="AL555" s="750" t="s">
        <v>1731</v>
      </c>
      <c r="AM555" s="743">
        <f t="shared" si="29"/>
        <v>45.55</v>
      </c>
    </row>
    <row r="556" spans="1:39" s="560" customFormat="1" ht="13.2" customHeight="1">
      <c r="A556" s="607" t="s">
        <v>1012</v>
      </c>
      <c r="B556" s="607" t="s">
        <v>1331</v>
      </c>
      <c r="C556" s="614" t="s">
        <v>37</v>
      </c>
      <c r="D556" s="580"/>
      <c r="E556" s="581"/>
      <c r="F556" s="778"/>
      <c r="G556" s="581"/>
      <c r="H556" s="581"/>
      <c r="I556" s="949"/>
      <c r="J556" s="949"/>
      <c r="K556" s="825"/>
      <c r="L556" s="575"/>
      <c r="M556" s="809"/>
      <c r="N556" s="575"/>
      <c r="O556" s="575"/>
      <c r="P556" s="575"/>
      <c r="Q556" s="575"/>
      <c r="R556" s="575"/>
      <c r="S556" s="575"/>
      <c r="T556" s="809"/>
      <c r="U556" s="575"/>
      <c r="V556" s="575"/>
      <c r="W556" s="575"/>
      <c r="X556" s="575"/>
      <c r="Y556" s="575"/>
      <c r="Z556" s="575"/>
      <c r="AA556" s="809"/>
      <c r="AB556" s="817"/>
      <c r="AC556" s="575"/>
      <c r="AD556" s="575"/>
      <c r="AE556" s="753"/>
      <c r="AF556" s="575"/>
      <c r="AG556" s="575"/>
      <c r="AH556" s="842"/>
      <c r="AI556" s="1013">
        <f t="shared" si="27"/>
        <v>0</v>
      </c>
      <c r="AJ556" s="949">
        <v>0</v>
      </c>
      <c r="AK556" s="581">
        <f t="shared" si="28"/>
        <v>0</v>
      </c>
      <c r="AL556" s="750" t="s">
        <v>1657</v>
      </c>
      <c r="AM556" s="743">
        <f t="shared" si="29"/>
        <v>4</v>
      </c>
    </row>
    <row r="557" spans="1:39" s="560" customFormat="1" ht="13.2" customHeight="1">
      <c r="A557" s="607" t="s">
        <v>1013</v>
      </c>
      <c r="B557" s="607" t="s">
        <v>1332</v>
      </c>
      <c r="C557" s="614" t="s">
        <v>1436</v>
      </c>
      <c r="D557" s="580"/>
      <c r="E557" s="581"/>
      <c r="F557" s="778"/>
      <c r="G557" s="581"/>
      <c r="H557" s="581"/>
      <c r="I557" s="949"/>
      <c r="J557" s="949"/>
      <c r="K557" s="825"/>
      <c r="L557" s="575"/>
      <c r="M557" s="809"/>
      <c r="N557" s="575"/>
      <c r="O557" s="575"/>
      <c r="P557" s="575"/>
      <c r="Q557" s="575"/>
      <c r="R557" s="575"/>
      <c r="S557" s="575"/>
      <c r="T557" s="809"/>
      <c r="U557" s="575"/>
      <c r="V557" s="575"/>
      <c r="W557" s="575"/>
      <c r="X557" s="575"/>
      <c r="Y557" s="575"/>
      <c r="Z557" s="575"/>
      <c r="AA557" s="809"/>
      <c r="AB557" s="817"/>
      <c r="AC557" s="575"/>
      <c r="AD557" s="575"/>
      <c r="AE557" s="753"/>
      <c r="AF557" s="575"/>
      <c r="AG557" s="575"/>
      <c r="AH557" s="842"/>
      <c r="AI557" s="1013">
        <f t="shared" si="27"/>
        <v>0</v>
      </c>
      <c r="AJ557" s="949">
        <v>0</v>
      </c>
      <c r="AK557" s="581">
        <f t="shared" si="28"/>
        <v>0</v>
      </c>
      <c r="AL557" s="750" t="s">
        <v>1684</v>
      </c>
      <c r="AM557" s="743">
        <f t="shared" si="29"/>
        <v>2</v>
      </c>
    </row>
    <row r="558" spans="1:39" s="560" customFormat="1" ht="13.2" customHeight="1">
      <c r="A558" s="607" t="s">
        <v>1014</v>
      </c>
      <c r="B558" s="607" t="s">
        <v>1333</v>
      </c>
      <c r="C558" s="614" t="s">
        <v>1436</v>
      </c>
      <c r="D558" s="580"/>
      <c r="E558" s="581"/>
      <c r="F558" s="778"/>
      <c r="G558" s="581"/>
      <c r="H558" s="581"/>
      <c r="I558" s="949"/>
      <c r="J558" s="949"/>
      <c r="K558" s="825"/>
      <c r="L558" s="575"/>
      <c r="M558" s="809"/>
      <c r="N558" s="575"/>
      <c r="O558" s="575"/>
      <c r="P558" s="575"/>
      <c r="Q558" s="575"/>
      <c r="R558" s="575"/>
      <c r="S558" s="575"/>
      <c r="T558" s="809"/>
      <c r="U558" s="575"/>
      <c r="V558" s="575"/>
      <c r="W558" s="575"/>
      <c r="X558" s="575"/>
      <c r="Y558" s="575"/>
      <c r="Z558" s="575"/>
      <c r="AA558" s="809"/>
      <c r="AB558" s="817"/>
      <c r="AC558" s="575"/>
      <c r="AD558" s="575"/>
      <c r="AE558" s="753"/>
      <c r="AF558" s="575"/>
      <c r="AG558" s="575"/>
      <c r="AH558" s="842"/>
      <c r="AI558" s="1013">
        <f t="shared" si="27"/>
        <v>0</v>
      </c>
      <c r="AJ558" s="949">
        <v>0</v>
      </c>
      <c r="AK558" s="581">
        <f t="shared" si="28"/>
        <v>0</v>
      </c>
      <c r="AL558" s="750" t="s">
        <v>1603</v>
      </c>
      <c r="AM558" s="743">
        <f t="shared" si="29"/>
        <v>6</v>
      </c>
    </row>
    <row r="559" spans="1:39" s="560" customFormat="1" ht="13.2" customHeight="1">
      <c r="A559" s="607" t="s">
        <v>1015</v>
      </c>
      <c r="B559" s="607" t="s">
        <v>1334</v>
      </c>
      <c r="C559" s="614" t="s">
        <v>1436</v>
      </c>
      <c r="D559" s="580"/>
      <c r="E559" s="581"/>
      <c r="F559" s="778"/>
      <c r="G559" s="581"/>
      <c r="H559" s="581"/>
      <c r="I559" s="949"/>
      <c r="J559" s="949"/>
      <c r="K559" s="825"/>
      <c r="L559" s="575"/>
      <c r="M559" s="809"/>
      <c r="N559" s="575"/>
      <c r="O559" s="575"/>
      <c r="P559" s="575"/>
      <c r="Q559" s="575"/>
      <c r="R559" s="575"/>
      <c r="S559" s="575"/>
      <c r="T559" s="809"/>
      <c r="U559" s="575"/>
      <c r="V559" s="575"/>
      <c r="W559" s="575"/>
      <c r="X559" s="575"/>
      <c r="Y559" s="575"/>
      <c r="Z559" s="575"/>
      <c r="AA559" s="809"/>
      <c r="AB559" s="817"/>
      <c r="AC559" s="575"/>
      <c r="AD559" s="575"/>
      <c r="AE559" s="753"/>
      <c r="AF559" s="575"/>
      <c r="AG559" s="575"/>
      <c r="AH559" s="842"/>
      <c r="AI559" s="1013">
        <f t="shared" si="27"/>
        <v>0</v>
      </c>
      <c r="AJ559" s="949">
        <v>0</v>
      </c>
      <c r="AK559" s="581">
        <f t="shared" si="28"/>
        <v>0</v>
      </c>
      <c r="AL559" s="750" t="s">
        <v>1603</v>
      </c>
      <c r="AM559" s="743">
        <f t="shared" si="29"/>
        <v>6</v>
      </c>
    </row>
    <row r="560" spans="1:39" s="560" customFormat="1" ht="13.2" customHeight="1">
      <c r="A560" s="607" t="s">
        <v>1016</v>
      </c>
      <c r="B560" s="607" t="s">
        <v>1335</v>
      </c>
      <c r="C560" s="614" t="s">
        <v>1436</v>
      </c>
      <c r="D560" s="580"/>
      <c r="E560" s="581"/>
      <c r="F560" s="778"/>
      <c r="G560" s="581"/>
      <c r="H560" s="581"/>
      <c r="I560" s="949"/>
      <c r="J560" s="949"/>
      <c r="K560" s="825"/>
      <c r="L560" s="575"/>
      <c r="M560" s="809"/>
      <c r="N560" s="575"/>
      <c r="O560" s="575"/>
      <c r="P560" s="575"/>
      <c r="Q560" s="575"/>
      <c r="R560" s="575"/>
      <c r="S560" s="575"/>
      <c r="T560" s="809"/>
      <c r="U560" s="575"/>
      <c r="V560" s="575"/>
      <c r="W560" s="575"/>
      <c r="X560" s="575"/>
      <c r="Y560" s="575"/>
      <c r="Z560" s="575"/>
      <c r="AA560" s="809"/>
      <c r="AB560" s="817"/>
      <c r="AC560" s="575"/>
      <c r="AD560" s="575"/>
      <c r="AE560" s="753"/>
      <c r="AF560" s="575"/>
      <c r="AG560" s="575"/>
      <c r="AH560" s="842"/>
      <c r="AI560" s="1013">
        <f t="shared" si="27"/>
        <v>0</v>
      </c>
      <c r="AJ560" s="949">
        <v>0</v>
      </c>
      <c r="AK560" s="581">
        <f t="shared" si="28"/>
        <v>0</v>
      </c>
      <c r="AL560" s="750" t="s">
        <v>1603</v>
      </c>
      <c r="AM560" s="743">
        <f t="shared" si="29"/>
        <v>6</v>
      </c>
    </row>
    <row r="561" spans="1:39" s="560" customFormat="1" ht="13.2" customHeight="1" thickBot="1">
      <c r="A561" s="607" t="s">
        <v>1017</v>
      </c>
      <c r="B561" s="607" t="s">
        <v>1336</v>
      </c>
      <c r="C561" s="614" t="s">
        <v>1437</v>
      </c>
      <c r="D561" s="580"/>
      <c r="E561" s="581"/>
      <c r="F561" s="778"/>
      <c r="G561" s="581"/>
      <c r="H561" s="581"/>
      <c r="I561" s="949"/>
      <c r="J561" s="949"/>
      <c r="K561" s="825"/>
      <c r="L561" s="575"/>
      <c r="M561" s="809"/>
      <c r="N561" s="575"/>
      <c r="O561" s="575"/>
      <c r="P561" s="575"/>
      <c r="Q561" s="575"/>
      <c r="R561" s="575"/>
      <c r="S561" s="575"/>
      <c r="T561" s="809"/>
      <c r="U561" s="575"/>
      <c r="V561" s="575"/>
      <c r="W561" s="575"/>
      <c r="X561" s="575"/>
      <c r="Y561" s="575"/>
      <c r="Z561" s="575"/>
      <c r="AA561" s="809"/>
      <c r="AB561" s="817"/>
      <c r="AC561" s="575"/>
      <c r="AD561" s="575"/>
      <c r="AE561" s="753"/>
      <c r="AF561" s="575"/>
      <c r="AG561" s="583"/>
      <c r="AH561" s="842"/>
      <c r="AI561" s="1013">
        <f t="shared" si="27"/>
        <v>0</v>
      </c>
      <c r="AJ561" s="949">
        <v>0</v>
      </c>
      <c r="AK561" s="581">
        <f t="shared" si="28"/>
        <v>0</v>
      </c>
      <c r="AL561" s="750"/>
      <c r="AM561" s="743">
        <f t="shared" si="29"/>
        <v>0</v>
      </c>
    </row>
    <row r="562" spans="1:39" s="560" customFormat="1" ht="13.2" hidden="1" customHeight="1">
      <c r="A562" s="492" t="s">
        <v>483</v>
      </c>
      <c r="B562" s="608" t="s">
        <v>1337</v>
      </c>
      <c r="C562" s="690"/>
      <c r="D562" s="580"/>
      <c r="E562" s="581"/>
      <c r="F562" s="778"/>
      <c r="G562" s="581"/>
      <c r="H562" s="581"/>
      <c r="I562" s="949"/>
      <c r="J562" s="949"/>
      <c r="K562" s="825"/>
      <c r="L562" s="575"/>
      <c r="M562" s="809"/>
      <c r="N562" s="575"/>
      <c r="O562" s="575"/>
      <c r="P562" s="575"/>
      <c r="Q562" s="575"/>
      <c r="R562" s="575"/>
      <c r="S562" s="575"/>
      <c r="T562" s="809"/>
      <c r="U562" s="575"/>
      <c r="V562" s="575"/>
      <c r="W562" s="575"/>
      <c r="X562" s="575"/>
      <c r="Y562" s="575"/>
      <c r="Z562" s="575"/>
      <c r="AA562" s="809"/>
      <c r="AB562" s="817"/>
      <c r="AC562" s="575"/>
      <c r="AD562" s="575"/>
      <c r="AE562" s="753"/>
      <c r="AF562" s="575"/>
      <c r="AG562" s="575"/>
      <c r="AH562" s="842"/>
      <c r="AI562" s="1013">
        <f t="shared" si="27"/>
        <v>0</v>
      </c>
      <c r="AJ562" s="949">
        <v>0</v>
      </c>
      <c r="AK562" s="581">
        <f t="shared" si="28"/>
        <v>0</v>
      </c>
      <c r="AL562" s="750" t="s">
        <v>1732</v>
      </c>
      <c r="AM562" s="743">
        <f t="shared" si="29"/>
        <v>18.04</v>
      </c>
    </row>
    <row r="563" spans="1:39" s="560" customFormat="1" ht="13.2" hidden="1" customHeight="1">
      <c r="A563" s="607" t="s">
        <v>484</v>
      </c>
      <c r="B563" s="607" t="s">
        <v>1338</v>
      </c>
      <c r="C563" s="614" t="s">
        <v>39</v>
      </c>
      <c r="D563" s="580"/>
      <c r="E563" s="581"/>
      <c r="F563" s="778"/>
      <c r="G563" s="581"/>
      <c r="H563" s="581"/>
      <c r="I563" s="949"/>
      <c r="J563" s="949"/>
      <c r="K563" s="825"/>
      <c r="L563" s="575"/>
      <c r="M563" s="809"/>
      <c r="N563" s="575"/>
      <c r="O563" s="575"/>
      <c r="P563" s="575"/>
      <c r="Q563" s="575"/>
      <c r="R563" s="575"/>
      <c r="S563" s="575"/>
      <c r="T563" s="809"/>
      <c r="U563" s="575"/>
      <c r="V563" s="575"/>
      <c r="W563" s="575"/>
      <c r="X563" s="575"/>
      <c r="Y563" s="575"/>
      <c r="Z563" s="575"/>
      <c r="AA563" s="809"/>
      <c r="AB563" s="817"/>
      <c r="AC563" s="575"/>
      <c r="AD563" s="575"/>
      <c r="AE563" s="753"/>
      <c r="AF563" s="575"/>
      <c r="AG563" s="575"/>
      <c r="AH563" s="842"/>
      <c r="AI563" s="1013">
        <f t="shared" si="27"/>
        <v>0</v>
      </c>
      <c r="AJ563" s="949">
        <v>0</v>
      </c>
      <c r="AK563" s="581">
        <f t="shared" si="28"/>
        <v>0</v>
      </c>
      <c r="AL563" s="750" t="s">
        <v>1732</v>
      </c>
      <c r="AM563" s="743">
        <f t="shared" si="29"/>
        <v>18.04</v>
      </c>
    </row>
    <row r="564" spans="1:39" s="560" customFormat="1" ht="13.2" hidden="1" customHeight="1">
      <c r="A564" s="607" t="s">
        <v>485</v>
      </c>
      <c r="B564" s="607" t="s">
        <v>1339</v>
      </c>
      <c r="C564" s="614" t="s">
        <v>39</v>
      </c>
      <c r="D564" s="580"/>
      <c r="E564" s="581"/>
      <c r="F564" s="778"/>
      <c r="G564" s="581"/>
      <c r="H564" s="581"/>
      <c r="I564" s="949"/>
      <c r="J564" s="949"/>
      <c r="K564" s="825"/>
      <c r="L564" s="575"/>
      <c r="M564" s="809"/>
      <c r="N564" s="575"/>
      <c r="O564" s="575"/>
      <c r="P564" s="575"/>
      <c r="Q564" s="575"/>
      <c r="R564" s="575"/>
      <c r="S564" s="575"/>
      <c r="T564" s="809"/>
      <c r="U564" s="575"/>
      <c r="V564" s="575"/>
      <c r="W564" s="575"/>
      <c r="X564" s="575"/>
      <c r="Y564" s="575"/>
      <c r="Z564" s="575"/>
      <c r="AA564" s="809"/>
      <c r="AB564" s="817"/>
      <c r="AC564" s="575"/>
      <c r="AD564" s="575"/>
      <c r="AE564" s="753"/>
      <c r="AF564" s="575"/>
      <c r="AG564" s="575"/>
      <c r="AH564" s="842"/>
      <c r="AI564" s="1013">
        <f t="shared" si="27"/>
        <v>0</v>
      </c>
      <c r="AJ564" s="949">
        <v>0</v>
      </c>
      <c r="AK564" s="581">
        <f t="shared" si="28"/>
        <v>0</v>
      </c>
      <c r="AL564" s="750" t="s">
        <v>1441</v>
      </c>
      <c r="AM564" s="743">
        <f t="shared" si="29"/>
        <v>1</v>
      </c>
    </row>
    <row r="565" spans="1:39" s="560" customFormat="1" ht="13.2" hidden="1" customHeight="1">
      <c r="A565" s="607" t="s">
        <v>1018</v>
      </c>
      <c r="B565" s="607" t="s">
        <v>1340</v>
      </c>
      <c r="C565" s="614" t="s">
        <v>35</v>
      </c>
      <c r="D565" s="580"/>
      <c r="E565" s="581"/>
      <c r="F565" s="778"/>
      <c r="G565" s="581"/>
      <c r="H565" s="581"/>
      <c r="I565" s="949"/>
      <c r="J565" s="949"/>
      <c r="K565" s="825"/>
      <c r="L565" s="575"/>
      <c r="M565" s="809"/>
      <c r="N565" s="575"/>
      <c r="O565" s="575"/>
      <c r="P565" s="575"/>
      <c r="Q565" s="575"/>
      <c r="R565" s="575"/>
      <c r="S565" s="575"/>
      <c r="T565" s="809"/>
      <c r="U565" s="575"/>
      <c r="V565" s="575"/>
      <c r="W565" s="575"/>
      <c r="X565" s="575"/>
      <c r="Y565" s="575"/>
      <c r="Z565" s="575"/>
      <c r="AA565" s="809"/>
      <c r="AB565" s="817"/>
      <c r="AC565" s="575"/>
      <c r="AD565" s="575"/>
      <c r="AE565" s="753"/>
      <c r="AF565" s="575"/>
      <c r="AG565" s="575"/>
      <c r="AH565" s="842"/>
      <c r="AI565" s="1013">
        <f t="shared" si="27"/>
        <v>0</v>
      </c>
      <c r="AJ565" s="949">
        <v>0</v>
      </c>
      <c r="AK565" s="581">
        <f t="shared" si="28"/>
        <v>0</v>
      </c>
      <c r="AL565" s="750" t="s">
        <v>1441</v>
      </c>
      <c r="AM565" s="743">
        <f t="shared" si="29"/>
        <v>1</v>
      </c>
    </row>
    <row r="566" spans="1:39" s="560" customFormat="1" ht="13.2" hidden="1" customHeight="1">
      <c r="A566" s="607" t="s">
        <v>1019</v>
      </c>
      <c r="B566" s="607" t="s">
        <v>1341</v>
      </c>
      <c r="C566" s="614" t="s">
        <v>40</v>
      </c>
      <c r="D566" s="580"/>
      <c r="E566" s="581"/>
      <c r="F566" s="778"/>
      <c r="G566" s="581"/>
      <c r="H566" s="581"/>
      <c r="I566" s="949"/>
      <c r="J566" s="949"/>
      <c r="K566" s="825"/>
      <c r="L566" s="575"/>
      <c r="M566" s="809"/>
      <c r="N566" s="575"/>
      <c r="O566" s="575"/>
      <c r="P566" s="575"/>
      <c r="Q566" s="575"/>
      <c r="R566" s="575"/>
      <c r="S566" s="575"/>
      <c r="T566" s="809"/>
      <c r="U566" s="575"/>
      <c r="V566" s="575"/>
      <c r="W566" s="575"/>
      <c r="X566" s="575"/>
      <c r="Y566" s="575"/>
      <c r="Z566" s="575"/>
      <c r="AA566" s="809"/>
      <c r="AB566" s="817"/>
      <c r="AC566" s="575"/>
      <c r="AD566" s="575"/>
      <c r="AE566" s="753"/>
      <c r="AF566" s="575"/>
      <c r="AG566" s="575"/>
      <c r="AH566" s="842"/>
      <c r="AI566" s="1013">
        <f t="shared" si="27"/>
        <v>0</v>
      </c>
      <c r="AJ566" s="949">
        <v>0</v>
      </c>
      <c r="AK566" s="581">
        <f t="shared" si="28"/>
        <v>0</v>
      </c>
      <c r="AL566" s="750"/>
      <c r="AM566" s="743">
        <f t="shared" si="29"/>
        <v>0</v>
      </c>
    </row>
    <row r="567" spans="1:39" s="560" customFormat="1" ht="13.2" hidden="1" customHeight="1">
      <c r="A567" s="492" t="s">
        <v>486</v>
      </c>
      <c r="B567" s="608" t="s">
        <v>1342</v>
      </c>
      <c r="C567" s="690"/>
      <c r="D567" s="580"/>
      <c r="E567" s="581"/>
      <c r="F567" s="778"/>
      <c r="G567" s="581"/>
      <c r="H567" s="581"/>
      <c r="I567" s="949"/>
      <c r="J567" s="949"/>
      <c r="K567" s="825"/>
      <c r="L567" s="575"/>
      <c r="M567" s="809"/>
      <c r="N567" s="575"/>
      <c r="O567" s="575"/>
      <c r="P567" s="575"/>
      <c r="Q567" s="575"/>
      <c r="R567" s="575"/>
      <c r="S567" s="575"/>
      <c r="T567" s="809"/>
      <c r="U567" s="575"/>
      <c r="V567" s="575"/>
      <c r="W567" s="575"/>
      <c r="X567" s="575"/>
      <c r="Y567" s="575"/>
      <c r="Z567" s="575"/>
      <c r="AA567" s="809"/>
      <c r="AB567" s="817"/>
      <c r="AC567" s="575"/>
      <c r="AD567" s="575"/>
      <c r="AE567" s="753"/>
      <c r="AF567" s="575"/>
      <c r="AG567" s="575"/>
      <c r="AH567" s="842"/>
      <c r="AI567" s="1013">
        <f t="shared" si="27"/>
        <v>0</v>
      </c>
      <c r="AJ567" s="949">
        <v>0</v>
      </c>
      <c r="AK567" s="581">
        <f t="shared" si="28"/>
        <v>0</v>
      </c>
      <c r="AL567" s="750" t="s">
        <v>1733</v>
      </c>
      <c r="AM567" s="743">
        <f t="shared" si="29"/>
        <v>10.08</v>
      </c>
    </row>
    <row r="568" spans="1:39" s="560" customFormat="1" ht="13.2" hidden="1" customHeight="1">
      <c r="A568" s="607" t="s">
        <v>487</v>
      </c>
      <c r="B568" s="607" t="s">
        <v>1338</v>
      </c>
      <c r="C568" s="614" t="s">
        <v>39</v>
      </c>
      <c r="D568" s="580"/>
      <c r="E568" s="581"/>
      <c r="F568" s="778"/>
      <c r="G568" s="581"/>
      <c r="H568" s="581"/>
      <c r="I568" s="949"/>
      <c r="J568" s="949"/>
      <c r="K568" s="825"/>
      <c r="L568" s="575"/>
      <c r="M568" s="809"/>
      <c r="N568" s="575"/>
      <c r="O568" s="575"/>
      <c r="P568" s="575"/>
      <c r="Q568" s="575"/>
      <c r="R568" s="575"/>
      <c r="S568" s="575"/>
      <c r="T568" s="809"/>
      <c r="U568" s="575"/>
      <c r="V568" s="575"/>
      <c r="W568" s="575"/>
      <c r="X568" s="575"/>
      <c r="Y568" s="575"/>
      <c r="Z568" s="575"/>
      <c r="AA568" s="809"/>
      <c r="AB568" s="817"/>
      <c r="AC568" s="575"/>
      <c r="AD568" s="575"/>
      <c r="AE568" s="753"/>
      <c r="AF568" s="575"/>
      <c r="AG568" s="575"/>
      <c r="AH568" s="842"/>
      <c r="AI568" s="1013">
        <f t="shared" si="27"/>
        <v>0</v>
      </c>
      <c r="AJ568" s="949">
        <v>0</v>
      </c>
      <c r="AK568" s="581">
        <f t="shared" si="28"/>
        <v>0</v>
      </c>
      <c r="AL568" s="750" t="s">
        <v>1733</v>
      </c>
      <c r="AM568" s="743">
        <f t="shared" si="29"/>
        <v>10.08</v>
      </c>
    </row>
    <row r="569" spans="1:39" s="560" customFormat="1" ht="13.2" hidden="1" customHeight="1">
      <c r="A569" s="607" t="s">
        <v>488</v>
      </c>
      <c r="B569" s="607" t="s">
        <v>1339</v>
      </c>
      <c r="C569" s="614" t="s">
        <v>39</v>
      </c>
      <c r="D569" s="580"/>
      <c r="E569" s="581"/>
      <c r="F569" s="778"/>
      <c r="G569" s="581"/>
      <c r="H569" s="581"/>
      <c r="I569" s="949"/>
      <c r="J569" s="949"/>
      <c r="K569" s="825"/>
      <c r="L569" s="575"/>
      <c r="M569" s="809"/>
      <c r="N569" s="575"/>
      <c r="O569" s="575"/>
      <c r="P569" s="575"/>
      <c r="Q569" s="575"/>
      <c r="R569" s="575"/>
      <c r="S569" s="575"/>
      <c r="T569" s="809"/>
      <c r="U569" s="575"/>
      <c r="V569" s="575"/>
      <c r="W569" s="575"/>
      <c r="X569" s="575"/>
      <c r="Y569" s="575"/>
      <c r="Z569" s="575"/>
      <c r="AA569" s="809"/>
      <c r="AB569" s="817"/>
      <c r="AC569" s="575"/>
      <c r="AD569" s="575"/>
      <c r="AE569" s="753"/>
      <c r="AF569" s="575"/>
      <c r="AG569" s="575"/>
      <c r="AH569" s="842"/>
      <c r="AI569" s="1013">
        <f t="shared" si="27"/>
        <v>0</v>
      </c>
      <c r="AJ569" s="949">
        <v>0</v>
      </c>
      <c r="AK569" s="581">
        <f t="shared" si="28"/>
        <v>0</v>
      </c>
      <c r="AL569" s="750" t="s">
        <v>1734</v>
      </c>
      <c r="AM569" s="743">
        <f t="shared" si="29"/>
        <v>5.04</v>
      </c>
    </row>
    <row r="570" spans="1:39" s="560" customFormat="1" ht="13.2" hidden="1" customHeight="1">
      <c r="A570" s="607" t="s">
        <v>489</v>
      </c>
      <c r="B570" s="607" t="s">
        <v>1343</v>
      </c>
      <c r="C570" s="614" t="s">
        <v>39</v>
      </c>
      <c r="D570" s="580"/>
      <c r="E570" s="581"/>
      <c r="F570" s="778"/>
      <c r="G570" s="581"/>
      <c r="H570" s="581"/>
      <c r="I570" s="949"/>
      <c r="J570" s="949"/>
      <c r="K570" s="825"/>
      <c r="L570" s="575"/>
      <c r="M570" s="809"/>
      <c r="N570" s="575"/>
      <c r="O570" s="575"/>
      <c r="P570" s="575"/>
      <c r="Q570" s="575"/>
      <c r="R570" s="575"/>
      <c r="S570" s="575"/>
      <c r="T570" s="809"/>
      <c r="U570" s="575"/>
      <c r="V570" s="575"/>
      <c r="W570" s="575"/>
      <c r="X570" s="575"/>
      <c r="Y570" s="575"/>
      <c r="Z570" s="575"/>
      <c r="AA570" s="809"/>
      <c r="AB570" s="817"/>
      <c r="AC570" s="575"/>
      <c r="AD570" s="575"/>
      <c r="AE570" s="753"/>
      <c r="AF570" s="575"/>
      <c r="AG570" s="575"/>
      <c r="AH570" s="842"/>
      <c r="AI570" s="1013">
        <f t="shared" si="27"/>
        <v>0</v>
      </c>
      <c r="AJ570" s="949">
        <v>0</v>
      </c>
      <c r="AK570" s="581">
        <f t="shared" si="28"/>
        <v>0</v>
      </c>
      <c r="AL570" s="750" t="s">
        <v>1441</v>
      </c>
      <c r="AM570" s="743">
        <f t="shared" si="29"/>
        <v>1</v>
      </c>
    </row>
    <row r="571" spans="1:39" s="560" customFormat="1" ht="13.2" hidden="1" customHeight="1">
      <c r="A571" s="607" t="s">
        <v>490</v>
      </c>
      <c r="B571" s="607" t="s">
        <v>1344</v>
      </c>
      <c r="C571" s="614" t="s">
        <v>40</v>
      </c>
      <c r="D571" s="580"/>
      <c r="E571" s="581"/>
      <c r="F571" s="778"/>
      <c r="G571" s="581"/>
      <c r="H571" s="581"/>
      <c r="I571" s="949"/>
      <c r="J571" s="949"/>
      <c r="K571" s="825"/>
      <c r="L571" s="575"/>
      <c r="M571" s="809"/>
      <c r="N571" s="575"/>
      <c r="O571" s="575"/>
      <c r="P571" s="575"/>
      <c r="Q571" s="575"/>
      <c r="R571" s="575"/>
      <c r="S571" s="575"/>
      <c r="T571" s="809"/>
      <c r="U571" s="575"/>
      <c r="V571" s="575"/>
      <c r="W571" s="575"/>
      <c r="X571" s="575"/>
      <c r="Y571" s="575"/>
      <c r="Z571" s="575"/>
      <c r="AA571" s="809"/>
      <c r="AB571" s="817"/>
      <c r="AC571" s="575"/>
      <c r="AD571" s="575"/>
      <c r="AE571" s="753"/>
      <c r="AF571" s="575"/>
      <c r="AG571" s="575"/>
      <c r="AH571" s="842"/>
      <c r="AI571" s="1013">
        <f t="shared" si="27"/>
        <v>0</v>
      </c>
      <c r="AJ571" s="949">
        <v>0</v>
      </c>
      <c r="AK571" s="581">
        <f t="shared" si="28"/>
        <v>0</v>
      </c>
      <c r="AL571" s="750" t="s">
        <v>1588</v>
      </c>
      <c r="AM571" s="743">
        <f t="shared" si="29"/>
        <v>24</v>
      </c>
    </row>
    <row r="572" spans="1:39" s="560" customFormat="1" ht="13.2" hidden="1" customHeight="1">
      <c r="A572" s="607" t="s">
        <v>1020</v>
      </c>
      <c r="B572" s="607" t="s">
        <v>1345</v>
      </c>
      <c r="C572" s="614" t="s">
        <v>37</v>
      </c>
      <c r="D572" s="580"/>
      <c r="E572" s="581"/>
      <c r="F572" s="778"/>
      <c r="G572" s="581"/>
      <c r="H572" s="581"/>
      <c r="I572" s="949"/>
      <c r="J572" s="949"/>
      <c r="K572" s="825"/>
      <c r="L572" s="575"/>
      <c r="M572" s="809"/>
      <c r="N572" s="575"/>
      <c r="O572" s="575"/>
      <c r="P572" s="575"/>
      <c r="Q572" s="575"/>
      <c r="R572" s="575"/>
      <c r="S572" s="575"/>
      <c r="T572" s="809"/>
      <c r="U572" s="575"/>
      <c r="V572" s="575"/>
      <c r="W572" s="575"/>
      <c r="X572" s="575"/>
      <c r="Y572" s="575"/>
      <c r="Z572" s="575"/>
      <c r="AA572" s="809"/>
      <c r="AB572" s="817"/>
      <c r="AC572" s="575"/>
      <c r="AD572" s="575"/>
      <c r="AE572" s="753"/>
      <c r="AF572" s="575"/>
      <c r="AG572" s="575"/>
      <c r="AH572" s="842"/>
      <c r="AI572" s="1013">
        <f t="shared" si="27"/>
        <v>0</v>
      </c>
      <c r="AJ572" s="949">
        <v>0</v>
      </c>
      <c r="AK572" s="581">
        <f t="shared" si="28"/>
        <v>0</v>
      </c>
      <c r="AL572" s="750"/>
      <c r="AM572" s="743">
        <f t="shared" si="29"/>
        <v>0</v>
      </c>
    </row>
    <row r="573" spans="1:39" ht="13.2" hidden="1" customHeight="1">
      <c r="A573" s="492" t="s">
        <v>491</v>
      </c>
      <c r="B573" s="608" t="s">
        <v>1346</v>
      </c>
      <c r="C573" s="690"/>
      <c r="D573" s="580"/>
      <c r="E573" s="581"/>
      <c r="F573" s="778"/>
      <c r="G573" s="581"/>
      <c r="H573" s="581"/>
      <c r="I573" s="949"/>
      <c r="J573" s="949"/>
      <c r="K573" s="825"/>
      <c r="L573" s="575"/>
      <c r="M573" s="809"/>
      <c r="N573" s="575"/>
      <c r="O573" s="575"/>
      <c r="P573" s="575"/>
      <c r="Q573" s="575"/>
      <c r="R573" s="575"/>
      <c r="S573" s="575"/>
      <c r="T573" s="809"/>
      <c r="U573" s="575"/>
      <c r="V573" s="575"/>
      <c r="W573" s="575"/>
      <c r="X573" s="575"/>
      <c r="Y573" s="575"/>
      <c r="Z573" s="575"/>
      <c r="AA573" s="809"/>
      <c r="AB573" s="817"/>
      <c r="AC573" s="575"/>
      <c r="AD573" s="575"/>
      <c r="AE573" s="753"/>
      <c r="AF573" s="575"/>
      <c r="AG573" s="575"/>
      <c r="AH573" s="842"/>
      <c r="AI573" s="1013">
        <f t="shared" si="27"/>
        <v>0</v>
      </c>
      <c r="AJ573" s="949">
        <v>0</v>
      </c>
      <c r="AK573" s="581">
        <f t="shared" si="28"/>
        <v>0</v>
      </c>
      <c r="AL573" s="750" t="s">
        <v>1479</v>
      </c>
      <c r="AM573" s="743">
        <f t="shared" si="29"/>
        <v>15</v>
      </c>
    </row>
    <row r="574" spans="1:39" ht="13.2" hidden="1" customHeight="1">
      <c r="A574" s="607" t="s">
        <v>492</v>
      </c>
      <c r="B574" s="607" t="s">
        <v>1347</v>
      </c>
      <c r="C574" s="614" t="s">
        <v>1438</v>
      </c>
      <c r="D574" s="580"/>
      <c r="E574" s="581"/>
      <c r="F574" s="778"/>
      <c r="G574" s="581"/>
      <c r="H574" s="581"/>
      <c r="I574" s="949"/>
      <c r="J574" s="949"/>
      <c r="K574" s="825"/>
      <c r="L574" s="575"/>
      <c r="M574" s="809"/>
      <c r="N574" s="575"/>
      <c r="O574" s="575"/>
      <c r="P574" s="575"/>
      <c r="Q574" s="575"/>
      <c r="R574" s="575"/>
      <c r="S574" s="575"/>
      <c r="T574" s="809"/>
      <c r="U574" s="575"/>
      <c r="V574" s="575"/>
      <c r="W574" s="575"/>
      <c r="X574" s="575"/>
      <c r="Y574" s="575"/>
      <c r="Z574" s="575"/>
      <c r="AA574" s="809"/>
      <c r="AB574" s="817"/>
      <c r="AC574" s="575"/>
      <c r="AD574" s="575"/>
      <c r="AE574" s="753"/>
      <c r="AF574" s="575"/>
      <c r="AG574" s="575"/>
      <c r="AH574" s="842"/>
      <c r="AI574" s="1013">
        <f t="shared" si="27"/>
        <v>0</v>
      </c>
      <c r="AJ574" s="949">
        <v>0</v>
      </c>
      <c r="AK574" s="581">
        <f t="shared" si="28"/>
        <v>0</v>
      </c>
      <c r="AL574" s="750" t="s">
        <v>1735</v>
      </c>
      <c r="AM574" s="743">
        <f t="shared" si="29"/>
        <v>31.6</v>
      </c>
    </row>
    <row r="575" spans="1:39" ht="13.2" hidden="1" customHeight="1">
      <c r="A575" s="607" t="s">
        <v>493</v>
      </c>
      <c r="B575" s="607" t="s">
        <v>1348</v>
      </c>
      <c r="C575" s="614" t="s">
        <v>37</v>
      </c>
      <c r="D575" s="580"/>
      <c r="E575" s="581"/>
      <c r="F575" s="778"/>
      <c r="G575" s="581"/>
      <c r="H575" s="581"/>
      <c r="I575" s="949"/>
      <c r="J575" s="949"/>
      <c r="K575" s="825"/>
      <c r="L575" s="575"/>
      <c r="M575" s="809"/>
      <c r="N575" s="575"/>
      <c r="O575" s="575"/>
      <c r="P575" s="575"/>
      <c r="Q575" s="575"/>
      <c r="R575" s="575"/>
      <c r="S575" s="575"/>
      <c r="T575" s="809"/>
      <c r="U575" s="575"/>
      <c r="V575" s="575"/>
      <c r="W575" s="575"/>
      <c r="X575" s="575"/>
      <c r="Y575" s="575"/>
      <c r="Z575" s="575"/>
      <c r="AA575" s="809"/>
      <c r="AB575" s="817"/>
      <c r="AC575" s="575"/>
      <c r="AD575" s="575"/>
      <c r="AE575" s="753"/>
      <c r="AF575" s="575"/>
      <c r="AG575" s="575"/>
      <c r="AH575" s="842"/>
      <c r="AI575" s="1013">
        <f t="shared" si="27"/>
        <v>0</v>
      </c>
      <c r="AJ575" s="949">
        <v>0</v>
      </c>
      <c r="AK575" s="581">
        <f t="shared" si="28"/>
        <v>0</v>
      </c>
      <c r="AL575" s="750" t="s">
        <v>1736</v>
      </c>
      <c r="AM575" s="743">
        <f t="shared" si="29"/>
        <v>46.35</v>
      </c>
    </row>
    <row r="576" spans="1:39" ht="13.2" hidden="1" customHeight="1">
      <c r="A576" s="607" t="s">
        <v>494</v>
      </c>
      <c r="B576" s="607" t="s">
        <v>1349</v>
      </c>
      <c r="C576" s="614" t="s">
        <v>37</v>
      </c>
      <c r="D576" s="580"/>
      <c r="E576" s="581"/>
      <c r="F576" s="778"/>
      <c r="G576" s="581"/>
      <c r="H576" s="581"/>
      <c r="I576" s="949"/>
      <c r="J576" s="949"/>
      <c r="K576" s="825"/>
      <c r="L576" s="575"/>
      <c r="M576" s="809"/>
      <c r="N576" s="575"/>
      <c r="O576" s="575"/>
      <c r="P576" s="575"/>
      <c r="Q576" s="575"/>
      <c r="R576" s="575"/>
      <c r="S576" s="575"/>
      <c r="T576" s="809"/>
      <c r="U576" s="575"/>
      <c r="V576" s="575"/>
      <c r="W576" s="575"/>
      <c r="X576" s="575"/>
      <c r="Y576" s="575"/>
      <c r="Z576" s="575"/>
      <c r="AA576" s="809"/>
      <c r="AB576" s="817"/>
      <c r="AC576" s="575"/>
      <c r="AD576" s="575"/>
      <c r="AE576" s="753"/>
      <c r="AF576" s="575"/>
      <c r="AG576" s="575"/>
      <c r="AH576" s="842"/>
      <c r="AI576" s="1013">
        <f t="shared" si="27"/>
        <v>0</v>
      </c>
      <c r="AJ576" s="949">
        <v>0</v>
      </c>
      <c r="AK576" s="581">
        <f t="shared" si="28"/>
        <v>0</v>
      </c>
      <c r="AL576" s="750" t="s">
        <v>1603</v>
      </c>
      <c r="AM576" s="743">
        <f t="shared" si="29"/>
        <v>6</v>
      </c>
    </row>
    <row r="577" spans="1:39" ht="13.2" hidden="1" customHeight="1">
      <c r="A577" s="607" t="s">
        <v>1021</v>
      </c>
      <c r="B577" s="607" t="s">
        <v>1350</v>
      </c>
      <c r="C577" s="614" t="s">
        <v>1436</v>
      </c>
      <c r="D577" s="580"/>
      <c r="E577" s="581"/>
      <c r="F577" s="778"/>
      <c r="G577" s="581"/>
      <c r="H577" s="581"/>
      <c r="I577" s="949"/>
      <c r="J577" s="949"/>
      <c r="K577" s="825"/>
      <c r="L577" s="575"/>
      <c r="M577" s="809"/>
      <c r="N577" s="575"/>
      <c r="O577" s="575"/>
      <c r="P577" s="575"/>
      <c r="Q577" s="575"/>
      <c r="R577" s="575"/>
      <c r="S577" s="575"/>
      <c r="T577" s="809"/>
      <c r="U577" s="575"/>
      <c r="V577" s="575"/>
      <c r="W577" s="575"/>
      <c r="X577" s="575"/>
      <c r="Y577" s="575"/>
      <c r="Z577" s="575"/>
      <c r="AA577" s="809"/>
      <c r="AB577" s="817"/>
      <c r="AC577" s="575"/>
      <c r="AD577" s="575"/>
      <c r="AE577" s="753"/>
      <c r="AF577" s="575"/>
      <c r="AG577" s="575"/>
      <c r="AH577" s="842"/>
      <c r="AI577" s="1013">
        <f t="shared" si="27"/>
        <v>0</v>
      </c>
      <c r="AJ577" s="949">
        <v>0</v>
      </c>
      <c r="AK577" s="581">
        <f t="shared" si="28"/>
        <v>0</v>
      </c>
      <c r="AL577" s="750" t="s">
        <v>1441</v>
      </c>
      <c r="AM577" s="743">
        <f t="shared" si="29"/>
        <v>1</v>
      </c>
    </row>
    <row r="578" spans="1:39" ht="13.2" hidden="1" customHeight="1">
      <c r="A578" s="607" t="s">
        <v>1022</v>
      </c>
      <c r="B578" s="607" t="s">
        <v>1351</v>
      </c>
      <c r="C578" s="614" t="s">
        <v>1437</v>
      </c>
      <c r="D578" s="580"/>
      <c r="E578" s="581"/>
      <c r="F578" s="778"/>
      <c r="G578" s="581"/>
      <c r="H578" s="581"/>
      <c r="I578" s="949"/>
      <c r="J578" s="949"/>
      <c r="K578" s="825"/>
      <c r="L578" s="575"/>
      <c r="M578" s="809"/>
      <c r="N578" s="575"/>
      <c r="O578" s="575"/>
      <c r="P578" s="575"/>
      <c r="Q578" s="575"/>
      <c r="R578" s="575"/>
      <c r="S578" s="575"/>
      <c r="T578" s="809"/>
      <c r="U578" s="575"/>
      <c r="V578" s="575"/>
      <c r="W578" s="575"/>
      <c r="X578" s="575"/>
      <c r="Y578" s="575"/>
      <c r="Z578" s="575"/>
      <c r="AA578" s="809"/>
      <c r="AB578" s="817"/>
      <c r="AC578" s="575"/>
      <c r="AD578" s="575"/>
      <c r="AE578" s="753"/>
      <c r="AF578" s="575"/>
      <c r="AG578" s="575"/>
      <c r="AH578" s="842"/>
      <c r="AI578" s="1013">
        <f t="shared" si="27"/>
        <v>0</v>
      </c>
      <c r="AJ578" s="949">
        <v>0</v>
      </c>
      <c r="AK578" s="581">
        <f t="shared" si="28"/>
        <v>0</v>
      </c>
      <c r="AL578" s="750" t="s">
        <v>1684</v>
      </c>
      <c r="AM578" s="743">
        <f t="shared" si="29"/>
        <v>2</v>
      </c>
    </row>
    <row r="579" spans="1:39" ht="13.2" hidden="1" customHeight="1">
      <c r="A579" s="607" t="s">
        <v>1023</v>
      </c>
      <c r="B579" s="607" t="s">
        <v>1352</v>
      </c>
      <c r="C579" s="614" t="s">
        <v>1436</v>
      </c>
      <c r="D579" s="580"/>
      <c r="E579" s="581"/>
      <c r="F579" s="778"/>
      <c r="G579" s="581"/>
      <c r="H579" s="581"/>
      <c r="I579" s="949"/>
      <c r="J579" s="949"/>
      <c r="K579" s="825"/>
      <c r="L579" s="575"/>
      <c r="M579" s="809"/>
      <c r="N579" s="575"/>
      <c r="O579" s="575"/>
      <c r="P579" s="575"/>
      <c r="Q579" s="575"/>
      <c r="R579" s="575"/>
      <c r="S579" s="575"/>
      <c r="T579" s="809"/>
      <c r="U579" s="575"/>
      <c r="V579" s="575"/>
      <c r="W579" s="575"/>
      <c r="X579" s="575"/>
      <c r="Y579" s="575"/>
      <c r="Z579" s="575"/>
      <c r="AA579" s="809"/>
      <c r="AB579" s="817"/>
      <c r="AC579" s="575"/>
      <c r="AD579" s="575"/>
      <c r="AE579" s="753"/>
      <c r="AF579" s="575"/>
      <c r="AG579" s="575"/>
      <c r="AH579" s="842"/>
      <c r="AI579" s="1013">
        <f t="shared" si="27"/>
        <v>0</v>
      </c>
      <c r="AJ579" s="949">
        <v>0</v>
      </c>
      <c r="AK579" s="581">
        <f t="shared" si="28"/>
        <v>0</v>
      </c>
      <c r="AL579" s="750"/>
      <c r="AM579" s="743">
        <f t="shared" si="29"/>
        <v>0</v>
      </c>
    </row>
    <row r="580" spans="1:39" ht="13.2" hidden="1" customHeight="1">
      <c r="A580" s="492" t="s">
        <v>1024</v>
      </c>
      <c r="B580" s="608" t="s">
        <v>1353</v>
      </c>
      <c r="C580" s="614"/>
      <c r="D580" s="580"/>
      <c r="E580" s="581"/>
      <c r="F580" s="778"/>
      <c r="G580" s="581"/>
      <c r="H580" s="581"/>
      <c r="I580" s="949"/>
      <c r="J580" s="949"/>
      <c r="K580" s="825"/>
      <c r="L580" s="575"/>
      <c r="M580" s="809"/>
      <c r="N580" s="575"/>
      <c r="O580" s="575"/>
      <c r="P580" s="575"/>
      <c r="Q580" s="575"/>
      <c r="R580" s="575"/>
      <c r="S580" s="575"/>
      <c r="T580" s="809"/>
      <c r="U580" s="575"/>
      <c r="V580" s="575"/>
      <c r="W580" s="575"/>
      <c r="X580" s="575"/>
      <c r="Y580" s="575"/>
      <c r="Z580" s="575"/>
      <c r="AA580" s="809"/>
      <c r="AB580" s="817"/>
      <c r="AC580" s="575"/>
      <c r="AD580" s="575"/>
      <c r="AE580" s="753"/>
      <c r="AF580" s="575"/>
      <c r="AG580" s="575"/>
      <c r="AH580" s="842"/>
      <c r="AI580" s="1013">
        <f t="shared" si="27"/>
        <v>0</v>
      </c>
      <c r="AJ580" s="949">
        <v>0</v>
      </c>
      <c r="AK580" s="581">
        <f t="shared" si="28"/>
        <v>0</v>
      </c>
      <c r="AL580" s="750" t="s">
        <v>1441</v>
      </c>
      <c r="AM580" s="743">
        <f t="shared" si="29"/>
        <v>1</v>
      </c>
    </row>
    <row r="581" spans="1:39" ht="13.2" hidden="1" customHeight="1">
      <c r="A581" s="607" t="s">
        <v>495</v>
      </c>
      <c r="B581" s="607" t="s">
        <v>1354</v>
      </c>
      <c r="C581" s="614" t="s">
        <v>63</v>
      </c>
      <c r="D581" s="580"/>
      <c r="E581" s="581"/>
      <c r="F581" s="778"/>
      <c r="G581" s="581"/>
      <c r="H581" s="581"/>
      <c r="I581" s="949"/>
      <c r="J581" s="949"/>
      <c r="K581" s="825"/>
      <c r="L581" s="575"/>
      <c r="M581" s="809"/>
      <c r="N581" s="575"/>
      <c r="O581" s="575"/>
      <c r="P581" s="575"/>
      <c r="Q581" s="575"/>
      <c r="R581" s="575"/>
      <c r="S581" s="575"/>
      <c r="T581" s="809"/>
      <c r="U581" s="575"/>
      <c r="V581" s="575"/>
      <c r="W581" s="575"/>
      <c r="X581" s="575"/>
      <c r="Y581" s="575"/>
      <c r="Z581" s="575"/>
      <c r="AA581" s="809"/>
      <c r="AB581" s="817"/>
      <c r="AC581" s="575"/>
      <c r="AD581" s="575"/>
      <c r="AE581" s="753"/>
      <c r="AF581" s="575"/>
      <c r="AG581" s="575"/>
      <c r="AH581" s="842"/>
      <c r="AI581" s="1013">
        <f t="shared" si="27"/>
        <v>0</v>
      </c>
      <c r="AJ581" s="949">
        <v>0</v>
      </c>
      <c r="AK581" s="581">
        <f t="shared" si="28"/>
        <v>0</v>
      </c>
      <c r="AL581" s="750" t="s">
        <v>1737</v>
      </c>
      <c r="AM581" s="743">
        <f t="shared" si="29"/>
        <v>77.95</v>
      </c>
    </row>
    <row r="582" spans="1:39" ht="13.2" hidden="1" customHeight="1">
      <c r="A582" s="607" t="s">
        <v>496</v>
      </c>
      <c r="B582" s="607" t="s">
        <v>1355</v>
      </c>
      <c r="C582" s="614" t="s">
        <v>37</v>
      </c>
      <c r="D582" s="580"/>
      <c r="E582" s="581"/>
      <c r="F582" s="778"/>
      <c r="G582" s="581"/>
      <c r="H582" s="581"/>
      <c r="I582" s="949"/>
      <c r="J582" s="949"/>
      <c r="K582" s="825"/>
      <c r="L582" s="575"/>
      <c r="M582" s="809"/>
      <c r="N582" s="575"/>
      <c r="O582" s="575"/>
      <c r="P582" s="575"/>
      <c r="Q582" s="575"/>
      <c r="R582" s="575"/>
      <c r="S582" s="575"/>
      <c r="T582" s="809"/>
      <c r="U582" s="575"/>
      <c r="V582" s="575"/>
      <c r="W582" s="575"/>
      <c r="X582" s="575"/>
      <c r="Y582" s="575"/>
      <c r="Z582" s="575"/>
      <c r="AA582" s="809"/>
      <c r="AB582" s="817"/>
      <c r="AC582" s="575"/>
      <c r="AD582" s="575"/>
      <c r="AE582" s="753"/>
      <c r="AF582" s="575"/>
      <c r="AG582" s="575"/>
      <c r="AH582" s="842"/>
      <c r="AI582" s="1013">
        <f t="shared" si="27"/>
        <v>0</v>
      </c>
      <c r="AJ582" s="949">
        <v>0</v>
      </c>
      <c r="AK582" s="581">
        <f t="shared" si="28"/>
        <v>0</v>
      </c>
      <c r="AL582" s="750"/>
      <c r="AM582" s="743">
        <f t="shared" si="29"/>
        <v>0</v>
      </c>
    </row>
    <row r="583" spans="1:39" ht="13.2" hidden="1" customHeight="1">
      <c r="A583" s="492" t="s">
        <v>1025</v>
      </c>
      <c r="B583" s="608" t="s">
        <v>1356</v>
      </c>
      <c r="C583" s="614"/>
      <c r="D583" s="580"/>
      <c r="E583" s="581"/>
      <c r="F583" s="778"/>
      <c r="G583" s="581"/>
      <c r="H583" s="581"/>
      <c r="I583" s="949"/>
      <c r="J583" s="949"/>
      <c r="K583" s="825"/>
      <c r="L583" s="575"/>
      <c r="M583" s="809"/>
      <c r="N583" s="575"/>
      <c r="O583" s="575"/>
      <c r="P583" s="575"/>
      <c r="Q583" s="575"/>
      <c r="R583" s="575"/>
      <c r="S583" s="575"/>
      <c r="T583" s="809"/>
      <c r="U583" s="575"/>
      <c r="V583" s="575"/>
      <c r="W583" s="575"/>
      <c r="X583" s="575"/>
      <c r="Y583" s="575"/>
      <c r="Z583" s="575"/>
      <c r="AA583" s="809"/>
      <c r="AB583" s="817"/>
      <c r="AC583" s="575"/>
      <c r="AD583" s="575"/>
      <c r="AE583" s="753"/>
      <c r="AF583" s="575"/>
      <c r="AG583" s="575"/>
      <c r="AH583" s="842"/>
      <c r="AI583" s="1013">
        <f t="shared" si="27"/>
        <v>0</v>
      </c>
      <c r="AJ583" s="949">
        <v>0</v>
      </c>
      <c r="AK583" s="581">
        <f t="shared" si="28"/>
        <v>0</v>
      </c>
      <c r="AL583" s="750" t="s">
        <v>1738</v>
      </c>
      <c r="AM583" s="743">
        <f t="shared" si="29"/>
        <v>110.78</v>
      </c>
    </row>
    <row r="584" spans="1:39" ht="13.2" hidden="1" customHeight="1">
      <c r="A584" s="607" t="s">
        <v>1026</v>
      </c>
      <c r="B584" s="607" t="s">
        <v>1357</v>
      </c>
      <c r="C584" s="614" t="s">
        <v>37</v>
      </c>
      <c r="D584" s="580"/>
      <c r="E584" s="581"/>
      <c r="F584" s="778"/>
      <c r="G584" s="581"/>
      <c r="H584" s="581"/>
      <c r="I584" s="949"/>
      <c r="J584" s="949"/>
      <c r="K584" s="825"/>
      <c r="L584" s="575"/>
      <c r="M584" s="809"/>
      <c r="N584" s="575"/>
      <c r="O584" s="575"/>
      <c r="P584" s="575"/>
      <c r="Q584" s="575"/>
      <c r="R584" s="575"/>
      <c r="S584" s="575"/>
      <c r="T584" s="809"/>
      <c r="U584" s="575"/>
      <c r="V584" s="575"/>
      <c r="W584" s="575"/>
      <c r="X584" s="575"/>
      <c r="Y584" s="575"/>
      <c r="Z584" s="575"/>
      <c r="AA584" s="809"/>
      <c r="AB584" s="817"/>
      <c r="AC584" s="575"/>
      <c r="AD584" s="575"/>
      <c r="AE584" s="753"/>
      <c r="AF584" s="575"/>
      <c r="AG584" s="575"/>
      <c r="AH584" s="842"/>
      <c r="AI584" s="1013">
        <f t="shared" si="27"/>
        <v>0</v>
      </c>
      <c r="AJ584" s="949">
        <v>0</v>
      </c>
      <c r="AK584" s="581">
        <f t="shared" si="28"/>
        <v>0</v>
      </c>
      <c r="AL584" s="750" t="s">
        <v>1739</v>
      </c>
      <c r="AM584" s="743">
        <f t="shared" si="29"/>
        <v>34</v>
      </c>
    </row>
    <row r="585" spans="1:39" ht="13.2" hidden="1" customHeight="1">
      <c r="A585" s="607" t="s">
        <v>1027</v>
      </c>
      <c r="B585" s="607" t="s">
        <v>1358</v>
      </c>
      <c r="C585" s="614" t="s">
        <v>1436</v>
      </c>
      <c r="D585" s="580"/>
      <c r="E585" s="581"/>
      <c r="F585" s="778"/>
      <c r="G585" s="581"/>
      <c r="H585" s="581"/>
      <c r="I585" s="949"/>
      <c r="J585" s="949"/>
      <c r="K585" s="825"/>
      <c r="L585" s="575"/>
      <c r="M585" s="809"/>
      <c r="N585" s="575"/>
      <c r="O585" s="575"/>
      <c r="P585" s="575"/>
      <c r="Q585" s="575"/>
      <c r="R585" s="575"/>
      <c r="S585" s="575"/>
      <c r="T585" s="809"/>
      <c r="U585" s="575"/>
      <c r="V585" s="575"/>
      <c r="W585" s="575"/>
      <c r="X585" s="575"/>
      <c r="Y585" s="575"/>
      <c r="Z585" s="575"/>
      <c r="AA585" s="809"/>
      <c r="AB585" s="817"/>
      <c r="AC585" s="575"/>
      <c r="AD585" s="575"/>
      <c r="AE585" s="753"/>
      <c r="AF585" s="575"/>
      <c r="AG585" s="575"/>
      <c r="AH585" s="842"/>
      <c r="AI585" s="1013">
        <f t="shared" si="27"/>
        <v>0</v>
      </c>
      <c r="AJ585" s="949">
        <v>0</v>
      </c>
      <c r="AK585" s="581">
        <f t="shared" si="28"/>
        <v>0</v>
      </c>
      <c r="AL585" s="750" t="s">
        <v>1740</v>
      </c>
      <c r="AM585" s="743">
        <f t="shared" si="29"/>
        <v>35.200000000000003</v>
      </c>
    </row>
    <row r="586" spans="1:39" ht="13.2" hidden="1" customHeight="1">
      <c r="A586" s="607" t="s">
        <v>1028</v>
      </c>
      <c r="B586" s="607" t="s">
        <v>1359</v>
      </c>
      <c r="C586" s="614" t="s">
        <v>36</v>
      </c>
      <c r="D586" s="580"/>
      <c r="E586" s="581"/>
      <c r="F586" s="778"/>
      <c r="G586" s="581"/>
      <c r="H586" s="581"/>
      <c r="I586" s="949"/>
      <c r="J586" s="949"/>
      <c r="K586" s="825"/>
      <c r="L586" s="575"/>
      <c r="M586" s="809"/>
      <c r="N586" s="575"/>
      <c r="O586" s="575"/>
      <c r="P586" s="575"/>
      <c r="Q586" s="575"/>
      <c r="R586" s="575"/>
      <c r="S586" s="575"/>
      <c r="T586" s="809"/>
      <c r="U586" s="575"/>
      <c r="V586" s="575"/>
      <c r="W586" s="575"/>
      <c r="X586" s="575"/>
      <c r="Y586" s="575"/>
      <c r="Z586" s="575"/>
      <c r="AA586" s="809"/>
      <c r="AB586" s="817"/>
      <c r="AC586" s="575"/>
      <c r="AD586" s="575"/>
      <c r="AE586" s="753"/>
      <c r="AF586" s="575"/>
      <c r="AG586" s="575"/>
      <c r="AH586" s="842"/>
      <c r="AI586" s="1013">
        <f t="shared" si="27"/>
        <v>0</v>
      </c>
      <c r="AJ586" s="949">
        <v>0</v>
      </c>
      <c r="AK586" s="581">
        <f t="shared" si="28"/>
        <v>0</v>
      </c>
      <c r="AL586" s="750" t="s">
        <v>1741</v>
      </c>
      <c r="AM586" s="743">
        <f t="shared" si="29"/>
        <v>1.32</v>
      </c>
    </row>
    <row r="587" spans="1:39" ht="13.2" hidden="1" customHeight="1">
      <c r="A587" s="607" t="s">
        <v>1029</v>
      </c>
      <c r="B587" s="607" t="s">
        <v>1360</v>
      </c>
      <c r="C587" s="614" t="s">
        <v>39</v>
      </c>
      <c r="D587" s="580"/>
      <c r="E587" s="581"/>
      <c r="F587" s="778"/>
      <c r="G587" s="581"/>
      <c r="H587" s="581"/>
      <c r="I587" s="949"/>
      <c r="J587" s="949"/>
      <c r="K587" s="825"/>
      <c r="L587" s="575"/>
      <c r="M587" s="809"/>
      <c r="N587" s="575"/>
      <c r="O587" s="575"/>
      <c r="P587" s="575"/>
      <c r="Q587" s="575"/>
      <c r="R587" s="575"/>
      <c r="S587" s="575"/>
      <c r="T587" s="809"/>
      <c r="U587" s="575"/>
      <c r="V587" s="575"/>
      <c r="W587" s="575"/>
      <c r="X587" s="575"/>
      <c r="Y587" s="575"/>
      <c r="Z587" s="575"/>
      <c r="AA587" s="809"/>
      <c r="AB587" s="817"/>
      <c r="AC587" s="575"/>
      <c r="AD587" s="575"/>
      <c r="AE587" s="753"/>
      <c r="AF587" s="575"/>
      <c r="AG587" s="575"/>
      <c r="AH587" s="842"/>
      <c r="AI587" s="1013">
        <f t="shared" si="27"/>
        <v>0</v>
      </c>
      <c r="AJ587" s="949">
        <v>0</v>
      </c>
      <c r="AK587" s="581">
        <f t="shared" si="28"/>
        <v>0</v>
      </c>
      <c r="AL587" s="750" t="s">
        <v>1742</v>
      </c>
      <c r="AM587" s="743">
        <f t="shared" si="29"/>
        <v>114.4</v>
      </c>
    </row>
    <row r="588" spans="1:39" ht="13.2" hidden="1" customHeight="1">
      <c r="A588" s="607" t="s">
        <v>1030</v>
      </c>
      <c r="B588" s="607" t="s">
        <v>1361</v>
      </c>
      <c r="C588" s="614" t="s">
        <v>47</v>
      </c>
      <c r="D588" s="580"/>
      <c r="E588" s="581"/>
      <c r="F588" s="778"/>
      <c r="G588" s="581"/>
      <c r="H588" s="581"/>
      <c r="I588" s="949"/>
      <c r="J588" s="949"/>
      <c r="K588" s="825"/>
      <c r="L588" s="575"/>
      <c r="M588" s="809"/>
      <c r="N588" s="575"/>
      <c r="O588" s="575"/>
      <c r="P588" s="575"/>
      <c r="Q588" s="575"/>
      <c r="R588" s="575"/>
      <c r="S588" s="575"/>
      <c r="T588" s="809"/>
      <c r="U588" s="575"/>
      <c r="V588" s="575"/>
      <c r="W588" s="575"/>
      <c r="X588" s="575"/>
      <c r="Y588" s="575"/>
      <c r="Z588" s="575"/>
      <c r="AA588" s="809"/>
      <c r="AB588" s="817"/>
      <c r="AC588" s="575"/>
      <c r="AD588" s="575"/>
      <c r="AE588" s="753"/>
      <c r="AF588" s="575"/>
      <c r="AG588" s="575"/>
      <c r="AH588" s="842"/>
      <c r="AI588" s="1013">
        <f t="shared" ref="AI588:AI651" si="30">ROUND((SUM(D588:AH588)),2)</f>
        <v>0</v>
      </c>
      <c r="AJ588" s="949">
        <v>0</v>
      </c>
      <c r="AK588" s="581">
        <f t="shared" si="28"/>
        <v>0</v>
      </c>
      <c r="AL588" s="750" t="s">
        <v>1743</v>
      </c>
      <c r="AM588" s="743">
        <f t="shared" si="29"/>
        <v>89.98</v>
      </c>
    </row>
    <row r="589" spans="1:39" ht="13.2" hidden="1" customHeight="1">
      <c r="A589" s="607" t="s">
        <v>1031</v>
      </c>
      <c r="B589" s="607" t="s">
        <v>1362</v>
      </c>
      <c r="C589" s="614" t="s">
        <v>37</v>
      </c>
      <c r="D589" s="580"/>
      <c r="E589" s="581"/>
      <c r="F589" s="778"/>
      <c r="G589" s="581"/>
      <c r="H589" s="581"/>
      <c r="I589" s="949"/>
      <c r="J589" s="949"/>
      <c r="K589" s="825"/>
      <c r="L589" s="575"/>
      <c r="M589" s="809"/>
      <c r="N589" s="575"/>
      <c r="O589" s="575"/>
      <c r="P589" s="575"/>
      <c r="Q589" s="575"/>
      <c r="R589" s="575"/>
      <c r="S589" s="575"/>
      <c r="T589" s="809"/>
      <c r="U589" s="575"/>
      <c r="V589" s="575"/>
      <c r="W589" s="575"/>
      <c r="X589" s="575"/>
      <c r="Y589" s="575"/>
      <c r="Z589" s="575"/>
      <c r="AA589" s="809"/>
      <c r="AB589" s="817"/>
      <c r="AC589" s="575"/>
      <c r="AD589" s="575"/>
      <c r="AE589" s="753"/>
      <c r="AF589" s="575"/>
      <c r="AG589" s="575"/>
      <c r="AH589" s="842"/>
      <c r="AI589" s="1013">
        <f t="shared" si="30"/>
        <v>0</v>
      </c>
      <c r="AJ589" s="949">
        <v>0</v>
      </c>
      <c r="AK589" s="581">
        <f t="shared" si="28"/>
        <v>0</v>
      </c>
      <c r="AL589" s="750" t="s">
        <v>1744</v>
      </c>
      <c r="AM589" s="743">
        <f t="shared" si="29"/>
        <v>33.78</v>
      </c>
    </row>
    <row r="590" spans="1:39" ht="13.2" hidden="1" customHeight="1">
      <c r="A590" s="607" t="s">
        <v>1032</v>
      </c>
      <c r="B590" s="607" t="s">
        <v>1363</v>
      </c>
      <c r="C590" s="614" t="s">
        <v>37</v>
      </c>
      <c r="D590" s="580"/>
      <c r="E590" s="581"/>
      <c r="F590" s="778"/>
      <c r="G590" s="581"/>
      <c r="H590" s="581"/>
      <c r="I590" s="949"/>
      <c r="J590" s="949"/>
      <c r="K590" s="825"/>
      <c r="L590" s="575"/>
      <c r="M590" s="809"/>
      <c r="N590" s="575"/>
      <c r="O590" s="575"/>
      <c r="P590" s="575"/>
      <c r="Q590" s="575"/>
      <c r="R590" s="575"/>
      <c r="S590" s="575"/>
      <c r="T590" s="809"/>
      <c r="U590" s="575"/>
      <c r="V590" s="575"/>
      <c r="W590" s="575"/>
      <c r="X590" s="575"/>
      <c r="Y590" s="575"/>
      <c r="Z590" s="575"/>
      <c r="AA590" s="809"/>
      <c r="AB590" s="817"/>
      <c r="AC590" s="575"/>
      <c r="AD590" s="575"/>
      <c r="AE590" s="753"/>
      <c r="AF590" s="575"/>
      <c r="AG590" s="575"/>
      <c r="AH590" s="842"/>
      <c r="AI590" s="1013">
        <f t="shared" si="30"/>
        <v>0</v>
      </c>
      <c r="AJ590" s="949">
        <v>0</v>
      </c>
      <c r="AK590" s="581">
        <f t="shared" si="28"/>
        <v>0</v>
      </c>
      <c r="AL590" s="750" t="s">
        <v>1745</v>
      </c>
      <c r="AM590" s="743">
        <f t="shared" si="29"/>
        <v>18</v>
      </c>
    </row>
    <row r="591" spans="1:39" ht="13.2" hidden="1" customHeight="1">
      <c r="A591" s="607" t="s">
        <v>1033</v>
      </c>
      <c r="B591" s="607" t="s">
        <v>1339</v>
      </c>
      <c r="C591" s="614" t="s">
        <v>39</v>
      </c>
      <c r="D591" s="580"/>
      <c r="E591" s="581"/>
      <c r="F591" s="778"/>
      <c r="G591" s="581"/>
      <c r="H591" s="581"/>
      <c r="I591" s="949"/>
      <c r="J591" s="949"/>
      <c r="K591" s="825"/>
      <c r="L591" s="575"/>
      <c r="M591" s="809"/>
      <c r="N591" s="575"/>
      <c r="O591" s="575"/>
      <c r="P591" s="575"/>
      <c r="Q591" s="575"/>
      <c r="R591" s="575"/>
      <c r="S591" s="575"/>
      <c r="T591" s="809"/>
      <c r="U591" s="575"/>
      <c r="V591" s="575"/>
      <c r="W591" s="575"/>
      <c r="X591" s="575"/>
      <c r="Y591" s="575"/>
      <c r="Z591" s="575"/>
      <c r="AA591" s="809"/>
      <c r="AB591" s="817"/>
      <c r="AC591" s="575"/>
      <c r="AD591" s="575"/>
      <c r="AE591" s="753"/>
      <c r="AF591" s="575"/>
      <c r="AG591" s="575"/>
      <c r="AH591" s="842"/>
      <c r="AI591" s="1013">
        <f t="shared" si="30"/>
        <v>0</v>
      </c>
      <c r="AJ591" s="949">
        <v>0</v>
      </c>
      <c r="AK591" s="581">
        <f t="shared" si="28"/>
        <v>0</v>
      </c>
      <c r="AL591" s="750" t="s">
        <v>1746</v>
      </c>
      <c r="AM591" s="743">
        <f t="shared" si="29"/>
        <v>56.2</v>
      </c>
    </row>
    <row r="592" spans="1:39" ht="13.2" hidden="1" customHeight="1">
      <c r="A592" s="607" t="s">
        <v>1034</v>
      </c>
      <c r="B592" s="607" t="s">
        <v>1364</v>
      </c>
      <c r="C592" s="614" t="s">
        <v>37</v>
      </c>
      <c r="D592" s="580"/>
      <c r="E592" s="581"/>
      <c r="F592" s="778"/>
      <c r="G592" s="581"/>
      <c r="H592" s="581"/>
      <c r="I592" s="949"/>
      <c r="J592" s="949"/>
      <c r="K592" s="825"/>
      <c r="L592" s="575"/>
      <c r="M592" s="809"/>
      <c r="N592" s="575"/>
      <c r="O592" s="575"/>
      <c r="P592" s="575"/>
      <c r="Q592" s="575"/>
      <c r="R592" s="575"/>
      <c r="S592" s="575"/>
      <c r="T592" s="809"/>
      <c r="U592" s="575"/>
      <c r="V592" s="575"/>
      <c r="W592" s="575"/>
      <c r="X592" s="575"/>
      <c r="Y592" s="575"/>
      <c r="Z592" s="575"/>
      <c r="AA592" s="809"/>
      <c r="AB592" s="817"/>
      <c r="AC592" s="575"/>
      <c r="AD592" s="575"/>
      <c r="AE592" s="753"/>
      <c r="AF592" s="575"/>
      <c r="AG592" s="575"/>
      <c r="AH592" s="842"/>
      <c r="AI592" s="1013">
        <f t="shared" si="30"/>
        <v>0</v>
      </c>
      <c r="AJ592" s="949">
        <v>0</v>
      </c>
      <c r="AK592" s="581">
        <f t="shared" si="28"/>
        <v>0</v>
      </c>
      <c r="AL592" s="750" t="s">
        <v>1746</v>
      </c>
      <c r="AM592" s="743">
        <f t="shared" si="29"/>
        <v>56.2</v>
      </c>
    </row>
    <row r="593" spans="1:39" ht="13.2" hidden="1" customHeight="1">
      <c r="A593" s="607" t="s">
        <v>1035</v>
      </c>
      <c r="B593" s="607" t="s">
        <v>1365</v>
      </c>
      <c r="C593" s="614" t="s">
        <v>37</v>
      </c>
      <c r="D593" s="580"/>
      <c r="E593" s="581"/>
      <c r="F593" s="778"/>
      <c r="G593" s="581"/>
      <c r="H593" s="581"/>
      <c r="I593" s="949"/>
      <c r="J593" s="949"/>
      <c r="K593" s="825"/>
      <c r="L593" s="575"/>
      <c r="M593" s="809"/>
      <c r="N593" s="575"/>
      <c r="O593" s="575"/>
      <c r="P593" s="575"/>
      <c r="Q593" s="575"/>
      <c r="R593" s="575"/>
      <c r="S593" s="575"/>
      <c r="T593" s="809"/>
      <c r="U593" s="575"/>
      <c r="V593" s="575"/>
      <c r="W593" s="575"/>
      <c r="X593" s="575"/>
      <c r="Y593" s="575"/>
      <c r="Z593" s="575"/>
      <c r="AA593" s="809"/>
      <c r="AB593" s="817"/>
      <c r="AC593" s="575"/>
      <c r="AD593" s="575"/>
      <c r="AE593" s="753"/>
      <c r="AF593" s="575"/>
      <c r="AG593" s="575"/>
      <c r="AH593" s="842"/>
      <c r="AI593" s="1013">
        <f t="shared" si="30"/>
        <v>0</v>
      </c>
      <c r="AJ593" s="949">
        <v>0</v>
      </c>
      <c r="AK593" s="581">
        <f t="shared" si="28"/>
        <v>0</v>
      </c>
      <c r="AL593" s="750" t="s">
        <v>1747</v>
      </c>
      <c r="AM593" s="743">
        <f t="shared" si="29"/>
        <v>59.01</v>
      </c>
    </row>
    <row r="594" spans="1:39" s="559" customFormat="1" ht="13.2" hidden="1" customHeight="1">
      <c r="A594" s="607" t="s">
        <v>1036</v>
      </c>
      <c r="B594" s="607" t="s">
        <v>1366</v>
      </c>
      <c r="C594" s="614" t="s">
        <v>36</v>
      </c>
      <c r="D594" s="580"/>
      <c r="E594" s="581"/>
      <c r="F594" s="778"/>
      <c r="G594" s="581"/>
      <c r="H594" s="581"/>
      <c r="I594" s="949"/>
      <c r="J594" s="949"/>
      <c r="K594" s="825"/>
      <c r="L594" s="575"/>
      <c r="M594" s="809"/>
      <c r="N594" s="575"/>
      <c r="O594" s="575"/>
      <c r="P594" s="575"/>
      <c r="Q594" s="575"/>
      <c r="R594" s="575"/>
      <c r="S594" s="575"/>
      <c r="T594" s="809"/>
      <c r="U594" s="575"/>
      <c r="V594" s="575"/>
      <c r="W594" s="575"/>
      <c r="X594" s="575"/>
      <c r="Y594" s="575"/>
      <c r="Z594" s="575"/>
      <c r="AA594" s="809"/>
      <c r="AB594" s="817"/>
      <c r="AC594" s="575"/>
      <c r="AD594" s="575"/>
      <c r="AE594" s="753"/>
      <c r="AF594" s="575"/>
      <c r="AG594" s="575"/>
      <c r="AH594" s="842"/>
      <c r="AI594" s="1013">
        <f t="shared" si="30"/>
        <v>0</v>
      </c>
      <c r="AJ594" s="949">
        <v>0</v>
      </c>
      <c r="AK594" s="581">
        <f t="shared" si="28"/>
        <v>0</v>
      </c>
      <c r="AL594" s="750" t="s">
        <v>1748</v>
      </c>
      <c r="AM594" s="743">
        <f t="shared" si="29"/>
        <v>36.119999999999997</v>
      </c>
    </row>
    <row r="595" spans="1:39" ht="13.2" hidden="1" customHeight="1">
      <c r="A595" s="607" t="s">
        <v>1037</v>
      </c>
      <c r="B595" s="607" t="s">
        <v>1367</v>
      </c>
      <c r="C595" s="614" t="s">
        <v>37</v>
      </c>
      <c r="D595" s="580"/>
      <c r="E595" s="581"/>
      <c r="F595" s="778"/>
      <c r="G595" s="581"/>
      <c r="H595" s="581"/>
      <c r="I595" s="949"/>
      <c r="J595" s="949"/>
      <c r="K595" s="825"/>
      <c r="L595" s="575"/>
      <c r="M595" s="809"/>
      <c r="N595" s="575"/>
      <c r="O595" s="575"/>
      <c r="P595" s="575"/>
      <c r="Q595" s="575"/>
      <c r="R595" s="575"/>
      <c r="S595" s="575"/>
      <c r="T595" s="809"/>
      <c r="U595" s="575"/>
      <c r="V595" s="575"/>
      <c r="W595" s="575"/>
      <c r="X595" s="575"/>
      <c r="Y595" s="575"/>
      <c r="Z595" s="575"/>
      <c r="AA595" s="809"/>
      <c r="AB595" s="817"/>
      <c r="AC595" s="575"/>
      <c r="AD595" s="575"/>
      <c r="AE595" s="753"/>
      <c r="AF595" s="575"/>
      <c r="AG595" s="575"/>
      <c r="AH595" s="842"/>
      <c r="AI595" s="1013">
        <f t="shared" si="30"/>
        <v>0</v>
      </c>
      <c r="AJ595" s="949">
        <v>0</v>
      </c>
      <c r="AK595" s="581">
        <f t="shared" si="28"/>
        <v>0</v>
      </c>
      <c r="AL595" s="750" t="s">
        <v>1656</v>
      </c>
      <c r="AM595" s="743">
        <f t="shared" si="29"/>
        <v>20</v>
      </c>
    </row>
    <row r="596" spans="1:39" ht="13.95" hidden="1" customHeight="1">
      <c r="A596" s="607" t="s">
        <v>1038</v>
      </c>
      <c r="B596" s="607" t="s">
        <v>1368</v>
      </c>
      <c r="C596" s="614" t="s">
        <v>37</v>
      </c>
      <c r="D596" s="580"/>
      <c r="E596" s="581"/>
      <c r="F596" s="778"/>
      <c r="G596" s="581"/>
      <c r="H596" s="581"/>
      <c r="I596" s="949"/>
      <c r="J596" s="949"/>
      <c r="K596" s="825"/>
      <c r="L596" s="575"/>
      <c r="M596" s="809"/>
      <c r="N596" s="575"/>
      <c r="O596" s="575"/>
      <c r="P596" s="575"/>
      <c r="Q596" s="575"/>
      <c r="R596" s="575"/>
      <c r="S596" s="575"/>
      <c r="T596" s="809"/>
      <c r="U596" s="575"/>
      <c r="V596" s="575"/>
      <c r="W596" s="575"/>
      <c r="X596" s="575"/>
      <c r="Y596" s="575"/>
      <c r="Z596" s="575"/>
      <c r="AA596" s="809"/>
      <c r="AB596" s="817"/>
      <c r="AC596" s="575"/>
      <c r="AD596" s="575"/>
      <c r="AE596" s="753"/>
      <c r="AF596" s="575"/>
      <c r="AG596" s="575"/>
      <c r="AH596" s="842"/>
      <c r="AI596" s="1013">
        <f t="shared" si="30"/>
        <v>0</v>
      </c>
      <c r="AJ596" s="949">
        <v>0</v>
      </c>
      <c r="AK596" s="581">
        <f t="shared" ref="AK596:AK659" si="31">AI596+AJ596</f>
        <v>0</v>
      </c>
      <c r="AL596" s="750"/>
      <c r="AM596" s="743">
        <f t="shared" ref="AM596:AM659" si="32">AL596-AK596</f>
        <v>0</v>
      </c>
    </row>
    <row r="597" spans="1:39" s="1045" customFormat="1" ht="13.2" hidden="1" customHeight="1">
      <c r="A597" s="1016" t="s">
        <v>497</v>
      </c>
      <c r="B597" s="1016" t="s">
        <v>1369</v>
      </c>
      <c r="C597" s="1018"/>
      <c r="D597" s="580"/>
      <c r="E597" s="581"/>
      <c r="F597" s="778"/>
      <c r="G597" s="581"/>
      <c r="H597" s="581"/>
      <c r="I597" s="949"/>
      <c r="J597" s="949"/>
      <c r="K597" s="825"/>
      <c r="L597" s="575"/>
      <c r="M597" s="809"/>
      <c r="N597" s="575"/>
      <c r="O597" s="575"/>
      <c r="P597" s="575"/>
      <c r="Q597" s="575"/>
      <c r="R597" s="575"/>
      <c r="S597" s="575"/>
      <c r="T597" s="809"/>
      <c r="U597" s="575"/>
      <c r="V597" s="575"/>
      <c r="W597" s="575"/>
      <c r="X597" s="575"/>
      <c r="Y597" s="575"/>
      <c r="Z597" s="575"/>
      <c r="AA597" s="809"/>
      <c r="AB597" s="817"/>
      <c r="AC597" s="575"/>
      <c r="AD597" s="575"/>
      <c r="AE597" s="753"/>
      <c r="AF597" s="575"/>
      <c r="AG597" s="575"/>
      <c r="AH597" s="842"/>
      <c r="AI597" s="1013">
        <f t="shared" si="30"/>
        <v>0</v>
      </c>
      <c r="AJ597" s="949">
        <v>0</v>
      </c>
      <c r="AK597" s="581">
        <f t="shared" si="31"/>
        <v>0</v>
      </c>
      <c r="AL597" s="902"/>
      <c r="AM597" s="896">
        <f t="shared" si="32"/>
        <v>0</v>
      </c>
    </row>
    <row r="598" spans="1:39" ht="13.2" hidden="1" customHeight="1">
      <c r="A598" s="492" t="s">
        <v>498</v>
      </c>
      <c r="B598" s="608" t="s">
        <v>1370</v>
      </c>
      <c r="C598" s="690"/>
      <c r="D598" s="580"/>
      <c r="E598" s="581"/>
      <c r="F598" s="778"/>
      <c r="G598" s="581"/>
      <c r="H598" s="581"/>
      <c r="I598" s="949"/>
      <c r="J598" s="949"/>
      <c r="K598" s="825"/>
      <c r="L598" s="575"/>
      <c r="M598" s="809"/>
      <c r="N598" s="575"/>
      <c r="O598" s="575"/>
      <c r="P598" s="575"/>
      <c r="Q598" s="575"/>
      <c r="R598" s="575"/>
      <c r="S598" s="575"/>
      <c r="T598" s="809"/>
      <c r="U598" s="575"/>
      <c r="V598" s="575"/>
      <c r="W598" s="575"/>
      <c r="X598" s="575"/>
      <c r="Y598" s="575"/>
      <c r="Z598" s="575"/>
      <c r="AA598" s="809"/>
      <c r="AB598" s="817"/>
      <c r="AC598" s="575"/>
      <c r="AD598" s="575"/>
      <c r="AE598" s="753"/>
      <c r="AF598" s="575"/>
      <c r="AG598" s="575"/>
      <c r="AH598" s="842"/>
      <c r="AI598" s="1013">
        <f t="shared" si="30"/>
        <v>0</v>
      </c>
      <c r="AJ598" s="949">
        <v>0</v>
      </c>
      <c r="AK598" s="581">
        <f t="shared" si="31"/>
        <v>0</v>
      </c>
      <c r="AL598" s="750"/>
      <c r="AM598" s="743">
        <f t="shared" si="32"/>
        <v>0</v>
      </c>
    </row>
    <row r="599" spans="1:39" ht="13.2" hidden="1" customHeight="1">
      <c r="A599" s="607" t="s">
        <v>1039</v>
      </c>
      <c r="B599" s="607" t="s">
        <v>1371</v>
      </c>
      <c r="C599" s="690"/>
      <c r="D599" s="580"/>
      <c r="E599" s="581"/>
      <c r="F599" s="778"/>
      <c r="G599" s="581"/>
      <c r="H599" s="581"/>
      <c r="I599" s="949"/>
      <c r="J599" s="949"/>
      <c r="K599" s="825"/>
      <c r="L599" s="575"/>
      <c r="M599" s="809"/>
      <c r="N599" s="575"/>
      <c r="O599" s="575"/>
      <c r="P599" s="575"/>
      <c r="Q599" s="575"/>
      <c r="R599" s="575"/>
      <c r="S599" s="575"/>
      <c r="T599" s="809"/>
      <c r="U599" s="575"/>
      <c r="V599" s="575"/>
      <c r="W599" s="575"/>
      <c r="X599" s="575"/>
      <c r="Y599" s="575"/>
      <c r="Z599" s="575"/>
      <c r="AA599" s="809"/>
      <c r="AB599" s="817"/>
      <c r="AC599" s="575"/>
      <c r="AD599" s="575"/>
      <c r="AE599" s="753"/>
      <c r="AF599" s="575"/>
      <c r="AG599" s="575"/>
      <c r="AH599" s="842"/>
      <c r="AI599" s="1013">
        <f t="shared" si="30"/>
        <v>0</v>
      </c>
      <c r="AJ599" s="949">
        <v>0</v>
      </c>
      <c r="AK599" s="581">
        <f t="shared" si="31"/>
        <v>0</v>
      </c>
      <c r="AL599" s="750" t="s">
        <v>1441</v>
      </c>
      <c r="AM599" s="743">
        <f t="shared" si="32"/>
        <v>1</v>
      </c>
    </row>
    <row r="600" spans="1:39" ht="13.2" hidden="1" customHeight="1">
      <c r="A600" s="604" t="s">
        <v>1040</v>
      </c>
      <c r="B600" s="604" t="s">
        <v>1372</v>
      </c>
      <c r="C600" s="614" t="s">
        <v>1439</v>
      </c>
      <c r="D600" s="580"/>
      <c r="E600" s="581"/>
      <c r="F600" s="778"/>
      <c r="G600" s="581"/>
      <c r="H600" s="581"/>
      <c r="I600" s="949"/>
      <c r="J600" s="949"/>
      <c r="K600" s="825"/>
      <c r="L600" s="575"/>
      <c r="M600" s="809"/>
      <c r="N600" s="575"/>
      <c r="O600" s="575"/>
      <c r="P600" s="575"/>
      <c r="Q600" s="575"/>
      <c r="R600" s="575"/>
      <c r="S600" s="575"/>
      <c r="T600" s="809"/>
      <c r="U600" s="575"/>
      <c r="V600" s="575"/>
      <c r="W600" s="575"/>
      <c r="X600" s="575"/>
      <c r="Y600" s="575"/>
      <c r="Z600" s="575"/>
      <c r="AA600" s="809"/>
      <c r="AB600" s="817"/>
      <c r="AC600" s="575"/>
      <c r="AD600" s="575"/>
      <c r="AE600" s="753"/>
      <c r="AF600" s="575"/>
      <c r="AG600" s="575"/>
      <c r="AH600" s="842"/>
      <c r="AI600" s="1013">
        <f t="shared" si="30"/>
        <v>0</v>
      </c>
      <c r="AJ600" s="949">
        <v>0</v>
      </c>
      <c r="AK600" s="581">
        <f t="shared" si="31"/>
        <v>0</v>
      </c>
      <c r="AL600" s="750" t="s">
        <v>1441</v>
      </c>
      <c r="AM600" s="743">
        <f t="shared" si="32"/>
        <v>1</v>
      </c>
    </row>
    <row r="601" spans="1:39" ht="13.2" hidden="1" customHeight="1">
      <c r="A601" s="604" t="s">
        <v>1041</v>
      </c>
      <c r="B601" s="604" t="s">
        <v>1373</v>
      </c>
      <c r="C601" s="614" t="s">
        <v>1439</v>
      </c>
      <c r="D601" s="580"/>
      <c r="E601" s="581"/>
      <c r="F601" s="778"/>
      <c r="G601" s="581"/>
      <c r="H601" s="581"/>
      <c r="I601" s="949"/>
      <c r="J601" s="949"/>
      <c r="K601" s="825"/>
      <c r="L601" s="575"/>
      <c r="M601" s="809"/>
      <c r="N601" s="575"/>
      <c r="O601" s="575"/>
      <c r="P601" s="575"/>
      <c r="Q601" s="575"/>
      <c r="R601" s="575"/>
      <c r="S601" s="575"/>
      <c r="T601" s="809"/>
      <c r="U601" s="575"/>
      <c r="V601" s="575"/>
      <c r="W601" s="575"/>
      <c r="X601" s="575"/>
      <c r="Y601" s="575"/>
      <c r="Z601" s="575"/>
      <c r="AA601" s="809"/>
      <c r="AB601" s="817"/>
      <c r="AC601" s="575"/>
      <c r="AD601" s="575"/>
      <c r="AE601" s="753"/>
      <c r="AF601" s="575"/>
      <c r="AG601" s="575"/>
      <c r="AH601" s="842"/>
      <c r="AI601" s="1013">
        <f t="shared" si="30"/>
        <v>0</v>
      </c>
      <c r="AJ601" s="949">
        <v>0</v>
      </c>
      <c r="AK601" s="581">
        <f t="shared" si="31"/>
        <v>0</v>
      </c>
      <c r="AL601" s="750" t="s">
        <v>1441</v>
      </c>
      <c r="AM601" s="743">
        <f t="shared" si="32"/>
        <v>1</v>
      </c>
    </row>
    <row r="602" spans="1:39" ht="13.2" hidden="1" customHeight="1">
      <c r="A602" s="604" t="s">
        <v>1042</v>
      </c>
      <c r="B602" s="604" t="s">
        <v>1374</v>
      </c>
      <c r="C602" s="614" t="s">
        <v>1439</v>
      </c>
      <c r="D602" s="580"/>
      <c r="E602" s="581"/>
      <c r="F602" s="778"/>
      <c r="G602" s="581"/>
      <c r="H602" s="581"/>
      <c r="I602" s="949"/>
      <c r="J602" s="949"/>
      <c r="K602" s="825"/>
      <c r="L602" s="575"/>
      <c r="M602" s="809"/>
      <c r="N602" s="575"/>
      <c r="O602" s="575"/>
      <c r="P602" s="575"/>
      <c r="Q602" s="575"/>
      <c r="R602" s="575"/>
      <c r="S602" s="575"/>
      <c r="T602" s="809"/>
      <c r="U602" s="575"/>
      <c r="V602" s="575"/>
      <c r="W602" s="575"/>
      <c r="X602" s="575"/>
      <c r="Y602" s="575"/>
      <c r="Z602" s="575"/>
      <c r="AA602" s="809"/>
      <c r="AB602" s="817"/>
      <c r="AC602" s="575"/>
      <c r="AD602" s="575"/>
      <c r="AE602" s="753"/>
      <c r="AF602" s="575"/>
      <c r="AG602" s="575"/>
      <c r="AH602" s="842"/>
      <c r="AI602" s="1013">
        <f t="shared" si="30"/>
        <v>0</v>
      </c>
      <c r="AJ602" s="949">
        <v>0</v>
      </c>
      <c r="AK602" s="581">
        <f t="shared" si="31"/>
        <v>0</v>
      </c>
      <c r="AL602" s="750" t="s">
        <v>1441</v>
      </c>
      <c r="AM602" s="743">
        <f t="shared" si="32"/>
        <v>1</v>
      </c>
    </row>
    <row r="603" spans="1:39" ht="13.2" hidden="1" customHeight="1">
      <c r="A603" s="604" t="s">
        <v>1043</v>
      </c>
      <c r="B603" s="604" t="s">
        <v>1375</v>
      </c>
      <c r="C603" s="614" t="s">
        <v>1439</v>
      </c>
      <c r="D603" s="580"/>
      <c r="E603" s="581"/>
      <c r="F603" s="778"/>
      <c r="G603" s="581"/>
      <c r="H603" s="581"/>
      <c r="I603" s="949"/>
      <c r="J603" s="949"/>
      <c r="K603" s="825"/>
      <c r="L603" s="575"/>
      <c r="M603" s="809"/>
      <c r="N603" s="575"/>
      <c r="O603" s="575"/>
      <c r="P603" s="575"/>
      <c r="Q603" s="575"/>
      <c r="R603" s="575"/>
      <c r="S603" s="575"/>
      <c r="T603" s="809"/>
      <c r="U603" s="575"/>
      <c r="V603" s="575"/>
      <c r="W603" s="575"/>
      <c r="X603" s="575"/>
      <c r="Y603" s="575"/>
      <c r="Z603" s="575"/>
      <c r="AA603" s="809"/>
      <c r="AB603" s="817"/>
      <c r="AC603" s="575"/>
      <c r="AD603" s="575"/>
      <c r="AE603" s="753"/>
      <c r="AF603" s="575"/>
      <c r="AG603" s="575"/>
      <c r="AH603" s="842"/>
      <c r="AI603" s="1013">
        <f t="shared" si="30"/>
        <v>0</v>
      </c>
      <c r="AJ603" s="949">
        <v>0</v>
      </c>
      <c r="AK603" s="581">
        <f t="shared" si="31"/>
        <v>0</v>
      </c>
      <c r="AL603" s="750"/>
      <c r="AM603" s="743">
        <f t="shared" si="32"/>
        <v>0</v>
      </c>
    </row>
    <row r="604" spans="1:39" ht="13.2" hidden="1" customHeight="1">
      <c r="A604" s="607" t="s">
        <v>1044</v>
      </c>
      <c r="B604" s="607" t="s">
        <v>1376</v>
      </c>
      <c r="C604" s="690"/>
      <c r="D604" s="580"/>
      <c r="E604" s="581"/>
      <c r="F604" s="778"/>
      <c r="G604" s="581"/>
      <c r="H604" s="581"/>
      <c r="I604" s="949"/>
      <c r="J604" s="949"/>
      <c r="K604" s="825"/>
      <c r="L604" s="575"/>
      <c r="M604" s="809"/>
      <c r="N604" s="575"/>
      <c r="O604" s="575"/>
      <c r="P604" s="575"/>
      <c r="Q604" s="575"/>
      <c r="R604" s="575"/>
      <c r="S604" s="575"/>
      <c r="T604" s="809"/>
      <c r="U604" s="575"/>
      <c r="V604" s="575"/>
      <c r="W604" s="575"/>
      <c r="X604" s="575"/>
      <c r="Y604" s="575"/>
      <c r="Z604" s="575"/>
      <c r="AA604" s="809"/>
      <c r="AB604" s="817"/>
      <c r="AC604" s="575"/>
      <c r="AD604" s="575"/>
      <c r="AE604" s="753"/>
      <c r="AF604" s="575"/>
      <c r="AG604" s="575"/>
      <c r="AH604" s="842"/>
      <c r="AI604" s="1013">
        <f t="shared" si="30"/>
        <v>0</v>
      </c>
      <c r="AJ604" s="949">
        <v>0</v>
      </c>
      <c r="AK604" s="581">
        <f t="shared" si="31"/>
        <v>0</v>
      </c>
      <c r="AL604" s="750" t="s">
        <v>1749</v>
      </c>
      <c r="AM604" s="743">
        <f t="shared" si="32"/>
        <v>43</v>
      </c>
    </row>
    <row r="605" spans="1:39" ht="13.2" hidden="1" customHeight="1">
      <c r="A605" s="604" t="s">
        <v>1045</v>
      </c>
      <c r="B605" s="604" t="s">
        <v>1376</v>
      </c>
      <c r="C605" s="614" t="s">
        <v>1438</v>
      </c>
      <c r="D605" s="580"/>
      <c r="E605" s="581"/>
      <c r="F605" s="778"/>
      <c r="G605" s="581"/>
      <c r="H605" s="581"/>
      <c r="I605" s="949"/>
      <c r="J605" s="949"/>
      <c r="K605" s="825"/>
      <c r="L605" s="575"/>
      <c r="M605" s="809"/>
      <c r="N605" s="575"/>
      <c r="O605" s="575"/>
      <c r="P605" s="575"/>
      <c r="Q605" s="575"/>
      <c r="R605" s="575"/>
      <c r="S605" s="575"/>
      <c r="T605" s="809"/>
      <c r="U605" s="575"/>
      <c r="V605" s="575"/>
      <c r="W605" s="575"/>
      <c r="X605" s="575"/>
      <c r="Y605" s="575"/>
      <c r="Z605" s="575"/>
      <c r="AA605" s="809"/>
      <c r="AB605" s="817"/>
      <c r="AC605" s="583"/>
      <c r="AD605" s="575"/>
      <c r="AE605" s="753"/>
      <c r="AF605" s="575"/>
      <c r="AG605" s="575"/>
      <c r="AH605" s="842"/>
      <c r="AI605" s="1013">
        <f t="shared" si="30"/>
        <v>0</v>
      </c>
      <c r="AJ605" s="949">
        <v>0</v>
      </c>
      <c r="AK605" s="581">
        <f t="shared" si="31"/>
        <v>0</v>
      </c>
      <c r="AL605" s="750" t="s">
        <v>1750</v>
      </c>
      <c r="AM605" s="743">
        <f t="shared" si="32"/>
        <v>7</v>
      </c>
    </row>
    <row r="606" spans="1:39" ht="13.2" hidden="1" customHeight="1">
      <c r="A606" s="604" t="s">
        <v>1046</v>
      </c>
      <c r="B606" s="604" t="s">
        <v>1377</v>
      </c>
      <c r="C606" s="614" t="s">
        <v>1438</v>
      </c>
      <c r="D606" s="580"/>
      <c r="E606" s="581"/>
      <c r="F606" s="778"/>
      <c r="G606" s="581"/>
      <c r="H606" s="581"/>
      <c r="I606" s="949"/>
      <c r="J606" s="949"/>
      <c r="K606" s="825"/>
      <c r="L606" s="575"/>
      <c r="M606" s="809"/>
      <c r="N606" s="575"/>
      <c r="O606" s="575"/>
      <c r="P606" s="575"/>
      <c r="Q606" s="575"/>
      <c r="R606" s="575"/>
      <c r="S606" s="575"/>
      <c r="T606" s="809"/>
      <c r="U606" s="575"/>
      <c r="V606" s="575"/>
      <c r="W606" s="575"/>
      <c r="X606" s="575"/>
      <c r="Y606" s="575"/>
      <c r="Z606" s="575"/>
      <c r="AA606" s="809"/>
      <c r="AB606" s="817"/>
      <c r="AC606" s="575"/>
      <c r="AD606" s="575"/>
      <c r="AE606" s="753"/>
      <c r="AF606" s="575"/>
      <c r="AG606" s="575"/>
      <c r="AH606" s="842"/>
      <c r="AI606" s="1013">
        <f t="shared" si="30"/>
        <v>0</v>
      </c>
      <c r="AJ606" s="949">
        <v>0</v>
      </c>
      <c r="AK606" s="581">
        <f t="shared" si="31"/>
        <v>0</v>
      </c>
      <c r="AL606" s="750"/>
      <c r="AM606" s="743">
        <f t="shared" si="32"/>
        <v>0</v>
      </c>
    </row>
    <row r="607" spans="1:39" ht="13.2" hidden="1" customHeight="1">
      <c r="A607" s="607" t="s">
        <v>1047</v>
      </c>
      <c r="B607" s="607" t="s">
        <v>1378</v>
      </c>
      <c r="C607" s="690"/>
      <c r="D607" s="580"/>
      <c r="E607" s="581"/>
      <c r="F607" s="778"/>
      <c r="G607" s="581"/>
      <c r="H607" s="581"/>
      <c r="I607" s="949"/>
      <c r="J607" s="949"/>
      <c r="K607" s="825"/>
      <c r="L607" s="575"/>
      <c r="M607" s="809"/>
      <c r="N607" s="575"/>
      <c r="O607" s="575"/>
      <c r="P607" s="575"/>
      <c r="Q607" s="575"/>
      <c r="R607" s="575"/>
      <c r="S607" s="575"/>
      <c r="T607" s="809"/>
      <c r="U607" s="575"/>
      <c r="V607" s="575"/>
      <c r="W607" s="575"/>
      <c r="X607" s="575"/>
      <c r="Y607" s="575"/>
      <c r="Z607" s="575"/>
      <c r="AA607" s="809"/>
      <c r="AB607" s="817"/>
      <c r="AC607" s="575"/>
      <c r="AD607" s="575"/>
      <c r="AE607" s="753"/>
      <c r="AF607" s="575"/>
      <c r="AG607" s="575"/>
      <c r="AH607" s="842"/>
      <c r="AI607" s="1013">
        <f t="shared" si="30"/>
        <v>0</v>
      </c>
      <c r="AJ607" s="949">
        <v>0</v>
      </c>
      <c r="AK607" s="581">
        <f t="shared" si="31"/>
        <v>0</v>
      </c>
      <c r="AL607" s="750" t="s">
        <v>1751</v>
      </c>
      <c r="AM607" s="743">
        <f t="shared" si="32"/>
        <v>17</v>
      </c>
    </row>
    <row r="608" spans="1:39" ht="13.2" hidden="1" customHeight="1">
      <c r="A608" s="604" t="s">
        <v>1048</v>
      </c>
      <c r="B608" s="604" t="s">
        <v>1379</v>
      </c>
      <c r="C608" s="614" t="s">
        <v>35</v>
      </c>
      <c r="D608" s="580"/>
      <c r="E608" s="581"/>
      <c r="F608" s="778"/>
      <c r="G608" s="581"/>
      <c r="H608" s="581"/>
      <c r="I608" s="949"/>
      <c r="J608" s="949"/>
      <c r="K608" s="825"/>
      <c r="L608" s="575"/>
      <c r="M608" s="809"/>
      <c r="N608" s="575"/>
      <c r="O608" s="575"/>
      <c r="P608" s="575"/>
      <c r="Q608" s="575"/>
      <c r="R608" s="575"/>
      <c r="S608" s="575"/>
      <c r="T608" s="809"/>
      <c r="U608" s="575"/>
      <c r="V608" s="575"/>
      <c r="W608" s="575"/>
      <c r="X608" s="575"/>
      <c r="Y608" s="575"/>
      <c r="Z608" s="575"/>
      <c r="AA608" s="809"/>
      <c r="AB608" s="817"/>
      <c r="AC608" s="575"/>
      <c r="AD608" s="575"/>
      <c r="AE608" s="753"/>
      <c r="AF608" s="575"/>
      <c r="AG608" s="575"/>
      <c r="AH608" s="842"/>
      <c r="AI608" s="1013">
        <f t="shared" si="30"/>
        <v>0</v>
      </c>
      <c r="AJ608" s="949">
        <v>0</v>
      </c>
      <c r="AK608" s="581">
        <f t="shared" si="31"/>
        <v>0</v>
      </c>
      <c r="AL608" s="750" t="s">
        <v>1752</v>
      </c>
      <c r="AM608" s="743">
        <f t="shared" si="32"/>
        <v>23</v>
      </c>
    </row>
    <row r="609" spans="1:39" ht="13.2" hidden="1" customHeight="1">
      <c r="A609" s="604" t="s">
        <v>1049</v>
      </c>
      <c r="B609" s="604" t="s">
        <v>1380</v>
      </c>
      <c r="C609" s="614" t="s">
        <v>35</v>
      </c>
      <c r="D609" s="580"/>
      <c r="E609" s="581"/>
      <c r="F609" s="778"/>
      <c r="G609" s="581"/>
      <c r="H609" s="581"/>
      <c r="I609" s="949"/>
      <c r="J609" s="949"/>
      <c r="K609" s="825"/>
      <c r="L609" s="575"/>
      <c r="M609" s="809"/>
      <c r="N609" s="575"/>
      <c r="O609" s="575"/>
      <c r="P609" s="575"/>
      <c r="Q609" s="575"/>
      <c r="R609" s="575"/>
      <c r="S609" s="575"/>
      <c r="T609" s="809"/>
      <c r="U609" s="575"/>
      <c r="V609" s="575"/>
      <c r="W609" s="575"/>
      <c r="X609" s="575"/>
      <c r="Y609" s="575"/>
      <c r="Z609" s="575"/>
      <c r="AA609" s="809"/>
      <c r="AB609" s="817"/>
      <c r="AC609" s="575"/>
      <c r="AD609" s="575"/>
      <c r="AE609" s="753"/>
      <c r="AF609" s="575"/>
      <c r="AG609" s="575"/>
      <c r="AH609" s="842"/>
      <c r="AI609" s="1013">
        <f t="shared" si="30"/>
        <v>0</v>
      </c>
      <c r="AJ609" s="949">
        <v>0</v>
      </c>
      <c r="AK609" s="581">
        <f t="shared" si="31"/>
        <v>0</v>
      </c>
      <c r="AL609" s="750" t="s">
        <v>1684</v>
      </c>
      <c r="AM609" s="743">
        <f t="shared" si="32"/>
        <v>2</v>
      </c>
    </row>
    <row r="610" spans="1:39" ht="13.2" hidden="1" customHeight="1">
      <c r="A610" s="604" t="s">
        <v>1050</v>
      </c>
      <c r="B610" s="604" t="s">
        <v>1381</v>
      </c>
      <c r="C610" s="614" t="s">
        <v>35</v>
      </c>
      <c r="D610" s="580"/>
      <c r="E610" s="581"/>
      <c r="F610" s="778"/>
      <c r="G610" s="581"/>
      <c r="H610" s="581"/>
      <c r="I610" s="949"/>
      <c r="J610" s="949"/>
      <c r="K610" s="825"/>
      <c r="L610" s="575"/>
      <c r="M610" s="809"/>
      <c r="N610" s="575"/>
      <c r="O610" s="575"/>
      <c r="P610" s="575"/>
      <c r="Q610" s="575"/>
      <c r="R610" s="575"/>
      <c r="S610" s="575"/>
      <c r="T610" s="809"/>
      <c r="U610" s="575"/>
      <c r="V610" s="575"/>
      <c r="W610" s="575"/>
      <c r="X610" s="575"/>
      <c r="Y610" s="575"/>
      <c r="Z610" s="575"/>
      <c r="AA610" s="809"/>
      <c r="AB610" s="817"/>
      <c r="AC610" s="575"/>
      <c r="AD610" s="575"/>
      <c r="AE610" s="753"/>
      <c r="AF610" s="575"/>
      <c r="AG610" s="575"/>
      <c r="AH610" s="842"/>
      <c r="AI610" s="1013">
        <f t="shared" si="30"/>
        <v>0</v>
      </c>
      <c r="AJ610" s="949">
        <v>0</v>
      </c>
      <c r="AK610" s="581">
        <f t="shared" si="31"/>
        <v>0</v>
      </c>
      <c r="AL610" s="750" t="s">
        <v>1441</v>
      </c>
      <c r="AM610" s="743">
        <f t="shared" si="32"/>
        <v>1</v>
      </c>
    </row>
    <row r="611" spans="1:39" ht="13.2" hidden="1" customHeight="1">
      <c r="A611" s="604" t="s">
        <v>1051</v>
      </c>
      <c r="B611" s="604" t="s">
        <v>1382</v>
      </c>
      <c r="C611" s="614" t="s">
        <v>35</v>
      </c>
      <c r="D611" s="580"/>
      <c r="E611" s="581"/>
      <c r="F611" s="778"/>
      <c r="G611" s="581"/>
      <c r="H611" s="581"/>
      <c r="I611" s="949"/>
      <c r="J611" s="949"/>
      <c r="K611" s="825"/>
      <c r="L611" s="575"/>
      <c r="M611" s="809"/>
      <c r="N611" s="575"/>
      <c r="O611" s="575"/>
      <c r="P611" s="575"/>
      <c r="Q611" s="575"/>
      <c r="R611" s="575"/>
      <c r="S611" s="575"/>
      <c r="T611" s="809"/>
      <c r="U611" s="575"/>
      <c r="V611" s="575"/>
      <c r="W611" s="575"/>
      <c r="X611" s="575"/>
      <c r="Y611" s="575"/>
      <c r="Z611" s="575"/>
      <c r="AA611" s="809"/>
      <c r="AB611" s="817"/>
      <c r="AC611" s="575"/>
      <c r="AD611" s="575"/>
      <c r="AE611" s="753"/>
      <c r="AF611" s="575"/>
      <c r="AG611" s="575"/>
      <c r="AH611" s="842"/>
      <c r="AI611" s="1013">
        <f t="shared" si="30"/>
        <v>0</v>
      </c>
      <c r="AJ611" s="949">
        <v>0</v>
      </c>
      <c r="AK611" s="581">
        <f t="shared" si="31"/>
        <v>0</v>
      </c>
      <c r="AL611" s="750" t="s">
        <v>1750</v>
      </c>
      <c r="AM611" s="743">
        <f t="shared" si="32"/>
        <v>7</v>
      </c>
    </row>
    <row r="612" spans="1:39" ht="13.2" hidden="1" customHeight="1">
      <c r="A612" s="604" t="s">
        <v>1052</v>
      </c>
      <c r="B612" s="604" t="s">
        <v>1383</v>
      </c>
      <c r="C612" s="614" t="s">
        <v>35</v>
      </c>
      <c r="D612" s="580"/>
      <c r="E612" s="581"/>
      <c r="F612" s="778"/>
      <c r="G612" s="581"/>
      <c r="H612" s="581"/>
      <c r="I612" s="949"/>
      <c r="J612" s="949"/>
      <c r="K612" s="825"/>
      <c r="L612" s="575"/>
      <c r="M612" s="809"/>
      <c r="N612" s="575"/>
      <c r="O612" s="575"/>
      <c r="P612" s="575"/>
      <c r="Q612" s="575"/>
      <c r="R612" s="575"/>
      <c r="S612" s="575"/>
      <c r="T612" s="809"/>
      <c r="U612" s="575"/>
      <c r="V612" s="575"/>
      <c r="W612" s="575"/>
      <c r="X612" s="575"/>
      <c r="Y612" s="575"/>
      <c r="Z612" s="575"/>
      <c r="AA612" s="809"/>
      <c r="AB612" s="817"/>
      <c r="AC612" s="575"/>
      <c r="AD612" s="575"/>
      <c r="AE612" s="753"/>
      <c r="AF612" s="575"/>
      <c r="AG612" s="575"/>
      <c r="AH612" s="842"/>
      <c r="AI612" s="1013">
        <f t="shared" si="30"/>
        <v>0</v>
      </c>
      <c r="AJ612" s="949">
        <v>0</v>
      </c>
      <c r="AK612" s="581">
        <f t="shared" si="31"/>
        <v>0</v>
      </c>
      <c r="AL612" s="750"/>
      <c r="AM612" s="743">
        <f t="shared" si="32"/>
        <v>0</v>
      </c>
    </row>
    <row r="613" spans="1:39" ht="13.2" hidden="1" customHeight="1">
      <c r="A613" s="607" t="s">
        <v>1053</v>
      </c>
      <c r="B613" s="607" t="s">
        <v>1384</v>
      </c>
      <c r="C613" s="690"/>
      <c r="D613" s="580"/>
      <c r="E613" s="581"/>
      <c r="F613" s="778"/>
      <c r="G613" s="581"/>
      <c r="H613" s="581"/>
      <c r="I613" s="949"/>
      <c r="J613" s="949"/>
      <c r="K613" s="825"/>
      <c r="L613" s="575"/>
      <c r="M613" s="809"/>
      <c r="N613" s="575"/>
      <c r="O613" s="575"/>
      <c r="P613" s="575"/>
      <c r="Q613" s="575"/>
      <c r="R613" s="575"/>
      <c r="S613" s="575"/>
      <c r="T613" s="809"/>
      <c r="U613" s="575"/>
      <c r="V613" s="575"/>
      <c r="W613" s="575"/>
      <c r="X613" s="575"/>
      <c r="Y613" s="575"/>
      <c r="Z613" s="575"/>
      <c r="AA613" s="809"/>
      <c r="AB613" s="817"/>
      <c r="AC613" s="575"/>
      <c r="AD613" s="575"/>
      <c r="AE613" s="753"/>
      <c r="AF613" s="575"/>
      <c r="AG613" s="575"/>
      <c r="AH613" s="842"/>
      <c r="AI613" s="1013">
        <f t="shared" si="30"/>
        <v>0</v>
      </c>
      <c r="AJ613" s="949">
        <v>0</v>
      </c>
      <c r="AK613" s="581">
        <f t="shared" si="31"/>
        <v>0</v>
      </c>
      <c r="AL613" s="750" t="s">
        <v>1475</v>
      </c>
      <c r="AM613" s="743">
        <f t="shared" si="32"/>
        <v>16</v>
      </c>
    </row>
    <row r="614" spans="1:39" ht="13.2" hidden="1" customHeight="1">
      <c r="A614" s="604" t="s">
        <v>1054</v>
      </c>
      <c r="B614" s="604" t="s">
        <v>1385</v>
      </c>
      <c r="C614" s="614" t="s">
        <v>1438</v>
      </c>
      <c r="D614" s="580"/>
      <c r="E614" s="581"/>
      <c r="F614" s="778"/>
      <c r="G614" s="581"/>
      <c r="H614" s="581"/>
      <c r="I614" s="949"/>
      <c r="J614" s="949"/>
      <c r="K614" s="825"/>
      <c r="L614" s="575"/>
      <c r="M614" s="809"/>
      <c r="N614" s="575"/>
      <c r="O614" s="575"/>
      <c r="P614" s="575"/>
      <c r="Q614" s="575"/>
      <c r="R614" s="575"/>
      <c r="S614" s="575"/>
      <c r="T614" s="809"/>
      <c r="U614" s="575"/>
      <c r="V614" s="575"/>
      <c r="W614" s="575"/>
      <c r="X614" s="575"/>
      <c r="Y614" s="575"/>
      <c r="Z614" s="575"/>
      <c r="AA614" s="809"/>
      <c r="AB614" s="817"/>
      <c r="AC614" s="575"/>
      <c r="AD614" s="575"/>
      <c r="AE614" s="753"/>
      <c r="AF614" s="575"/>
      <c r="AG614" s="575"/>
      <c r="AH614" s="842"/>
      <c r="AI614" s="1013">
        <f t="shared" si="30"/>
        <v>0</v>
      </c>
      <c r="AJ614" s="949">
        <v>0</v>
      </c>
      <c r="AK614" s="581">
        <f t="shared" si="31"/>
        <v>0</v>
      </c>
      <c r="AL614" s="750" t="s">
        <v>1684</v>
      </c>
      <c r="AM614" s="743">
        <f t="shared" si="32"/>
        <v>2</v>
      </c>
    </row>
    <row r="615" spans="1:39" ht="13.2" hidden="1" customHeight="1">
      <c r="A615" s="604" t="s">
        <v>1055</v>
      </c>
      <c r="B615" s="604" t="s">
        <v>1386</v>
      </c>
      <c r="C615" s="614" t="s">
        <v>1438</v>
      </c>
      <c r="D615" s="580"/>
      <c r="E615" s="581"/>
      <c r="F615" s="778"/>
      <c r="G615" s="581"/>
      <c r="H615" s="581"/>
      <c r="I615" s="949"/>
      <c r="J615" s="949"/>
      <c r="K615" s="825"/>
      <c r="L615" s="575"/>
      <c r="M615" s="809"/>
      <c r="N615" s="575"/>
      <c r="O615" s="575"/>
      <c r="P615" s="575"/>
      <c r="Q615" s="575"/>
      <c r="R615" s="575"/>
      <c r="S615" s="575"/>
      <c r="T615" s="809"/>
      <c r="U615" s="575"/>
      <c r="V615" s="575"/>
      <c r="W615" s="575"/>
      <c r="X615" s="575"/>
      <c r="Y615" s="575"/>
      <c r="Z615" s="575"/>
      <c r="AA615" s="809"/>
      <c r="AB615" s="817"/>
      <c r="AC615" s="575"/>
      <c r="AD615" s="575"/>
      <c r="AE615" s="753"/>
      <c r="AF615" s="575"/>
      <c r="AG615" s="575"/>
      <c r="AH615" s="842"/>
      <c r="AI615" s="1013">
        <f t="shared" si="30"/>
        <v>0</v>
      </c>
      <c r="AJ615" s="949">
        <v>0</v>
      </c>
      <c r="AK615" s="581">
        <f t="shared" si="31"/>
        <v>0</v>
      </c>
      <c r="AL615" s="750" t="s">
        <v>1684</v>
      </c>
      <c r="AM615" s="743">
        <f t="shared" si="32"/>
        <v>2</v>
      </c>
    </row>
    <row r="616" spans="1:39" ht="13.2" hidden="1" customHeight="1">
      <c r="A616" s="604" t="s">
        <v>1056</v>
      </c>
      <c r="B616" s="604" t="s">
        <v>1387</v>
      </c>
      <c r="C616" s="614" t="s">
        <v>1438</v>
      </c>
      <c r="D616" s="580"/>
      <c r="E616" s="581"/>
      <c r="F616" s="778"/>
      <c r="G616" s="581"/>
      <c r="H616" s="581"/>
      <c r="I616" s="949"/>
      <c r="J616" s="949"/>
      <c r="K616" s="825"/>
      <c r="L616" s="575"/>
      <c r="M616" s="809"/>
      <c r="N616" s="575"/>
      <c r="O616" s="575"/>
      <c r="P616" s="575"/>
      <c r="Q616" s="575"/>
      <c r="R616" s="575"/>
      <c r="S616" s="575"/>
      <c r="T616" s="809"/>
      <c r="U616" s="575"/>
      <c r="V616" s="575"/>
      <c r="W616" s="575"/>
      <c r="X616" s="575"/>
      <c r="Y616" s="575"/>
      <c r="Z616" s="575"/>
      <c r="AA616" s="809"/>
      <c r="AB616" s="817"/>
      <c r="AC616" s="575"/>
      <c r="AD616" s="575"/>
      <c r="AE616" s="753"/>
      <c r="AF616" s="575"/>
      <c r="AG616" s="575"/>
      <c r="AH616" s="842"/>
      <c r="AI616" s="1013">
        <f t="shared" si="30"/>
        <v>0</v>
      </c>
      <c r="AJ616" s="949">
        <v>0</v>
      </c>
      <c r="AK616" s="581">
        <f t="shared" si="31"/>
        <v>0</v>
      </c>
      <c r="AL616" s="750"/>
      <c r="AM616" s="743">
        <f t="shared" si="32"/>
        <v>0</v>
      </c>
    </row>
    <row r="617" spans="1:39" ht="13.2" hidden="1" customHeight="1">
      <c r="A617" s="607" t="s">
        <v>1057</v>
      </c>
      <c r="B617" s="607" t="s">
        <v>1388</v>
      </c>
      <c r="C617" s="690"/>
      <c r="D617" s="580"/>
      <c r="E617" s="581"/>
      <c r="F617" s="778"/>
      <c r="G617" s="581"/>
      <c r="H617" s="581"/>
      <c r="I617" s="949"/>
      <c r="J617" s="949"/>
      <c r="K617" s="825"/>
      <c r="L617" s="575"/>
      <c r="M617" s="809"/>
      <c r="N617" s="575"/>
      <c r="O617" s="575"/>
      <c r="P617" s="575"/>
      <c r="Q617" s="575"/>
      <c r="R617" s="575"/>
      <c r="S617" s="575"/>
      <c r="T617" s="809"/>
      <c r="U617" s="575"/>
      <c r="V617" s="575"/>
      <c r="W617" s="575"/>
      <c r="X617" s="575"/>
      <c r="Y617" s="575"/>
      <c r="Z617" s="575"/>
      <c r="AA617" s="809"/>
      <c r="AB617" s="817"/>
      <c r="AC617" s="575"/>
      <c r="AD617" s="575"/>
      <c r="AE617" s="753"/>
      <c r="AF617" s="575"/>
      <c r="AG617" s="575"/>
      <c r="AH617" s="842"/>
      <c r="AI617" s="1013">
        <f t="shared" si="30"/>
        <v>0</v>
      </c>
      <c r="AJ617" s="949">
        <v>0</v>
      </c>
      <c r="AK617" s="581">
        <f t="shared" si="31"/>
        <v>0</v>
      </c>
      <c r="AL617" s="750" t="s">
        <v>1753</v>
      </c>
      <c r="AM617" s="743">
        <f t="shared" si="32"/>
        <v>14</v>
      </c>
    </row>
    <row r="618" spans="1:39" ht="13.2" hidden="1" customHeight="1">
      <c r="A618" s="604" t="s">
        <v>1058</v>
      </c>
      <c r="B618" s="604" t="s">
        <v>1389</v>
      </c>
      <c r="C618" s="614" t="s">
        <v>1438</v>
      </c>
      <c r="D618" s="580"/>
      <c r="E618" s="581"/>
      <c r="F618" s="778"/>
      <c r="G618" s="581"/>
      <c r="H618" s="581"/>
      <c r="I618" s="949"/>
      <c r="J618" s="949"/>
      <c r="K618" s="825"/>
      <c r="L618" s="575"/>
      <c r="M618" s="809"/>
      <c r="N618" s="575"/>
      <c r="O618" s="575"/>
      <c r="P618" s="575"/>
      <c r="Q618" s="575"/>
      <c r="R618" s="575"/>
      <c r="S618" s="575"/>
      <c r="T618" s="809"/>
      <c r="U618" s="575"/>
      <c r="V618" s="575"/>
      <c r="W618" s="575"/>
      <c r="X618" s="575"/>
      <c r="Y618" s="575"/>
      <c r="Z618" s="575"/>
      <c r="AA618" s="809"/>
      <c r="AB618" s="817"/>
      <c r="AC618" s="575"/>
      <c r="AD618" s="575"/>
      <c r="AE618" s="753"/>
      <c r="AF618" s="575"/>
      <c r="AG618" s="575"/>
      <c r="AH618" s="842"/>
      <c r="AI618" s="1013">
        <f t="shared" si="30"/>
        <v>0</v>
      </c>
      <c r="AJ618" s="949">
        <v>0</v>
      </c>
      <c r="AK618" s="581">
        <f t="shared" si="31"/>
        <v>0</v>
      </c>
      <c r="AL618" s="750" t="s">
        <v>1441</v>
      </c>
      <c r="AM618" s="743">
        <f t="shared" si="32"/>
        <v>1</v>
      </c>
    </row>
    <row r="619" spans="1:39" ht="13.2" hidden="1" customHeight="1">
      <c r="A619" s="604" t="s">
        <v>1059</v>
      </c>
      <c r="B619" s="604" t="s">
        <v>1390</v>
      </c>
      <c r="C619" s="614" t="s">
        <v>1438</v>
      </c>
      <c r="D619" s="580"/>
      <c r="E619" s="581"/>
      <c r="F619" s="778"/>
      <c r="G619" s="581"/>
      <c r="H619" s="581"/>
      <c r="I619" s="949"/>
      <c r="J619" s="949"/>
      <c r="K619" s="825"/>
      <c r="L619" s="575"/>
      <c r="M619" s="809"/>
      <c r="N619" s="575"/>
      <c r="O619" s="575"/>
      <c r="P619" s="575"/>
      <c r="Q619" s="575"/>
      <c r="R619" s="575"/>
      <c r="S619" s="575"/>
      <c r="T619" s="809"/>
      <c r="U619" s="575"/>
      <c r="V619" s="575"/>
      <c r="W619" s="575"/>
      <c r="X619" s="575"/>
      <c r="Y619" s="575"/>
      <c r="Z619" s="575"/>
      <c r="AA619" s="809"/>
      <c r="AB619" s="817"/>
      <c r="AC619" s="575"/>
      <c r="AD619" s="575"/>
      <c r="AE619" s="753"/>
      <c r="AF619" s="575"/>
      <c r="AG619" s="588"/>
      <c r="AH619" s="588"/>
      <c r="AI619" s="1013">
        <f t="shared" si="30"/>
        <v>0</v>
      </c>
      <c r="AJ619" s="949">
        <v>0</v>
      </c>
      <c r="AK619" s="581">
        <f t="shared" si="31"/>
        <v>0</v>
      </c>
      <c r="AL619" s="750" t="s">
        <v>1604</v>
      </c>
      <c r="AM619" s="743">
        <f t="shared" si="32"/>
        <v>3</v>
      </c>
    </row>
    <row r="620" spans="1:39" ht="13.2" hidden="1" customHeight="1">
      <c r="A620" s="604" t="s">
        <v>1060</v>
      </c>
      <c r="B620" s="604" t="s">
        <v>1391</v>
      </c>
      <c r="C620" s="614" t="s">
        <v>1438</v>
      </c>
      <c r="D620" s="580"/>
      <c r="E620" s="581"/>
      <c r="F620" s="778"/>
      <c r="G620" s="581"/>
      <c r="H620" s="581"/>
      <c r="I620" s="949"/>
      <c r="J620" s="949"/>
      <c r="K620" s="825"/>
      <c r="L620" s="575"/>
      <c r="M620" s="809"/>
      <c r="N620" s="575"/>
      <c r="O620" s="575"/>
      <c r="P620" s="575"/>
      <c r="Q620" s="575"/>
      <c r="R620" s="575"/>
      <c r="S620" s="575"/>
      <c r="T620" s="809"/>
      <c r="U620" s="575"/>
      <c r="V620" s="575"/>
      <c r="W620" s="575"/>
      <c r="X620" s="575"/>
      <c r="Y620" s="575"/>
      <c r="Z620" s="575"/>
      <c r="AA620" s="809"/>
      <c r="AB620" s="817"/>
      <c r="AC620" s="575"/>
      <c r="AD620" s="575"/>
      <c r="AE620" s="753"/>
      <c r="AF620" s="575"/>
      <c r="AG620" s="588"/>
      <c r="AH620" s="588"/>
      <c r="AI620" s="1013">
        <f t="shared" si="30"/>
        <v>0</v>
      </c>
      <c r="AJ620" s="949">
        <v>0</v>
      </c>
      <c r="AK620" s="581">
        <f t="shared" si="31"/>
        <v>0</v>
      </c>
      <c r="AL620" s="750" t="s">
        <v>1627</v>
      </c>
      <c r="AM620" s="743">
        <f t="shared" si="32"/>
        <v>9</v>
      </c>
    </row>
    <row r="621" spans="1:39" ht="13.2" hidden="1" customHeight="1">
      <c r="A621" s="604" t="s">
        <v>1061</v>
      </c>
      <c r="B621" s="604" t="s">
        <v>1392</v>
      </c>
      <c r="C621" s="614" t="s">
        <v>1438</v>
      </c>
      <c r="D621" s="580"/>
      <c r="E621" s="581"/>
      <c r="F621" s="778"/>
      <c r="G621" s="581"/>
      <c r="H621" s="581"/>
      <c r="I621" s="949"/>
      <c r="J621" s="949"/>
      <c r="K621" s="825"/>
      <c r="L621" s="575"/>
      <c r="M621" s="809"/>
      <c r="N621" s="575"/>
      <c r="O621" s="575"/>
      <c r="P621" s="575"/>
      <c r="Q621" s="575"/>
      <c r="R621" s="575"/>
      <c r="S621" s="575"/>
      <c r="T621" s="809"/>
      <c r="U621" s="575"/>
      <c r="V621" s="575"/>
      <c r="W621" s="575"/>
      <c r="X621" s="575"/>
      <c r="Y621" s="575"/>
      <c r="Z621" s="575"/>
      <c r="AA621" s="809"/>
      <c r="AB621" s="817"/>
      <c r="AC621" s="575"/>
      <c r="AD621" s="575"/>
      <c r="AE621" s="753"/>
      <c r="AF621" s="575"/>
      <c r="AG621" s="588"/>
      <c r="AH621" s="588"/>
      <c r="AI621" s="1013">
        <f t="shared" si="30"/>
        <v>0</v>
      </c>
      <c r="AJ621" s="949">
        <v>0</v>
      </c>
      <c r="AK621" s="581">
        <f t="shared" si="31"/>
        <v>0</v>
      </c>
      <c r="AL621" s="750" t="s">
        <v>1441</v>
      </c>
      <c r="AM621" s="743">
        <f t="shared" si="32"/>
        <v>1</v>
      </c>
    </row>
    <row r="622" spans="1:39" ht="13.2" hidden="1" customHeight="1">
      <c r="A622" s="604" t="s">
        <v>1062</v>
      </c>
      <c r="B622" s="604" t="s">
        <v>1393</v>
      </c>
      <c r="C622" s="614" t="s">
        <v>1438</v>
      </c>
      <c r="D622" s="580"/>
      <c r="E622" s="581"/>
      <c r="F622" s="778"/>
      <c r="G622" s="581"/>
      <c r="H622" s="581"/>
      <c r="I622" s="949"/>
      <c r="J622" s="949"/>
      <c r="K622" s="825"/>
      <c r="L622" s="575"/>
      <c r="M622" s="809"/>
      <c r="N622" s="575"/>
      <c r="O622" s="575"/>
      <c r="P622" s="575"/>
      <c r="Q622" s="575"/>
      <c r="R622" s="575"/>
      <c r="S622" s="575"/>
      <c r="T622" s="809"/>
      <c r="U622" s="575"/>
      <c r="V622" s="575"/>
      <c r="W622" s="575"/>
      <c r="X622" s="575"/>
      <c r="Y622" s="575"/>
      <c r="Z622" s="575"/>
      <c r="AA622" s="809"/>
      <c r="AB622" s="817"/>
      <c r="AC622" s="575"/>
      <c r="AD622" s="575"/>
      <c r="AE622" s="753"/>
      <c r="AF622" s="575"/>
      <c r="AG622" s="588"/>
      <c r="AH622" s="588"/>
      <c r="AI622" s="1013">
        <f t="shared" si="30"/>
        <v>0</v>
      </c>
      <c r="AJ622" s="949">
        <v>0</v>
      </c>
      <c r="AK622" s="581">
        <f t="shared" si="31"/>
        <v>0</v>
      </c>
      <c r="AL622" s="750"/>
      <c r="AM622" s="743">
        <f t="shared" si="32"/>
        <v>0</v>
      </c>
    </row>
    <row r="623" spans="1:39" ht="13.2" hidden="1" customHeight="1">
      <c r="A623" s="607" t="s">
        <v>1063</v>
      </c>
      <c r="B623" s="607" t="s">
        <v>1394</v>
      </c>
      <c r="C623" s="690"/>
      <c r="D623" s="580"/>
      <c r="E623" s="581"/>
      <c r="F623" s="778"/>
      <c r="G623" s="581"/>
      <c r="H623" s="581"/>
      <c r="I623" s="949"/>
      <c r="J623" s="949"/>
      <c r="K623" s="825"/>
      <c r="L623" s="575"/>
      <c r="M623" s="809"/>
      <c r="N623" s="575"/>
      <c r="O623" s="575"/>
      <c r="P623" s="575"/>
      <c r="Q623" s="575"/>
      <c r="R623" s="575"/>
      <c r="S623" s="575"/>
      <c r="T623" s="809"/>
      <c r="U623" s="575"/>
      <c r="V623" s="575"/>
      <c r="W623" s="575"/>
      <c r="X623" s="575"/>
      <c r="Y623" s="575"/>
      <c r="Z623" s="575"/>
      <c r="AA623" s="809"/>
      <c r="AB623" s="817"/>
      <c r="AC623" s="575"/>
      <c r="AD623" s="575"/>
      <c r="AE623" s="753"/>
      <c r="AF623" s="575"/>
      <c r="AG623" s="588"/>
      <c r="AH623" s="588"/>
      <c r="AI623" s="1013">
        <f t="shared" si="30"/>
        <v>0</v>
      </c>
      <c r="AJ623" s="949">
        <v>0</v>
      </c>
      <c r="AK623" s="581">
        <f t="shared" si="31"/>
        <v>0</v>
      </c>
      <c r="AL623" s="750" t="s">
        <v>1441</v>
      </c>
      <c r="AM623" s="743">
        <f t="shared" si="32"/>
        <v>1</v>
      </c>
    </row>
    <row r="624" spans="1:39" ht="13.2" hidden="1" customHeight="1">
      <c r="A624" s="604" t="s">
        <v>1064</v>
      </c>
      <c r="B624" s="604" t="s">
        <v>1395</v>
      </c>
      <c r="C624" s="614" t="s">
        <v>1438</v>
      </c>
      <c r="D624" s="580"/>
      <c r="E624" s="581"/>
      <c r="F624" s="778"/>
      <c r="G624" s="581"/>
      <c r="H624" s="581"/>
      <c r="I624" s="949"/>
      <c r="J624" s="949"/>
      <c r="K624" s="825"/>
      <c r="L624" s="575"/>
      <c r="M624" s="809"/>
      <c r="N624" s="575"/>
      <c r="O624" s="575"/>
      <c r="P624" s="575"/>
      <c r="Q624" s="575"/>
      <c r="R624" s="575"/>
      <c r="S624" s="575"/>
      <c r="T624" s="809"/>
      <c r="U624" s="575"/>
      <c r="V624" s="575"/>
      <c r="W624" s="575"/>
      <c r="X624" s="575"/>
      <c r="Y624" s="575"/>
      <c r="Z624" s="575"/>
      <c r="AA624" s="809"/>
      <c r="AB624" s="817"/>
      <c r="AC624" s="575"/>
      <c r="AD624" s="575"/>
      <c r="AE624" s="753"/>
      <c r="AF624" s="575"/>
      <c r="AG624" s="588"/>
      <c r="AH624" s="588"/>
      <c r="AI624" s="1013">
        <f t="shared" si="30"/>
        <v>0</v>
      </c>
      <c r="AJ624" s="949">
        <v>0</v>
      </c>
      <c r="AK624" s="581">
        <f t="shared" si="31"/>
        <v>0</v>
      </c>
      <c r="AL624" s="750" t="s">
        <v>1441</v>
      </c>
      <c r="AM624" s="743">
        <f t="shared" si="32"/>
        <v>1</v>
      </c>
    </row>
    <row r="625" spans="1:39" ht="13.2" hidden="1" customHeight="1">
      <c r="A625" s="604" t="s">
        <v>1065</v>
      </c>
      <c r="B625" s="604" t="s">
        <v>1396</v>
      </c>
      <c r="C625" s="614" t="s">
        <v>1438</v>
      </c>
      <c r="D625" s="580"/>
      <c r="E625" s="581"/>
      <c r="F625" s="778"/>
      <c r="G625" s="581"/>
      <c r="H625" s="581"/>
      <c r="I625" s="949"/>
      <c r="J625" s="949"/>
      <c r="K625" s="825"/>
      <c r="L625" s="575"/>
      <c r="M625" s="809"/>
      <c r="N625" s="575"/>
      <c r="O625" s="575"/>
      <c r="P625" s="575"/>
      <c r="Q625" s="575"/>
      <c r="R625" s="575"/>
      <c r="S625" s="575"/>
      <c r="T625" s="809"/>
      <c r="U625" s="575"/>
      <c r="V625" s="575"/>
      <c r="W625" s="575"/>
      <c r="X625" s="575"/>
      <c r="Y625" s="575"/>
      <c r="Z625" s="575"/>
      <c r="AA625" s="809"/>
      <c r="AB625" s="817"/>
      <c r="AC625" s="575"/>
      <c r="AD625" s="575"/>
      <c r="AE625" s="753"/>
      <c r="AF625" s="575"/>
      <c r="AG625" s="588"/>
      <c r="AH625" s="588"/>
      <c r="AI625" s="1013">
        <f t="shared" si="30"/>
        <v>0</v>
      </c>
      <c r="AJ625" s="949">
        <v>0</v>
      </c>
      <c r="AK625" s="581">
        <f t="shared" si="31"/>
        <v>0</v>
      </c>
      <c r="AL625" s="750" t="s">
        <v>1712</v>
      </c>
      <c r="AM625" s="743">
        <f t="shared" si="32"/>
        <v>11</v>
      </c>
    </row>
    <row r="626" spans="1:39" ht="13.2" hidden="1" customHeight="1">
      <c r="A626" s="604" t="s">
        <v>1066</v>
      </c>
      <c r="B626" s="604" t="s">
        <v>1397</v>
      </c>
      <c r="C626" s="614" t="s">
        <v>1438</v>
      </c>
      <c r="D626" s="580"/>
      <c r="E626" s="581"/>
      <c r="F626" s="778"/>
      <c r="G626" s="581"/>
      <c r="H626" s="581"/>
      <c r="I626" s="949"/>
      <c r="J626" s="949"/>
      <c r="K626" s="825"/>
      <c r="L626" s="575"/>
      <c r="M626" s="809"/>
      <c r="N626" s="575"/>
      <c r="O626" s="575"/>
      <c r="P626" s="575"/>
      <c r="Q626" s="575"/>
      <c r="R626" s="575"/>
      <c r="S626" s="575"/>
      <c r="T626" s="809"/>
      <c r="U626" s="575"/>
      <c r="V626" s="575"/>
      <c r="W626" s="575"/>
      <c r="X626" s="575"/>
      <c r="Y626" s="575"/>
      <c r="Z626" s="575"/>
      <c r="AA626" s="809"/>
      <c r="AB626" s="817"/>
      <c r="AC626" s="575"/>
      <c r="AD626" s="575"/>
      <c r="AE626" s="753"/>
      <c r="AF626" s="575"/>
      <c r="AG626" s="588"/>
      <c r="AH626" s="588"/>
      <c r="AI626" s="1013">
        <f t="shared" si="30"/>
        <v>0</v>
      </c>
      <c r="AJ626" s="949">
        <v>0</v>
      </c>
      <c r="AK626" s="581">
        <f t="shared" si="31"/>
        <v>0</v>
      </c>
      <c r="AL626" s="750" t="s">
        <v>1684</v>
      </c>
      <c r="AM626" s="743">
        <f t="shared" si="32"/>
        <v>2</v>
      </c>
    </row>
    <row r="627" spans="1:39" ht="13.2" hidden="1" customHeight="1">
      <c r="A627" s="604" t="s">
        <v>1067</v>
      </c>
      <c r="B627" s="604" t="s">
        <v>1398</v>
      </c>
      <c r="C627" s="614" t="s">
        <v>1438</v>
      </c>
      <c r="D627" s="580"/>
      <c r="E627" s="581"/>
      <c r="F627" s="778"/>
      <c r="G627" s="581"/>
      <c r="H627" s="581"/>
      <c r="I627" s="949"/>
      <c r="J627" s="949"/>
      <c r="K627" s="825"/>
      <c r="L627" s="575"/>
      <c r="M627" s="809"/>
      <c r="N627" s="575"/>
      <c r="O627" s="575"/>
      <c r="P627" s="575"/>
      <c r="Q627" s="575"/>
      <c r="R627" s="575"/>
      <c r="S627" s="575"/>
      <c r="T627" s="809"/>
      <c r="U627" s="575"/>
      <c r="V627" s="575"/>
      <c r="W627" s="575"/>
      <c r="X627" s="575"/>
      <c r="Y627" s="575"/>
      <c r="Z627" s="575"/>
      <c r="AA627" s="809"/>
      <c r="AB627" s="817"/>
      <c r="AC627" s="575"/>
      <c r="AD627" s="575"/>
      <c r="AE627" s="753"/>
      <c r="AF627" s="575"/>
      <c r="AG627" s="588"/>
      <c r="AH627" s="588"/>
      <c r="AI627" s="1013">
        <f t="shared" si="30"/>
        <v>0</v>
      </c>
      <c r="AJ627" s="949">
        <v>0</v>
      </c>
      <c r="AK627" s="581">
        <f t="shared" si="31"/>
        <v>0</v>
      </c>
      <c r="AL627" s="750" t="s">
        <v>1684</v>
      </c>
      <c r="AM627" s="743">
        <f t="shared" si="32"/>
        <v>2</v>
      </c>
    </row>
    <row r="628" spans="1:39" ht="13.2" hidden="1" customHeight="1">
      <c r="A628" s="604" t="s">
        <v>1068</v>
      </c>
      <c r="B628" s="604" t="s">
        <v>1399</v>
      </c>
      <c r="C628" s="614" t="s">
        <v>1438</v>
      </c>
      <c r="D628" s="580"/>
      <c r="E628" s="581"/>
      <c r="F628" s="778"/>
      <c r="G628" s="581"/>
      <c r="H628" s="581"/>
      <c r="I628" s="949"/>
      <c r="J628" s="949"/>
      <c r="K628" s="825"/>
      <c r="L628" s="575"/>
      <c r="M628" s="809"/>
      <c r="N628" s="575"/>
      <c r="O628" s="575"/>
      <c r="P628" s="575"/>
      <c r="Q628" s="575"/>
      <c r="R628" s="575"/>
      <c r="S628" s="575"/>
      <c r="T628" s="809"/>
      <c r="U628" s="575"/>
      <c r="V628" s="575"/>
      <c r="W628" s="575"/>
      <c r="X628" s="575"/>
      <c r="Y628" s="575"/>
      <c r="Z628" s="575"/>
      <c r="AA628" s="809"/>
      <c r="AB628" s="817"/>
      <c r="AC628" s="575"/>
      <c r="AD628" s="575"/>
      <c r="AE628" s="753"/>
      <c r="AF628" s="575"/>
      <c r="AG628" s="588"/>
      <c r="AH628" s="588"/>
      <c r="AI628" s="1013">
        <f t="shared" si="30"/>
        <v>0</v>
      </c>
      <c r="AJ628" s="949">
        <v>0</v>
      </c>
      <c r="AK628" s="581">
        <f t="shared" si="31"/>
        <v>0</v>
      </c>
      <c r="AL628" s="750"/>
      <c r="AM628" s="743">
        <f t="shared" si="32"/>
        <v>0</v>
      </c>
    </row>
    <row r="629" spans="1:39" ht="13.2" hidden="1" customHeight="1">
      <c r="A629" s="607" t="s">
        <v>1069</v>
      </c>
      <c r="B629" s="607" t="s">
        <v>1400</v>
      </c>
      <c r="C629" s="690"/>
      <c r="D629" s="580"/>
      <c r="E629" s="581"/>
      <c r="F629" s="778"/>
      <c r="G629" s="581"/>
      <c r="H629" s="581"/>
      <c r="I629" s="949"/>
      <c r="J629" s="949"/>
      <c r="K629" s="825"/>
      <c r="L629" s="575"/>
      <c r="M629" s="809"/>
      <c r="N629" s="575"/>
      <c r="O629" s="575"/>
      <c r="P629" s="575"/>
      <c r="Q629" s="575"/>
      <c r="R629" s="575"/>
      <c r="S629" s="575"/>
      <c r="T629" s="809"/>
      <c r="U629" s="575"/>
      <c r="V629" s="575"/>
      <c r="W629" s="575"/>
      <c r="X629" s="575"/>
      <c r="Y629" s="575"/>
      <c r="Z629" s="575"/>
      <c r="AA629" s="809"/>
      <c r="AB629" s="817"/>
      <c r="AC629" s="575"/>
      <c r="AD629" s="575"/>
      <c r="AE629" s="753"/>
      <c r="AF629" s="575"/>
      <c r="AG629" s="588"/>
      <c r="AH629" s="588"/>
      <c r="AI629" s="1013">
        <f t="shared" si="30"/>
        <v>0</v>
      </c>
      <c r="AJ629" s="949">
        <v>0</v>
      </c>
      <c r="AK629" s="581">
        <f t="shared" si="31"/>
        <v>0</v>
      </c>
      <c r="AL629" s="750" t="s">
        <v>1441</v>
      </c>
      <c r="AM629" s="743">
        <f t="shared" si="32"/>
        <v>1</v>
      </c>
    </row>
    <row r="630" spans="1:39" ht="13.2" hidden="1" customHeight="1">
      <c r="A630" s="604" t="s">
        <v>1070</v>
      </c>
      <c r="B630" s="604" t="s">
        <v>1401</v>
      </c>
      <c r="C630" s="614" t="s">
        <v>35</v>
      </c>
      <c r="D630" s="580"/>
      <c r="E630" s="581"/>
      <c r="F630" s="778"/>
      <c r="G630" s="581"/>
      <c r="H630" s="581"/>
      <c r="I630" s="949"/>
      <c r="J630" s="949"/>
      <c r="K630" s="825"/>
      <c r="L630" s="575"/>
      <c r="M630" s="809"/>
      <c r="N630" s="575"/>
      <c r="O630" s="575"/>
      <c r="P630" s="575"/>
      <c r="Q630" s="575"/>
      <c r="R630" s="575"/>
      <c r="S630" s="575"/>
      <c r="T630" s="809"/>
      <c r="U630" s="575"/>
      <c r="V630" s="575"/>
      <c r="W630" s="575"/>
      <c r="X630" s="575"/>
      <c r="Y630" s="575"/>
      <c r="Z630" s="575"/>
      <c r="AA630" s="809"/>
      <c r="AB630" s="817"/>
      <c r="AC630" s="575"/>
      <c r="AD630" s="575"/>
      <c r="AE630" s="753"/>
      <c r="AF630" s="575"/>
      <c r="AG630" s="588"/>
      <c r="AH630" s="588"/>
      <c r="AI630" s="1013">
        <f t="shared" si="30"/>
        <v>0</v>
      </c>
      <c r="AJ630" s="949">
        <v>0</v>
      </c>
      <c r="AK630" s="581">
        <f t="shared" si="31"/>
        <v>0</v>
      </c>
      <c r="AL630" s="750"/>
      <c r="AM630" s="743">
        <f t="shared" si="32"/>
        <v>0</v>
      </c>
    </row>
    <row r="631" spans="1:39" ht="13.2" hidden="1" customHeight="1">
      <c r="A631" s="607" t="s">
        <v>1071</v>
      </c>
      <c r="B631" s="607" t="s">
        <v>1402</v>
      </c>
      <c r="C631" s="690"/>
      <c r="D631" s="580"/>
      <c r="E631" s="581"/>
      <c r="F631" s="778"/>
      <c r="G631" s="581"/>
      <c r="H631" s="581"/>
      <c r="I631" s="949"/>
      <c r="J631" s="949"/>
      <c r="K631" s="825"/>
      <c r="L631" s="575"/>
      <c r="M631" s="809"/>
      <c r="N631" s="575"/>
      <c r="O631" s="575"/>
      <c r="P631" s="575"/>
      <c r="Q631" s="575"/>
      <c r="R631" s="575"/>
      <c r="S631" s="575"/>
      <c r="T631" s="809"/>
      <c r="U631" s="575"/>
      <c r="V631" s="575"/>
      <c r="W631" s="575"/>
      <c r="X631" s="575"/>
      <c r="Y631" s="575"/>
      <c r="Z631" s="575"/>
      <c r="AA631" s="809"/>
      <c r="AB631" s="817"/>
      <c r="AC631" s="575"/>
      <c r="AD631" s="575"/>
      <c r="AE631" s="753"/>
      <c r="AF631" s="575"/>
      <c r="AG631" s="588"/>
      <c r="AH631" s="588"/>
      <c r="AI631" s="1013">
        <f t="shared" si="30"/>
        <v>0</v>
      </c>
      <c r="AJ631" s="949">
        <v>0</v>
      </c>
      <c r="AK631" s="581">
        <f t="shared" si="31"/>
        <v>0</v>
      </c>
      <c r="AL631" s="750" t="s">
        <v>1441</v>
      </c>
      <c r="AM631" s="743">
        <f t="shared" si="32"/>
        <v>1</v>
      </c>
    </row>
    <row r="632" spans="1:39" ht="13.2" hidden="1" customHeight="1">
      <c r="A632" s="604" t="s">
        <v>1072</v>
      </c>
      <c r="B632" s="604" t="s">
        <v>1403</v>
      </c>
      <c r="C632" s="614" t="s">
        <v>35</v>
      </c>
      <c r="D632" s="580"/>
      <c r="E632" s="581"/>
      <c r="F632" s="778"/>
      <c r="G632" s="581"/>
      <c r="H632" s="581"/>
      <c r="I632" s="949"/>
      <c r="J632" s="949"/>
      <c r="K632" s="825"/>
      <c r="L632" s="575"/>
      <c r="M632" s="809"/>
      <c r="N632" s="575"/>
      <c r="O632" s="575"/>
      <c r="P632" s="575"/>
      <c r="Q632" s="575"/>
      <c r="R632" s="575"/>
      <c r="S632" s="575"/>
      <c r="T632" s="809"/>
      <c r="U632" s="575"/>
      <c r="V632" s="575"/>
      <c r="W632" s="575"/>
      <c r="X632" s="575"/>
      <c r="Y632" s="575"/>
      <c r="Z632" s="575"/>
      <c r="AA632" s="809"/>
      <c r="AB632" s="817"/>
      <c r="AC632" s="575"/>
      <c r="AD632" s="575"/>
      <c r="AE632" s="753"/>
      <c r="AF632" s="575"/>
      <c r="AG632" s="588"/>
      <c r="AH632" s="588"/>
      <c r="AI632" s="1013">
        <f t="shared" si="30"/>
        <v>0</v>
      </c>
      <c r="AJ632" s="949">
        <v>0</v>
      </c>
      <c r="AK632" s="581">
        <f t="shared" si="31"/>
        <v>0</v>
      </c>
      <c r="AL632" s="750"/>
      <c r="AM632" s="743">
        <f t="shared" si="32"/>
        <v>0</v>
      </c>
    </row>
    <row r="633" spans="1:39" ht="13.2" hidden="1" customHeight="1">
      <c r="A633" s="492" t="s">
        <v>499</v>
      </c>
      <c r="B633" s="608" t="s">
        <v>1404</v>
      </c>
      <c r="C633" s="690"/>
      <c r="D633" s="580"/>
      <c r="E633" s="581"/>
      <c r="F633" s="778"/>
      <c r="G633" s="581"/>
      <c r="H633" s="581"/>
      <c r="I633" s="949"/>
      <c r="J633" s="949"/>
      <c r="K633" s="825"/>
      <c r="L633" s="575"/>
      <c r="M633" s="809"/>
      <c r="N633" s="575"/>
      <c r="O633" s="575"/>
      <c r="P633" s="575"/>
      <c r="Q633" s="575"/>
      <c r="R633" s="575"/>
      <c r="S633" s="575"/>
      <c r="T633" s="809"/>
      <c r="U633" s="575"/>
      <c r="V633" s="575"/>
      <c r="W633" s="575"/>
      <c r="X633" s="575"/>
      <c r="Y633" s="575"/>
      <c r="Z633" s="575"/>
      <c r="AA633" s="809"/>
      <c r="AB633" s="817"/>
      <c r="AC633" s="575"/>
      <c r="AD633" s="575"/>
      <c r="AE633" s="753"/>
      <c r="AF633" s="575"/>
      <c r="AG633" s="588"/>
      <c r="AH633" s="588"/>
      <c r="AI633" s="1013">
        <f t="shared" si="30"/>
        <v>0</v>
      </c>
      <c r="AJ633" s="949">
        <v>0</v>
      </c>
      <c r="AK633" s="581">
        <f t="shared" si="31"/>
        <v>0</v>
      </c>
      <c r="AL633" s="750"/>
      <c r="AM633" s="743">
        <f t="shared" si="32"/>
        <v>0</v>
      </c>
    </row>
    <row r="634" spans="1:39" ht="13.2" hidden="1" customHeight="1">
      <c r="A634" s="607" t="s">
        <v>1073</v>
      </c>
      <c r="B634" s="607" t="s">
        <v>1405</v>
      </c>
      <c r="C634" s="690"/>
      <c r="D634" s="580"/>
      <c r="E634" s="581"/>
      <c r="F634" s="778"/>
      <c r="G634" s="581"/>
      <c r="H634" s="581"/>
      <c r="I634" s="949"/>
      <c r="J634" s="949"/>
      <c r="K634" s="825"/>
      <c r="L634" s="575"/>
      <c r="M634" s="809"/>
      <c r="N634" s="575"/>
      <c r="O634" s="575"/>
      <c r="P634" s="575"/>
      <c r="Q634" s="575"/>
      <c r="R634" s="575"/>
      <c r="S634" s="575"/>
      <c r="T634" s="809"/>
      <c r="U634" s="575"/>
      <c r="V634" s="575"/>
      <c r="W634" s="575"/>
      <c r="X634" s="575"/>
      <c r="Y634" s="575"/>
      <c r="Z634" s="575"/>
      <c r="AA634" s="809"/>
      <c r="AB634" s="817"/>
      <c r="AC634" s="575"/>
      <c r="AD634" s="575"/>
      <c r="AE634" s="753"/>
      <c r="AF634" s="575"/>
      <c r="AG634" s="588"/>
      <c r="AH634" s="588"/>
      <c r="AI634" s="1013">
        <f t="shared" si="30"/>
        <v>0</v>
      </c>
      <c r="AJ634" s="949">
        <v>0</v>
      </c>
      <c r="AK634" s="581">
        <f t="shared" si="31"/>
        <v>0</v>
      </c>
      <c r="AL634" s="750" t="s">
        <v>1754</v>
      </c>
      <c r="AM634" s="743">
        <f t="shared" si="32"/>
        <v>29</v>
      </c>
    </row>
    <row r="635" spans="1:39" ht="13.2" hidden="1" customHeight="1">
      <c r="A635" s="604" t="s">
        <v>1074</v>
      </c>
      <c r="B635" s="604" t="s">
        <v>1406</v>
      </c>
      <c r="C635" s="614" t="s">
        <v>37</v>
      </c>
      <c r="D635" s="580"/>
      <c r="E635" s="581"/>
      <c r="F635" s="778"/>
      <c r="G635" s="581"/>
      <c r="H635" s="581"/>
      <c r="I635" s="949"/>
      <c r="J635" s="949"/>
      <c r="K635" s="825"/>
      <c r="L635" s="575"/>
      <c r="M635" s="809"/>
      <c r="N635" s="575"/>
      <c r="O635" s="575"/>
      <c r="P635" s="575"/>
      <c r="Q635" s="575"/>
      <c r="R635" s="575"/>
      <c r="S635" s="575"/>
      <c r="T635" s="809"/>
      <c r="U635" s="575"/>
      <c r="V635" s="575"/>
      <c r="W635" s="575"/>
      <c r="X635" s="575"/>
      <c r="Y635" s="575"/>
      <c r="Z635" s="575"/>
      <c r="AA635" s="809"/>
      <c r="AB635" s="817"/>
      <c r="AC635" s="575"/>
      <c r="AD635" s="575"/>
      <c r="AE635" s="753"/>
      <c r="AF635" s="575"/>
      <c r="AG635" s="588"/>
      <c r="AH635" s="588"/>
      <c r="AI635" s="1013">
        <f t="shared" si="30"/>
        <v>0</v>
      </c>
      <c r="AJ635" s="949">
        <v>0</v>
      </c>
      <c r="AK635" s="581">
        <f t="shared" si="31"/>
        <v>0</v>
      </c>
      <c r="AL635" s="750"/>
      <c r="AM635" s="743">
        <f t="shared" si="32"/>
        <v>0</v>
      </c>
    </row>
    <row r="636" spans="1:39" ht="13.2" hidden="1" customHeight="1">
      <c r="A636" s="607" t="s">
        <v>1075</v>
      </c>
      <c r="B636" s="607" t="s">
        <v>1407</v>
      </c>
      <c r="C636" s="690"/>
      <c r="D636" s="580"/>
      <c r="E636" s="581"/>
      <c r="F636" s="778"/>
      <c r="G636" s="581"/>
      <c r="H636" s="581"/>
      <c r="I636" s="949"/>
      <c r="J636" s="949"/>
      <c r="K636" s="825"/>
      <c r="L636" s="575"/>
      <c r="M636" s="809"/>
      <c r="N636" s="575"/>
      <c r="O636" s="575"/>
      <c r="P636" s="575"/>
      <c r="Q636" s="575"/>
      <c r="R636" s="575"/>
      <c r="S636" s="575"/>
      <c r="T636" s="809"/>
      <c r="U636" s="575"/>
      <c r="V636" s="575"/>
      <c r="W636" s="575"/>
      <c r="X636" s="575"/>
      <c r="Y636" s="575"/>
      <c r="Z636" s="575"/>
      <c r="AA636" s="809"/>
      <c r="AB636" s="817"/>
      <c r="AC636" s="575"/>
      <c r="AD636" s="575"/>
      <c r="AE636" s="753"/>
      <c r="AF636" s="575"/>
      <c r="AG636" s="588"/>
      <c r="AH636" s="588"/>
      <c r="AI636" s="1013">
        <f t="shared" si="30"/>
        <v>0</v>
      </c>
      <c r="AJ636" s="949">
        <v>0</v>
      </c>
      <c r="AK636" s="581">
        <f t="shared" si="31"/>
        <v>0</v>
      </c>
      <c r="AL636" s="750" t="s">
        <v>1722</v>
      </c>
      <c r="AM636" s="743">
        <f t="shared" si="32"/>
        <v>64</v>
      </c>
    </row>
    <row r="637" spans="1:39" ht="13.2" hidden="1" customHeight="1">
      <c r="A637" s="604" t="s">
        <v>1076</v>
      </c>
      <c r="B637" s="604" t="s">
        <v>1408</v>
      </c>
      <c r="C637" s="614" t="s">
        <v>37</v>
      </c>
      <c r="D637" s="580"/>
      <c r="E637" s="581"/>
      <c r="F637" s="778"/>
      <c r="G637" s="581"/>
      <c r="H637" s="581"/>
      <c r="I637" s="949"/>
      <c r="J637" s="949"/>
      <c r="K637" s="825"/>
      <c r="L637" s="575"/>
      <c r="M637" s="809"/>
      <c r="N637" s="575"/>
      <c r="O637" s="575"/>
      <c r="P637" s="575"/>
      <c r="Q637" s="575"/>
      <c r="R637" s="575"/>
      <c r="S637" s="575"/>
      <c r="T637" s="809"/>
      <c r="U637" s="575"/>
      <c r="V637" s="575"/>
      <c r="W637" s="575"/>
      <c r="X637" s="575"/>
      <c r="Y637" s="575"/>
      <c r="Z637" s="575"/>
      <c r="AA637" s="809"/>
      <c r="AB637" s="817"/>
      <c r="AC637" s="575"/>
      <c r="AD637" s="575"/>
      <c r="AE637" s="753"/>
      <c r="AF637" s="575"/>
      <c r="AG637" s="588"/>
      <c r="AH637" s="588"/>
      <c r="AI637" s="1013">
        <f t="shared" si="30"/>
        <v>0</v>
      </c>
      <c r="AJ637" s="949">
        <v>0</v>
      </c>
      <c r="AK637" s="581">
        <f t="shared" si="31"/>
        <v>0</v>
      </c>
      <c r="AL637" s="750"/>
      <c r="AM637" s="743">
        <f t="shared" si="32"/>
        <v>0</v>
      </c>
    </row>
    <row r="638" spans="1:39" ht="13.2" hidden="1" customHeight="1">
      <c r="A638" s="607" t="s">
        <v>1077</v>
      </c>
      <c r="B638" s="607" t="s">
        <v>1409</v>
      </c>
      <c r="C638" s="690"/>
      <c r="D638" s="580"/>
      <c r="E638" s="581"/>
      <c r="F638" s="778"/>
      <c r="G638" s="581"/>
      <c r="H638" s="581"/>
      <c r="I638" s="949"/>
      <c r="J638" s="949"/>
      <c r="K638" s="825"/>
      <c r="L638" s="575"/>
      <c r="M638" s="809"/>
      <c r="N638" s="575"/>
      <c r="O638" s="575"/>
      <c r="P638" s="575"/>
      <c r="Q638" s="575"/>
      <c r="R638" s="575"/>
      <c r="S638" s="575"/>
      <c r="T638" s="809"/>
      <c r="U638" s="575"/>
      <c r="V638" s="575"/>
      <c r="W638" s="575"/>
      <c r="X638" s="575"/>
      <c r="Y638" s="575"/>
      <c r="Z638" s="575"/>
      <c r="AA638" s="809"/>
      <c r="AB638" s="817"/>
      <c r="AC638" s="575"/>
      <c r="AD638" s="575"/>
      <c r="AE638" s="753"/>
      <c r="AF638" s="575"/>
      <c r="AG638" s="588"/>
      <c r="AH638" s="588"/>
      <c r="AI638" s="1013">
        <f t="shared" si="30"/>
        <v>0</v>
      </c>
      <c r="AJ638" s="949">
        <v>0</v>
      </c>
      <c r="AK638" s="581">
        <f t="shared" si="31"/>
        <v>0</v>
      </c>
      <c r="AL638" s="750" t="s">
        <v>1722</v>
      </c>
      <c r="AM638" s="743">
        <f t="shared" si="32"/>
        <v>64</v>
      </c>
    </row>
    <row r="639" spans="1:39" ht="13.2" hidden="1" customHeight="1">
      <c r="A639" s="604" t="s">
        <v>1078</v>
      </c>
      <c r="B639" s="604" t="s">
        <v>1410</v>
      </c>
      <c r="C639" s="614" t="s">
        <v>37</v>
      </c>
      <c r="D639" s="580"/>
      <c r="E639" s="581"/>
      <c r="F639" s="778"/>
      <c r="G639" s="581"/>
      <c r="H639" s="581"/>
      <c r="I639" s="949"/>
      <c r="J639" s="949"/>
      <c r="K639" s="825"/>
      <c r="L639" s="575"/>
      <c r="M639" s="809"/>
      <c r="N639" s="575"/>
      <c r="O639" s="575"/>
      <c r="P639" s="575"/>
      <c r="Q639" s="575"/>
      <c r="R639" s="575"/>
      <c r="S639" s="575"/>
      <c r="T639" s="809"/>
      <c r="U639" s="575"/>
      <c r="V639" s="575"/>
      <c r="W639" s="575"/>
      <c r="X639" s="575"/>
      <c r="Y639" s="575"/>
      <c r="Z639" s="575"/>
      <c r="AA639" s="809"/>
      <c r="AB639" s="817"/>
      <c r="AC639" s="575"/>
      <c r="AD639" s="575"/>
      <c r="AE639" s="753"/>
      <c r="AF639" s="575"/>
      <c r="AG639" s="588"/>
      <c r="AH639" s="588"/>
      <c r="AI639" s="1013">
        <f t="shared" si="30"/>
        <v>0</v>
      </c>
      <c r="AJ639" s="949">
        <v>0</v>
      </c>
      <c r="AK639" s="581">
        <f t="shared" si="31"/>
        <v>0</v>
      </c>
      <c r="AL639" s="750"/>
      <c r="AM639" s="743">
        <f t="shared" si="32"/>
        <v>0</v>
      </c>
    </row>
    <row r="640" spans="1:39" ht="13.2" hidden="1" customHeight="1">
      <c r="A640" s="607" t="s">
        <v>1079</v>
      </c>
      <c r="B640" s="607" t="s">
        <v>1411</v>
      </c>
      <c r="C640" s="690"/>
      <c r="D640" s="580"/>
      <c r="E640" s="581"/>
      <c r="F640" s="778"/>
      <c r="G640" s="581"/>
      <c r="H640" s="581"/>
      <c r="I640" s="949"/>
      <c r="J640" s="949"/>
      <c r="K640" s="825"/>
      <c r="L640" s="575"/>
      <c r="M640" s="809"/>
      <c r="N640" s="575"/>
      <c r="O640" s="575"/>
      <c r="P640" s="575"/>
      <c r="Q640" s="575"/>
      <c r="R640" s="575"/>
      <c r="S640" s="575"/>
      <c r="T640" s="809"/>
      <c r="U640" s="575"/>
      <c r="V640" s="575"/>
      <c r="W640" s="575"/>
      <c r="X640" s="575"/>
      <c r="Y640" s="575"/>
      <c r="Z640" s="575"/>
      <c r="AA640" s="809"/>
      <c r="AB640" s="817"/>
      <c r="AC640" s="575"/>
      <c r="AD640" s="575"/>
      <c r="AE640" s="753"/>
      <c r="AF640" s="575"/>
      <c r="AG640" s="588"/>
      <c r="AH640" s="588"/>
      <c r="AI640" s="1013">
        <f t="shared" si="30"/>
        <v>0</v>
      </c>
      <c r="AJ640" s="949">
        <v>0</v>
      </c>
      <c r="AK640" s="581">
        <f t="shared" si="31"/>
        <v>0</v>
      </c>
      <c r="AL640" s="750" t="s">
        <v>1603</v>
      </c>
      <c r="AM640" s="743">
        <f t="shared" si="32"/>
        <v>6</v>
      </c>
    </row>
    <row r="641" spans="1:39" ht="13.2" hidden="1" customHeight="1">
      <c r="A641" s="604" t="s">
        <v>1080</v>
      </c>
      <c r="B641" s="604" t="s">
        <v>1412</v>
      </c>
      <c r="C641" s="614" t="s">
        <v>1438</v>
      </c>
      <c r="D641" s="580"/>
      <c r="E641" s="581"/>
      <c r="F641" s="778"/>
      <c r="G641" s="581"/>
      <c r="H641" s="581"/>
      <c r="I641" s="949"/>
      <c r="J641" s="949"/>
      <c r="K641" s="825"/>
      <c r="L641" s="575"/>
      <c r="M641" s="809"/>
      <c r="N641" s="575"/>
      <c r="O641" s="575"/>
      <c r="P641" s="575"/>
      <c r="Q641" s="575"/>
      <c r="R641" s="575"/>
      <c r="S641" s="575"/>
      <c r="T641" s="809"/>
      <c r="U641" s="575"/>
      <c r="V641" s="575"/>
      <c r="W641" s="575"/>
      <c r="X641" s="575"/>
      <c r="Y641" s="575"/>
      <c r="Z641" s="575"/>
      <c r="AA641" s="809"/>
      <c r="AB641" s="817"/>
      <c r="AC641" s="575"/>
      <c r="AD641" s="575"/>
      <c r="AE641" s="753"/>
      <c r="AF641" s="575"/>
      <c r="AG641" s="588"/>
      <c r="AH641" s="588"/>
      <c r="AI641" s="1013">
        <f t="shared" si="30"/>
        <v>0</v>
      </c>
      <c r="AJ641" s="949">
        <v>0</v>
      </c>
      <c r="AK641" s="581">
        <f t="shared" si="31"/>
        <v>0</v>
      </c>
      <c r="AL641" s="750"/>
      <c r="AM641" s="743">
        <f t="shared" si="32"/>
        <v>0</v>
      </c>
    </row>
    <row r="642" spans="1:39" ht="13.2" hidden="1" customHeight="1">
      <c r="A642" s="607" t="s">
        <v>1081</v>
      </c>
      <c r="B642" s="607" t="s">
        <v>1378</v>
      </c>
      <c r="C642" s="690"/>
      <c r="D642" s="580"/>
      <c r="E642" s="581"/>
      <c r="F642" s="778"/>
      <c r="G642" s="581"/>
      <c r="H642" s="581"/>
      <c r="I642" s="949"/>
      <c r="J642" s="949"/>
      <c r="K642" s="825"/>
      <c r="L642" s="575"/>
      <c r="M642" s="809"/>
      <c r="N642" s="575"/>
      <c r="O642" s="575"/>
      <c r="P642" s="575"/>
      <c r="Q642" s="575"/>
      <c r="R642" s="575"/>
      <c r="S642" s="575"/>
      <c r="T642" s="809"/>
      <c r="U642" s="575"/>
      <c r="V642" s="575"/>
      <c r="W642" s="575"/>
      <c r="X642" s="575"/>
      <c r="Y642" s="575"/>
      <c r="Z642" s="575"/>
      <c r="AA642" s="809"/>
      <c r="AB642" s="817"/>
      <c r="AC642" s="575"/>
      <c r="AD642" s="575"/>
      <c r="AE642" s="753"/>
      <c r="AF642" s="575"/>
      <c r="AG642" s="588"/>
      <c r="AH642" s="588"/>
      <c r="AI642" s="1013">
        <f t="shared" si="30"/>
        <v>0</v>
      </c>
      <c r="AJ642" s="949">
        <v>0</v>
      </c>
      <c r="AK642" s="581">
        <f t="shared" si="31"/>
        <v>0</v>
      </c>
      <c r="AL642" s="750" t="s">
        <v>1603</v>
      </c>
      <c r="AM642" s="743">
        <f t="shared" si="32"/>
        <v>6</v>
      </c>
    </row>
    <row r="643" spans="1:39" ht="13.2" hidden="1" customHeight="1">
      <c r="A643" s="604" t="s">
        <v>1082</v>
      </c>
      <c r="B643" s="604" t="s">
        <v>1413</v>
      </c>
      <c r="C643" s="614" t="s">
        <v>35</v>
      </c>
      <c r="D643" s="580"/>
      <c r="E643" s="581"/>
      <c r="F643" s="778"/>
      <c r="G643" s="581"/>
      <c r="H643" s="581"/>
      <c r="I643" s="949"/>
      <c r="J643" s="949"/>
      <c r="K643" s="825"/>
      <c r="L643" s="575"/>
      <c r="M643" s="809"/>
      <c r="N643" s="575"/>
      <c r="O643" s="575"/>
      <c r="P643" s="575"/>
      <c r="Q643" s="575"/>
      <c r="R643" s="575"/>
      <c r="S643" s="575"/>
      <c r="T643" s="809"/>
      <c r="U643" s="575"/>
      <c r="V643" s="575"/>
      <c r="W643" s="575"/>
      <c r="X643" s="575"/>
      <c r="Y643" s="575"/>
      <c r="Z643" s="575"/>
      <c r="AA643" s="809"/>
      <c r="AB643" s="817"/>
      <c r="AC643" s="575"/>
      <c r="AD643" s="575"/>
      <c r="AE643" s="753"/>
      <c r="AF643" s="575"/>
      <c r="AG643" s="588"/>
      <c r="AH643" s="588"/>
      <c r="AI643" s="1013">
        <f t="shared" si="30"/>
        <v>0</v>
      </c>
      <c r="AJ643" s="949">
        <v>0</v>
      </c>
      <c r="AK643" s="581">
        <f t="shared" si="31"/>
        <v>0</v>
      </c>
      <c r="AL643" s="750"/>
      <c r="AM643" s="743">
        <f t="shared" si="32"/>
        <v>0</v>
      </c>
    </row>
    <row r="644" spans="1:39" ht="13.2" hidden="1" customHeight="1">
      <c r="A644" s="492" t="s">
        <v>1083</v>
      </c>
      <c r="B644" s="608" t="s">
        <v>1414</v>
      </c>
      <c r="C644" s="690"/>
      <c r="D644" s="580"/>
      <c r="E644" s="581"/>
      <c r="F644" s="778"/>
      <c r="G644" s="581"/>
      <c r="H644" s="581"/>
      <c r="I644" s="949"/>
      <c r="J644" s="949"/>
      <c r="K644" s="825"/>
      <c r="L644" s="575"/>
      <c r="M644" s="809"/>
      <c r="N644" s="575"/>
      <c r="O644" s="575"/>
      <c r="P644" s="575"/>
      <c r="Q644" s="575"/>
      <c r="R644" s="575"/>
      <c r="S644" s="575"/>
      <c r="T644" s="809"/>
      <c r="U644" s="575"/>
      <c r="V644" s="575"/>
      <c r="W644" s="575"/>
      <c r="X644" s="575"/>
      <c r="Y644" s="575"/>
      <c r="Z644" s="575"/>
      <c r="AA644" s="809"/>
      <c r="AB644" s="817"/>
      <c r="AC644" s="575"/>
      <c r="AD644" s="575"/>
      <c r="AE644" s="753"/>
      <c r="AF644" s="575"/>
      <c r="AG644" s="588"/>
      <c r="AH644" s="588"/>
      <c r="AI644" s="1013">
        <f t="shared" si="30"/>
        <v>0</v>
      </c>
      <c r="AJ644" s="949">
        <v>0</v>
      </c>
      <c r="AK644" s="581">
        <f t="shared" si="31"/>
        <v>0</v>
      </c>
      <c r="AL644" s="750"/>
      <c r="AM644" s="743">
        <f t="shared" si="32"/>
        <v>0</v>
      </c>
    </row>
    <row r="645" spans="1:39" ht="13.2" hidden="1" customHeight="1">
      <c r="A645" s="607" t="s">
        <v>1084</v>
      </c>
      <c r="B645" s="607" t="s">
        <v>1405</v>
      </c>
      <c r="C645" s="690"/>
      <c r="D645" s="580"/>
      <c r="E645" s="581"/>
      <c r="F645" s="778"/>
      <c r="G645" s="581"/>
      <c r="H645" s="581"/>
      <c r="I645" s="949"/>
      <c r="J645" s="949"/>
      <c r="K645" s="825"/>
      <c r="L645" s="575"/>
      <c r="M645" s="809"/>
      <c r="N645" s="575"/>
      <c r="O645" s="575"/>
      <c r="P645" s="575"/>
      <c r="Q645" s="575"/>
      <c r="R645" s="575"/>
      <c r="S645" s="575"/>
      <c r="T645" s="809"/>
      <c r="U645" s="575"/>
      <c r="V645" s="575"/>
      <c r="W645" s="575"/>
      <c r="X645" s="575"/>
      <c r="Y645" s="575"/>
      <c r="Z645" s="575"/>
      <c r="AA645" s="809"/>
      <c r="AB645" s="817"/>
      <c r="AC645" s="575"/>
      <c r="AD645" s="575"/>
      <c r="AE645" s="753"/>
      <c r="AF645" s="575"/>
      <c r="AG645" s="588"/>
      <c r="AH645" s="588"/>
      <c r="AI645" s="1013">
        <f t="shared" si="30"/>
        <v>0</v>
      </c>
      <c r="AJ645" s="949">
        <v>0</v>
      </c>
      <c r="AK645" s="581">
        <f t="shared" si="31"/>
        <v>0</v>
      </c>
      <c r="AL645" s="750" t="s">
        <v>1755</v>
      </c>
      <c r="AM645" s="743">
        <f t="shared" si="32"/>
        <v>56</v>
      </c>
    </row>
    <row r="646" spans="1:39" ht="13.2" hidden="1" customHeight="1">
      <c r="A646" s="604" t="s">
        <v>1085</v>
      </c>
      <c r="B646" s="604" t="s">
        <v>1406</v>
      </c>
      <c r="C646" s="614" t="s">
        <v>37</v>
      </c>
      <c r="D646" s="580"/>
      <c r="E646" s="581"/>
      <c r="F646" s="778"/>
      <c r="G646" s="581"/>
      <c r="H646" s="581"/>
      <c r="I646" s="949"/>
      <c r="J646" s="949"/>
      <c r="K646" s="825"/>
      <c r="L646" s="575"/>
      <c r="M646" s="809"/>
      <c r="N646" s="575"/>
      <c r="O646" s="575"/>
      <c r="P646" s="575"/>
      <c r="Q646" s="575"/>
      <c r="R646" s="575"/>
      <c r="S646" s="575"/>
      <c r="T646" s="809"/>
      <c r="U646" s="575"/>
      <c r="V646" s="575"/>
      <c r="W646" s="575"/>
      <c r="X646" s="575"/>
      <c r="Y646" s="575"/>
      <c r="Z646" s="575"/>
      <c r="AA646" s="809"/>
      <c r="AB646" s="817"/>
      <c r="AC646" s="575"/>
      <c r="AD646" s="575"/>
      <c r="AE646" s="753"/>
      <c r="AF646" s="575"/>
      <c r="AG646" s="588"/>
      <c r="AH646" s="588"/>
      <c r="AI646" s="1013">
        <f t="shared" si="30"/>
        <v>0</v>
      </c>
      <c r="AJ646" s="949">
        <v>0</v>
      </c>
      <c r="AK646" s="581">
        <f t="shared" si="31"/>
        <v>0</v>
      </c>
      <c r="AL646" s="750"/>
      <c r="AM646" s="743">
        <f t="shared" si="32"/>
        <v>0</v>
      </c>
    </row>
    <row r="647" spans="1:39" ht="13.2" hidden="1" customHeight="1">
      <c r="A647" s="607" t="s">
        <v>1086</v>
      </c>
      <c r="B647" s="607" t="s">
        <v>1407</v>
      </c>
      <c r="C647" s="690"/>
      <c r="D647" s="580"/>
      <c r="E647" s="581"/>
      <c r="F647" s="778"/>
      <c r="G647" s="581"/>
      <c r="H647" s="581"/>
      <c r="I647" s="949"/>
      <c r="J647" s="949"/>
      <c r="K647" s="825"/>
      <c r="L647" s="575"/>
      <c r="M647" s="809"/>
      <c r="N647" s="575"/>
      <c r="O647" s="575"/>
      <c r="P647" s="575"/>
      <c r="Q647" s="575"/>
      <c r="R647" s="575"/>
      <c r="S647" s="575"/>
      <c r="T647" s="809"/>
      <c r="U647" s="575"/>
      <c r="V647" s="575"/>
      <c r="W647" s="575"/>
      <c r="X647" s="575"/>
      <c r="Y647" s="575"/>
      <c r="Z647" s="575"/>
      <c r="AA647" s="809"/>
      <c r="AB647" s="817"/>
      <c r="AC647" s="575"/>
      <c r="AD647" s="575"/>
      <c r="AE647" s="753"/>
      <c r="AF647" s="575"/>
      <c r="AG647" s="588"/>
      <c r="AH647" s="588"/>
      <c r="AI647" s="1013">
        <f t="shared" si="30"/>
        <v>0</v>
      </c>
      <c r="AJ647" s="949">
        <v>0</v>
      </c>
      <c r="AK647" s="581">
        <f t="shared" si="31"/>
        <v>0</v>
      </c>
      <c r="AL647" s="750" t="s">
        <v>1756</v>
      </c>
      <c r="AM647" s="743">
        <f t="shared" si="32"/>
        <v>80</v>
      </c>
    </row>
    <row r="648" spans="1:39" ht="13.2" hidden="1" customHeight="1">
      <c r="A648" s="604" t="s">
        <v>1087</v>
      </c>
      <c r="B648" s="604" t="s">
        <v>1415</v>
      </c>
      <c r="C648" s="614" t="s">
        <v>37</v>
      </c>
      <c r="D648" s="580"/>
      <c r="E648" s="581"/>
      <c r="F648" s="778"/>
      <c r="G648" s="581"/>
      <c r="H648" s="581"/>
      <c r="I648" s="949"/>
      <c r="J648" s="949"/>
      <c r="K648" s="825"/>
      <c r="L648" s="575"/>
      <c r="M648" s="809"/>
      <c r="N648" s="575"/>
      <c r="O648" s="575"/>
      <c r="P648" s="575"/>
      <c r="Q648" s="575"/>
      <c r="R648" s="575"/>
      <c r="S648" s="575"/>
      <c r="T648" s="809"/>
      <c r="U648" s="575"/>
      <c r="V648" s="575"/>
      <c r="W648" s="575"/>
      <c r="X648" s="575"/>
      <c r="Y648" s="575"/>
      <c r="Z648" s="575"/>
      <c r="AA648" s="809"/>
      <c r="AB648" s="817"/>
      <c r="AC648" s="575"/>
      <c r="AD648" s="575"/>
      <c r="AE648" s="753"/>
      <c r="AF648" s="575"/>
      <c r="AG648" s="588"/>
      <c r="AH648" s="588"/>
      <c r="AI648" s="1013">
        <f t="shared" si="30"/>
        <v>0</v>
      </c>
      <c r="AJ648" s="949">
        <v>0</v>
      </c>
      <c r="AK648" s="581">
        <f t="shared" si="31"/>
        <v>0</v>
      </c>
      <c r="AL648" s="750"/>
      <c r="AM648" s="743">
        <f t="shared" si="32"/>
        <v>0</v>
      </c>
    </row>
    <row r="649" spans="1:39" ht="13.2" hidden="1" customHeight="1">
      <c r="A649" s="607" t="s">
        <v>1088</v>
      </c>
      <c r="B649" s="607" t="s">
        <v>1409</v>
      </c>
      <c r="C649" s="690"/>
      <c r="D649" s="580"/>
      <c r="E649" s="581"/>
      <c r="F649" s="778"/>
      <c r="G649" s="581"/>
      <c r="H649" s="581"/>
      <c r="I649" s="949"/>
      <c r="J649" s="949"/>
      <c r="K649" s="825"/>
      <c r="L649" s="575"/>
      <c r="M649" s="809"/>
      <c r="N649" s="575"/>
      <c r="O649" s="575"/>
      <c r="P649" s="575"/>
      <c r="Q649" s="575"/>
      <c r="R649" s="575"/>
      <c r="S649" s="575"/>
      <c r="T649" s="809"/>
      <c r="U649" s="575"/>
      <c r="V649" s="575"/>
      <c r="W649" s="575"/>
      <c r="X649" s="575"/>
      <c r="Y649" s="575"/>
      <c r="Z649" s="575"/>
      <c r="AA649" s="809"/>
      <c r="AB649" s="817"/>
      <c r="AC649" s="575"/>
      <c r="AD649" s="575"/>
      <c r="AE649" s="753"/>
      <c r="AF649" s="575"/>
      <c r="AG649" s="588"/>
      <c r="AH649" s="588"/>
      <c r="AI649" s="1013">
        <f t="shared" si="30"/>
        <v>0</v>
      </c>
      <c r="AJ649" s="949">
        <v>0</v>
      </c>
      <c r="AK649" s="581">
        <f t="shared" si="31"/>
        <v>0</v>
      </c>
      <c r="AL649" s="750" t="s">
        <v>1755</v>
      </c>
      <c r="AM649" s="743">
        <f t="shared" si="32"/>
        <v>56</v>
      </c>
    </row>
    <row r="650" spans="1:39" ht="13.2" hidden="1" customHeight="1">
      <c r="A650" s="604" t="s">
        <v>1089</v>
      </c>
      <c r="B650" s="604" t="s">
        <v>1416</v>
      </c>
      <c r="C650" s="614" t="s">
        <v>37</v>
      </c>
      <c r="D650" s="580"/>
      <c r="E650" s="581"/>
      <c r="F650" s="778"/>
      <c r="G650" s="581"/>
      <c r="H650" s="581"/>
      <c r="I650" s="949"/>
      <c r="J650" s="949"/>
      <c r="K650" s="825"/>
      <c r="L650" s="575"/>
      <c r="M650" s="809"/>
      <c r="N650" s="575"/>
      <c r="O650" s="575"/>
      <c r="P650" s="575"/>
      <c r="Q650" s="575"/>
      <c r="R650" s="575"/>
      <c r="S650" s="575"/>
      <c r="T650" s="809"/>
      <c r="U650" s="575"/>
      <c r="V650" s="575"/>
      <c r="W650" s="575"/>
      <c r="X650" s="575"/>
      <c r="Y650" s="575"/>
      <c r="Z650" s="575"/>
      <c r="AA650" s="809"/>
      <c r="AB650" s="817"/>
      <c r="AC650" s="575"/>
      <c r="AD650" s="575"/>
      <c r="AE650" s="753"/>
      <c r="AF650" s="575"/>
      <c r="AG650" s="588"/>
      <c r="AH650" s="588"/>
      <c r="AI650" s="1013">
        <f t="shared" si="30"/>
        <v>0</v>
      </c>
      <c r="AJ650" s="949">
        <v>0</v>
      </c>
      <c r="AK650" s="581">
        <f t="shared" si="31"/>
        <v>0</v>
      </c>
      <c r="AL650" s="750"/>
      <c r="AM650" s="743">
        <f t="shared" si="32"/>
        <v>0</v>
      </c>
    </row>
    <row r="651" spans="1:39" ht="13.2" hidden="1" customHeight="1">
      <c r="A651" s="607" t="s">
        <v>1090</v>
      </c>
      <c r="B651" s="607" t="s">
        <v>1417</v>
      </c>
      <c r="C651" s="690"/>
      <c r="D651" s="580"/>
      <c r="E651" s="581"/>
      <c r="F651" s="778"/>
      <c r="G651" s="581"/>
      <c r="H651" s="581"/>
      <c r="I651" s="949"/>
      <c r="J651" s="949"/>
      <c r="K651" s="825"/>
      <c r="L651" s="575"/>
      <c r="M651" s="809"/>
      <c r="N651" s="575"/>
      <c r="O651" s="575"/>
      <c r="P651" s="575"/>
      <c r="Q651" s="575"/>
      <c r="R651" s="575"/>
      <c r="S651" s="575"/>
      <c r="T651" s="809"/>
      <c r="U651" s="575"/>
      <c r="V651" s="575"/>
      <c r="W651" s="575"/>
      <c r="X651" s="575"/>
      <c r="Y651" s="575"/>
      <c r="Z651" s="575"/>
      <c r="AA651" s="809"/>
      <c r="AB651" s="817"/>
      <c r="AC651" s="575"/>
      <c r="AD651" s="575"/>
      <c r="AE651" s="753"/>
      <c r="AF651" s="575"/>
      <c r="AG651" s="588"/>
      <c r="AH651" s="588"/>
      <c r="AI651" s="1013">
        <f t="shared" si="30"/>
        <v>0</v>
      </c>
      <c r="AJ651" s="949">
        <v>0</v>
      </c>
      <c r="AK651" s="581">
        <f t="shared" si="31"/>
        <v>0</v>
      </c>
      <c r="AL651" s="750" t="s">
        <v>1603</v>
      </c>
      <c r="AM651" s="743">
        <f t="shared" si="32"/>
        <v>6</v>
      </c>
    </row>
    <row r="652" spans="1:39" ht="13.2" hidden="1" customHeight="1">
      <c r="A652" s="604" t="s">
        <v>1091</v>
      </c>
      <c r="B652" s="604" t="s">
        <v>1418</v>
      </c>
      <c r="C652" s="614" t="s">
        <v>35</v>
      </c>
      <c r="D652" s="580"/>
      <c r="E652" s="581"/>
      <c r="F652" s="778"/>
      <c r="G652" s="581"/>
      <c r="H652" s="581"/>
      <c r="I652" s="949"/>
      <c r="J652" s="949"/>
      <c r="K652" s="825"/>
      <c r="L652" s="575"/>
      <c r="M652" s="809"/>
      <c r="N652" s="575"/>
      <c r="O652" s="575"/>
      <c r="P652" s="575"/>
      <c r="Q652" s="575"/>
      <c r="R652" s="575"/>
      <c r="S652" s="575"/>
      <c r="T652" s="809"/>
      <c r="U652" s="575"/>
      <c r="V652" s="575"/>
      <c r="W652" s="575"/>
      <c r="X652" s="575"/>
      <c r="Y652" s="575"/>
      <c r="Z652" s="575"/>
      <c r="AA652" s="809"/>
      <c r="AB652" s="817"/>
      <c r="AC652" s="575"/>
      <c r="AD652" s="575"/>
      <c r="AE652" s="753"/>
      <c r="AF652" s="575"/>
      <c r="AG652" s="588"/>
      <c r="AH652" s="588"/>
      <c r="AI652" s="1013">
        <f t="shared" ref="AI652:AI678" si="33">ROUND((SUM(D652:AH652)),2)</f>
        <v>0</v>
      </c>
      <c r="AJ652" s="949">
        <v>0</v>
      </c>
      <c r="AK652" s="581">
        <f t="shared" si="31"/>
        <v>0</v>
      </c>
      <c r="AL652" s="750"/>
      <c r="AM652" s="743">
        <f t="shared" si="32"/>
        <v>0</v>
      </c>
    </row>
    <row r="653" spans="1:39" ht="13.2" hidden="1" customHeight="1">
      <c r="A653" s="607" t="s">
        <v>1092</v>
      </c>
      <c r="B653" s="607" t="s">
        <v>1419</v>
      </c>
      <c r="C653" s="690"/>
      <c r="D653" s="580"/>
      <c r="E653" s="581"/>
      <c r="F653" s="778"/>
      <c r="G653" s="581"/>
      <c r="H653" s="581"/>
      <c r="I653" s="949"/>
      <c r="J653" s="949"/>
      <c r="K653" s="825"/>
      <c r="L653" s="575"/>
      <c r="M653" s="809"/>
      <c r="N653" s="575"/>
      <c r="O653" s="575"/>
      <c r="P653" s="575"/>
      <c r="Q653" s="575"/>
      <c r="R653" s="575"/>
      <c r="S653" s="575"/>
      <c r="T653" s="809"/>
      <c r="U653" s="575"/>
      <c r="V653" s="575"/>
      <c r="W653" s="575"/>
      <c r="X653" s="575"/>
      <c r="Y653" s="575"/>
      <c r="Z653" s="575"/>
      <c r="AA653" s="809"/>
      <c r="AB653" s="817"/>
      <c r="AC653" s="575"/>
      <c r="AD653" s="575"/>
      <c r="AE653" s="753"/>
      <c r="AF653" s="575"/>
      <c r="AG653" s="588"/>
      <c r="AH653" s="588"/>
      <c r="AI653" s="1013">
        <f t="shared" si="33"/>
        <v>0</v>
      </c>
      <c r="AJ653" s="949">
        <v>0</v>
      </c>
      <c r="AK653" s="581">
        <f t="shared" si="31"/>
        <v>0</v>
      </c>
      <c r="AL653" s="750" t="s">
        <v>1603</v>
      </c>
      <c r="AM653" s="743">
        <f t="shared" si="32"/>
        <v>6</v>
      </c>
    </row>
    <row r="654" spans="1:39" ht="13.2" hidden="1" customHeight="1">
      <c r="A654" s="604" t="s">
        <v>1093</v>
      </c>
      <c r="B654" s="604" t="s">
        <v>1420</v>
      </c>
      <c r="C654" s="614" t="s">
        <v>1438</v>
      </c>
      <c r="D654" s="580"/>
      <c r="E654" s="581"/>
      <c r="F654" s="778"/>
      <c r="G654" s="581"/>
      <c r="H654" s="581"/>
      <c r="I654" s="949"/>
      <c r="J654" s="949"/>
      <c r="K654" s="825"/>
      <c r="L654" s="575"/>
      <c r="M654" s="809"/>
      <c r="N654" s="575"/>
      <c r="O654" s="575"/>
      <c r="P654" s="575"/>
      <c r="Q654" s="575"/>
      <c r="R654" s="575"/>
      <c r="S654" s="575"/>
      <c r="T654" s="809"/>
      <c r="U654" s="575"/>
      <c r="V654" s="575"/>
      <c r="W654" s="575"/>
      <c r="X654" s="575"/>
      <c r="Y654" s="575"/>
      <c r="Z654" s="575"/>
      <c r="AA654" s="809"/>
      <c r="AB654" s="817"/>
      <c r="AC654" s="575"/>
      <c r="AD654" s="575"/>
      <c r="AE654" s="753"/>
      <c r="AF654" s="575"/>
      <c r="AG654" s="588"/>
      <c r="AH654" s="588"/>
      <c r="AI654" s="1013">
        <f t="shared" si="33"/>
        <v>0</v>
      </c>
      <c r="AJ654" s="949">
        <v>0</v>
      </c>
      <c r="AK654" s="581">
        <f t="shared" si="31"/>
        <v>0</v>
      </c>
      <c r="AL654" s="750"/>
      <c r="AM654" s="743">
        <f t="shared" si="32"/>
        <v>0</v>
      </c>
    </row>
    <row r="655" spans="1:39" ht="13.2" hidden="1" customHeight="1">
      <c r="A655" s="607" t="s">
        <v>1094</v>
      </c>
      <c r="B655" s="607" t="s">
        <v>1402</v>
      </c>
      <c r="C655" s="690"/>
      <c r="D655" s="580"/>
      <c r="E655" s="581"/>
      <c r="F655" s="778"/>
      <c r="G655" s="581"/>
      <c r="H655" s="581"/>
      <c r="I655" s="949"/>
      <c r="J655" s="949"/>
      <c r="K655" s="825"/>
      <c r="L655" s="575"/>
      <c r="M655" s="809"/>
      <c r="N655" s="575"/>
      <c r="O655" s="575"/>
      <c r="P655" s="575"/>
      <c r="Q655" s="575"/>
      <c r="R655" s="575"/>
      <c r="S655" s="575"/>
      <c r="T655" s="809"/>
      <c r="U655" s="575"/>
      <c r="V655" s="575"/>
      <c r="W655" s="575"/>
      <c r="X655" s="575"/>
      <c r="Y655" s="575"/>
      <c r="Z655" s="575"/>
      <c r="AA655" s="809"/>
      <c r="AB655" s="817"/>
      <c r="AC655" s="575"/>
      <c r="AD655" s="575"/>
      <c r="AE655" s="753"/>
      <c r="AF655" s="575"/>
      <c r="AG655" s="588"/>
      <c r="AH655" s="588"/>
      <c r="AI655" s="1013">
        <f t="shared" si="33"/>
        <v>0</v>
      </c>
      <c r="AJ655" s="949">
        <v>0</v>
      </c>
      <c r="AK655" s="581">
        <f t="shared" si="31"/>
        <v>0</v>
      </c>
      <c r="AL655" s="750" t="s">
        <v>1603</v>
      </c>
      <c r="AM655" s="743">
        <f t="shared" si="32"/>
        <v>6</v>
      </c>
    </row>
    <row r="656" spans="1:39" ht="13.2" hidden="1" customHeight="1">
      <c r="A656" s="604" t="s">
        <v>1095</v>
      </c>
      <c r="B656" s="604" t="s">
        <v>1421</v>
      </c>
      <c r="C656" s="614" t="s">
        <v>35</v>
      </c>
      <c r="D656" s="580"/>
      <c r="E656" s="581"/>
      <c r="F656" s="778"/>
      <c r="G656" s="581"/>
      <c r="H656" s="581"/>
      <c r="I656" s="949"/>
      <c r="J656" s="949"/>
      <c r="K656" s="825"/>
      <c r="L656" s="575"/>
      <c r="M656" s="809"/>
      <c r="N656" s="575"/>
      <c r="O656" s="575"/>
      <c r="P656" s="575"/>
      <c r="Q656" s="575"/>
      <c r="R656" s="575"/>
      <c r="S656" s="575"/>
      <c r="T656" s="809"/>
      <c r="U656" s="575"/>
      <c r="V656" s="575"/>
      <c r="W656" s="575"/>
      <c r="X656" s="575"/>
      <c r="Y656" s="575"/>
      <c r="Z656" s="575"/>
      <c r="AA656" s="809"/>
      <c r="AB656" s="817"/>
      <c r="AC656" s="575"/>
      <c r="AD656" s="575"/>
      <c r="AE656" s="753"/>
      <c r="AF656" s="575"/>
      <c r="AG656" s="588"/>
      <c r="AH656" s="588"/>
      <c r="AI656" s="1013">
        <f t="shared" si="33"/>
        <v>0</v>
      </c>
      <c r="AJ656" s="949">
        <v>0</v>
      </c>
      <c r="AK656" s="581">
        <f t="shared" si="31"/>
        <v>0</v>
      </c>
      <c r="AL656" s="750"/>
      <c r="AM656" s="743">
        <f t="shared" si="32"/>
        <v>0</v>
      </c>
    </row>
    <row r="657" spans="1:39" ht="13.2" hidden="1" customHeight="1">
      <c r="A657" s="607" t="s">
        <v>1096</v>
      </c>
      <c r="B657" s="607" t="s">
        <v>1411</v>
      </c>
      <c r="C657" s="690"/>
      <c r="D657" s="580"/>
      <c r="E657" s="581"/>
      <c r="F657" s="778"/>
      <c r="G657" s="581"/>
      <c r="H657" s="581"/>
      <c r="I657" s="949"/>
      <c r="J657" s="949"/>
      <c r="K657" s="825"/>
      <c r="L657" s="575"/>
      <c r="M657" s="809"/>
      <c r="N657" s="575"/>
      <c r="O657" s="575"/>
      <c r="P657" s="575"/>
      <c r="Q657" s="575"/>
      <c r="R657" s="575"/>
      <c r="S657" s="575"/>
      <c r="T657" s="809"/>
      <c r="U657" s="575"/>
      <c r="V657" s="575"/>
      <c r="W657" s="575"/>
      <c r="X657" s="575"/>
      <c r="Y657" s="575"/>
      <c r="Z657" s="575"/>
      <c r="AA657" s="809"/>
      <c r="AB657" s="817"/>
      <c r="AC657" s="575"/>
      <c r="AD657" s="575"/>
      <c r="AE657" s="753"/>
      <c r="AF657" s="575"/>
      <c r="AG657" s="588"/>
      <c r="AH657" s="588"/>
      <c r="AI657" s="1013">
        <f t="shared" si="33"/>
        <v>0</v>
      </c>
      <c r="AJ657" s="949">
        <v>0</v>
      </c>
      <c r="AK657" s="581">
        <f t="shared" si="31"/>
        <v>0</v>
      </c>
      <c r="AL657" s="750" t="s">
        <v>1603</v>
      </c>
      <c r="AM657" s="743">
        <f t="shared" si="32"/>
        <v>6</v>
      </c>
    </row>
    <row r="658" spans="1:39" ht="13.2" hidden="1" customHeight="1">
      <c r="A658" s="604" t="s">
        <v>1097</v>
      </c>
      <c r="B658" s="604" t="s">
        <v>1422</v>
      </c>
      <c r="C658" s="614" t="s">
        <v>1438</v>
      </c>
      <c r="D658" s="580"/>
      <c r="E658" s="581"/>
      <c r="F658" s="778"/>
      <c r="G658" s="581"/>
      <c r="H658" s="581"/>
      <c r="I658" s="949"/>
      <c r="J658" s="949"/>
      <c r="K658" s="825"/>
      <c r="L658" s="575"/>
      <c r="M658" s="809"/>
      <c r="N658" s="575"/>
      <c r="O658" s="575"/>
      <c r="P658" s="575"/>
      <c r="Q658" s="575"/>
      <c r="R658" s="575"/>
      <c r="S658" s="575"/>
      <c r="T658" s="809"/>
      <c r="U658" s="575"/>
      <c r="V658" s="575"/>
      <c r="W658" s="575"/>
      <c r="X658" s="575"/>
      <c r="Y658" s="575"/>
      <c r="Z658" s="575"/>
      <c r="AA658" s="809"/>
      <c r="AB658" s="817"/>
      <c r="AC658" s="575"/>
      <c r="AD658" s="575"/>
      <c r="AE658" s="753"/>
      <c r="AF658" s="575"/>
      <c r="AG658" s="588"/>
      <c r="AH658" s="588"/>
      <c r="AI658" s="1013">
        <f t="shared" si="33"/>
        <v>0</v>
      </c>
      <c r="AJ658" s="949">
        <v>0</v>
      </c>
      <c r="AK658" s="581">
        <f t="shared" si="31"/>
        <v>0</v>
      </c>
      <c r="AL658" s="750"/>
      <c r="AM658" s="743">
        <f t="shared" si="32"/>
        <v>0</v>
      </c>
    </row>
    <row r="659" spans="1:39" ht="13.2" hidden="1" customHeight="1">
      <c r="A659" s="607" t="s">
        <v>1098</v>
      </c>
      <c r="B659" s="607" t="s">
        <v>1378</v>
      </c>
      <c r="C659" s="690"/>
      <c r="D659" s="580"/>
      <c r="E659" s="581"/>
      <c r="F659" s="778"/>
      <c r="G659" s="581"/>
      <c r="H659" s="581"/>
      <c r="I659" s="949"/>
      <c r="J659" s="949"/>
      <c r="K659" s="825"/>
      <c r="L659" s="575"/>
      <c r="M659" s="809"/>
      <c r="N659" s="575"/>
      <c r="O659" s="575"/>
      <c r="P659" s="575"/>
      <c r="Q659" s="575"/>
      <c r="R659" s="575"/>
      <c r="S659" s="575"/>
      <c r="T659" s="809"/>
      <c r="U659" s="575"/>
      <c r="V659" s="575"/>
      <c r="W659" s="575"/>
      <c r="X659" s="575"/>
      <c r="Y659" s="575"/>
      <c r="Z659" s="575"/>
      <c r="AA659" s="809"/>
      <c r="AB659" s="817"/>
      <c r="AC659" s="575"/>
      <c r="AD659" s="575"/>
      <c r="AE659" s="753"/>
      <c r="AF659" s="575"/>
      <c r="AG659" s="588"/>
      <c r="AH659" s="588"/>
      <c r="AI659" s="1013">
        <f t="shared" si="33"/>
        <v>0</v>
      </c>
      <c r="AJ659" s="949">
        <v>0</v>
      </c>
      <c r="AK659" s="581">
        <f t="shared" si="31"/>
        <v>0</v>
      </c>
      <c r="AL659" s="750" t="s">
        <v>1603</v>
      </c>
      <c r="AM659" s="743">
        <f t="shared" si="32"/>
        <v>6</v>
      </c>
    </row>
    <row r="660" spans="1:39" ht="13.2" hidden="1" customHeight="1">
      <c r="A660" s="604" t="s">
        <v>1099</v>
      </c>
      <c r="B660" s="604" t="s">
        <v>1423</v>
      </c>
      <c r="C660" s="614" t="s">
        <v>35</v>
      </c>
      <c r="D660" s="580"/>
      <c r="E660" s="581"/>
      <c r="F660" s="778"/>
      <c r="G660" s="581"/>
      <c r="H660" s="581"/>
      <c r="I660" s="949"/>
      <c r="J660" s="949"/>
      <c r="K660" s="825"/>
      <c r="L660" s="575"/>
      <c r="M660" s="809"/>
      <c r="N660" s="575"/>
      <c r="O660" s="575"/>
      <c r="P660" s="575"/>
      <c r="Q660" s="575"/>
      <c r="R660" s="575"/>
      <c r="S660" s="575"/>
      <c r="T660" s="809"/>
      <c r="U660" s="575"/>
      <c r="V660" s="575"/>
      <c r="W660" s="575"/>
      <c r="X660" s="575"/>
      <c r="Y660" s="575"/>
      <c r="Z660" s="575"/>
      <c r="AA660" s="809"/>
      <c r="AB660" s="817"/>
      <c r="AC660" s="575"/>
      <c r="AD660" s="575"/>
      <c r="AE660" s="753"/>
      <c r="AF660" s="575"/>
      <c r="AG660" s="588"/>
      <c r="AH660" s="588"/>
      <c r="AI660" s="1013">
        <f t="shared" si="33"/>
        <v>0</v>
      </c>
      <c r="AJ660" s="949">
        <v>0</v>
      </c>
      <c r="AK660" s="581">
        <f t="shared" ref="AK660:AK678" si="34">AI660+AJ660</f>
        <v>0</v>
      </c>
      <c r="AL660" s="750"/>
      <c r="AM660" s="743">
        <f t="shared" ref="AM660:AM679" si="35">AL660-AK660</f>
        <v>0</v>
      </c>
    </row>
    <row r="661" spans="1:39" ht="13.2" hidden="1" customHeight="1">
      <c r="A661" s="492" t="s">
        <v>1100</v>
      </c>
      <c r="B661" s="608" t="s">
        <v>1424</v>
      </c>
      <c r="C661" s="690"/>
      <c r="D661" s="580"/>
      <c r="E661" s="581"/>
      <c r="F661" s="778"/>
      <c r="G661" s="581"/>
      <c r="H661" s="581"/>
      <c r="I661" s="949"/>
      <c r="J661" s="949"/>
      <c r="K661" s="825"/>
      <c r="L661" s="575"/>
      <c r="M661" s="809"/>
      <c r="N661" s="575"/>
      <c r="O661" s="575"/>
      <c r="P661" s="575"/>
      <c r="Q661" s="575"/>
      <c r="R661" s="575"/>
      <c r="S661" s="575"/>
      <c r="T661" s="809"/>
      <c r="U661" s="575"/>
      <c r="V661" s="575"/>
      <c r="W661" s="575"/>
      <c r="X661" s="575"/>
      <c r="Y661" s="575"/>
      <c r="Z661" s="575"/>
      <c r="AA661" s="809"/>
      <c r="AB661" s="817"/>
      <c r="AC661" s="575"/>
      <c r="AD661" s="575"/>
      <c r="AE661" s="753"/>
      <c r="AF661" s="575"/>
      <c r="AG661" s="588"/>
      <c r="AH661" s="588"/>
      <c r="AI661" s="1013">
        <f t="shared" si="33"/>
        <v>0</v>
      </c>
      <c r="AJ661" s="949">
        <v>0</v>
      </c>
      <c r="AK661" s="581">
        <f t="shared" si="34"/>
        <v>0</v>
      </c>
      <c r="AL661" s="750"/>
      <c r="AM661" s="743">
        <f t="shared" si="35"/>
        <v>0</v>
      </c>
    </row>
    <row r="662" spans="1:39" ht="13.2" hidden="1" customHeight="1">
      <c r="A662" s="607" t="s">
        <v>1101</v>
      </c>
      <c r="B662" s="607" t="s">
        <v>1425</v>
      </c>
      <c r="C662" s="690"/>
      <c r="D662" s="580"/>
      <c r="E662" s="581"/>
      <c r="F662" s="778"/>
      <c r="G662" s="581"/>
      <c r="H662" s="581"/>
      <c r="I662" s="949"/>
      <c r="J662" s="949"/>
      <c r="K662" s="825"/>
      <c r="L662" s="575"/>
      <c r="M662" s="809"/>
      <c r="N662" s="575"/>
      <c r="O662" s="575"/>
      <c r="P662" s="575"/>
      <c r="Q662" s="575"/>
      <c r="R662" s="575"/>
      <c r="S662" s="575"/>
      <c r="T662" s="809"/>
      <c r="U662" s="575"/>
      <c r="V662" s="575"/>
      <c r="W662" s="575"/>
      <c r="X662" s="575"/>
      <c r="Y662" s="575"/>
      <c r="Z662" s="575"/>
      <c r="AA662" s="809"/>
      <c r="AB662" s="817"/>
      <c r="AC662" s="575"/>
      <c r="AD662" s="575"/>
      <c r="AE662" s="753"/>
      <c r="AF662" s="575"/>
      <c r="AG662" s="588"/>
      <c r="AH662" s="588"/>
      <c r="AI662" s="1013">
        <f t="shared" si="33"/>
        <v>0</v>
      </c>
      <c r="AJ662" s="949">
        <v>0</v>
      </c>
      <c r="AK662" s="581">
        <f t="shared" si="34"/>
        <v>0</v>
      </c>
      <c r="AL662" s="750" t="s">
        <v>1441</v>
      </c>
      <c r="AM662" s="743">
        <f t="shared" si="35"/>
        <v>1</v>
      </c>
    </row>
    <row r="663" spans="1:39" ht="13.2" hidden="1" customHeight="1">
      <c r="A663" s="604" t="s">
        <v>1102</v>
      </c>
      <c r="B663" s="604" t="s">
        <v>1426</v>
      </c>
      <c r="C663" s="614" t="s">
        <v>1439</v>
      </c>
      <c r="D663" s="580"/>
      <c r="E663" s="581"/>
      <c r="F663" s="778"/>
      <c r="G663" s="581"/>
      <c r="H663" s="581"/>
      <c r="I663" s="949"/>
      <c r="J663" s="949"/>
      <c r="K663" s="825"/>
      <c r="L663" s="575"/>
      <c r="M663" s="809"/>
      <c r="N663" s="575"/>
      <c r="O663" s="575"/>
      <c r="P663" s="575"/>
      <c r="Q663" s="575"/>
      <c r="R663" s="575"/>
      <c r="S663" s="575"/>
      <c r="T663" s="809"/>
      <c r="U663" s="575"/>
      <c r="V663" s="575"/>
      <c r="W663" s="575"/>
      <c r="X663" s="575"/>
      <c r="Y663" s="575"/>
      <c r="Z663" s="575"/>
      <c r="AA663" s="809"/>
      <c r="AB663" s="817"/>
      <c r="AC663" s="575"/>
      <c r="AD663" s="575"/>
      <c r="AE663" s="753"/>
      <c r="AF663" s="575"/>
      <c r="AG663" s="588"/>
      <c r="AH663" s="588"/>
      <c r="AI663" s="1013">
        <f t="shared" si="33"/>
        <v>0</v>
      </c>
      <c r="AJ663" s="949">
        <v>0</v>
      </c>
      <c r="AK663" s="581">
        <f t="shared" si="34"/>
        <v>0</v>
      </c>
      <c r="AL663" s="750"/>
      <c r="AM663" s="743">
        <f t="shared" si="35"/>
        <v>0</v>
      </c>
    </row>
    <row r="664" spans="1:39" ht="13.2" hidden="1" customHeight="1">
      <c r="A664" s="607" t="s">
        <v>1103</v>
      </c>
      <c r="B664" s="607" t="s">
        <v>1427</v>
      </c>
      <c r="C664" s="690"/>
      <c r="D664" s="580"/>
      <c r="E664" s="581"/>
      <c r="F664" s="778"/>
      <c r="G664" s="581"/>
      <c r="H664" s="581"/>
      <c r="I664" s="949"/>
      <c r="J664" s="949"/>
      <c r="K664" s="825"/>
      <c r="L664" s="575"/>
      <c r="M664" s="809"/>
      <c r="N664" s="575"/>
      <c r="O664" s="575"/>
      <c r="P664" s="575"/>
      <c r="Q664" s="575"/>
      <c r="R664" s="575"/>
      <c r="S664" s="575"/>
      <c r="T664" s="809"/>
      <c r="U664" s="575"/>
      <c r="V664" s="575"/>
      <c r="W664" s="575"/>
      <c r="X664" s="575"/>
      <c r="Y664" s="575"/>
      <c r="Z664" s="575"/>
      <c r="AA664" s="809"/>
      <c r="AB664" s="817"/>
      <c r="AC664" s="575"/>
      <c r="AD664" s="575"/>
      <c r="AE664" s="753"/>
      <c r="AF664" s="575"/>
      <c r="AG664" s="588"/>
      <c r="AH664" s="588"/>
      <c r="AI664" s="1013">
        <f t="shared" si="33"/>
        <v>0</v>
      </c>
      <c r="AJ664" s="949">
        <v>0</v>
      </c>
      <c r="AK664" s="581">
        <f t="shared" si="34"/>
        <v>0</v>
      </c>
      <c r="AL664" s="750" t="s">
        <v>1684</v>
      </c>
      <c r="AM664" s="743">
        <f t="shared" si="35"/>
        <v>2</v>
      </c>
    </row>
    <row r="665" spans="1:39" ht="13.2" hidden="1" customHeight="1">
      <c r="A665" s="604" t="s">
        <v>1104</v>
      </c>
      <c r="B665" s="604" t="s">
        <v>1428</v>
      </c>
      <c r="C665" s="614" t="s">
        <v>1440</v>
      </c>
      <c r="D665" s="580"/>
      <c r="E665" s="581"/>
      <c r="F665" s="778"/>
      <c r="G665" s="581"/>
      <c r="H665" s="581"/>
      <c r="I665" s="949"/>
      <c r="J665" s="949"/>
      <c r="K665" s="825"/>
      <c r="L665" s="575"/>
      <c r="M665" s="809"/>
      <c r="N665" s="575"/>
      <c r="O665" s="575"/>
      <c r="P665" s="575"/>
      <c r="Q665" s="575"/>
      <c r="R665" s="575"/>
      <c r="S665" s="575"/>
      <c r="T665" s="809"/>
      <c r="U665" s="575"/>
      <c r="V665" s="575"/>
      <c r="W665" s="575"/>
      <c r="X665" s="575"/>
      <c r="Y665" s="575"/>
      <c r="Z665" s="575"/>
      <c r="AA665" s="809"/>
      <c r="AB665" s="817"/>
      <c r="AC665" s="575"/>
      <c r="AD665" s="575"/>
      <c r="AE665" s="753"/>
      <c r="AF665" s="575"/>
      <c r="AG665" s="588"/>
      <c r="AH665" s="588"/>
      <c r="AI665" s="1013">
        <f t="shared" si="33"/>
        <v>0</v>
      </c>
      <c r="AJ665" s="949">
        <v>0</v>
      </c>
      <c r="AK665" s="581">
        <f t="shared" si="34"/>
        <v>0</v>
      </c>
      <c r="AL665" s="750"/>
      <c r="AM665" s="743">
        <f t="shared" si="35"/>
        <v>0</v>
      </c>
    </row>
    <row r="666" spans="1:39" ht="13.2" hidden="1" customHeight="1">
      <c r="A666" s="607" t="s">
        <v>1105</v>
      </c>
      <c r="B666" s="607" t="s">
        <v>1405</v>
      </c>
      <c r="C666" s="690"/>
      <c r="D666" s="580"/>
      <c r="E666" s="581"/>
      <c r="F666" s="778"/>
      <c r="G666" s="581"/>
      <c r="H666" s="581"/>
      <c r="I666" s="949"/>
      <c r="J666" s="949"/>
      <c r="K666" s="825"/>
      <c r="L666" s="575"/>
      <c r="M666" s="809"/>
      <c r="N666" s="575"/>
      <c r="O666" s="575"/>
      <c r="P666" s="575"/>
      <c r="Q666" s="575"/>
      <c r="R666" s="575"/>
      <c r="S666" s="575"/>
      <c r="T666" s="809"/>
      <c r="U666" s="575"/>
      <c r="V666" s="575"/>
      <c r="W666" s="575"/>
      <c r="X666" s="575"/>
      <c r="Y666" s="575"/>
      <c r="Z666" s="575"/>
      <c r="AA666" s="809"/>
      <c r="AB666" s="817"/>
      <c r="AC666" s="575"/>
      <c r="AD666" s="575"/>
      <c r="AE666" s="753"/>
      <c r="AF666" s="575"/>
      <c r="AG666" s="588"/>
      <c r="AH666" s="588"/>
      <c r="AI666" s="1013">
        <f t="shared" si="33"/>
        <v>0</v>
      </c>
      <c r="AJ666" s="949">
        <v>0</v>
      </c>
      <c r="AK666" s="581">
        <f t="shared" si="34"/>
        <v>0</v>
      </c>
      <c r="AL666" s="750" t="s">
        <v>1757</v>
      </c>
      <c r="AM666" s="743">
        <f t="shared" si="35"/>
        <v>90</v>
      </c>
    </row>
    <row r="667" spans="1:39" ht="13.2" hidden="1" customHeight="1">
      <c r="A667" s="604" t="s">
        <v>1106</v>
      </c>
      <c r="B667" s="604" t="s">
        <v>1406</v>
      </c>
      <c r="C667" s="614" t="s">
        <v>37</v>
      </c>
      <c r="D667" s="580"/>
      <c r="E667" s="581"/>
      <c r="F667" s="778"/>
      <c r="G667" s="581"/>
      <c r="H667" s="581"/>
      <c r="I667" s="949"/>
      <c r="J667" s="949"/>
      <c r="K667" s="825"/>
      <c r="L667" s="575"/>
      <c r="M667" s="809"/>
      <c r="N667" s="575"/>
      <c r="O667" s="575"/>
      <c r="P667" s="575"/>
      <c r="Q667" s="575"/>
      <c r="R667" s="575"/>
      <c r="S667" s="575"/>
      <c r="T667" s="809"/>
      <c r="U667" s="575"/>
      <c r="V667" s="575"/>
      <c r="W667" s="575"/>
      <c r="X667" s="575"/>
      <c r="Y667" s="575"/>
      <c r="Z667" s="575"/>
      <c r="AA667" s="809"/>
      <c r="AB667" s="817"/>
      <c r="AC667" s="575"/>
      <c r="AD667" s="575"/>
      <c r="AE667" s="753"/>
      <c r="AF667" s="575"/>
      <c r="AG667" s="588"/>
      <c r="AH667" s="588"/>
      <c r="AI667" s="1013">
        <f t="shared" si="33"/>
        <v>0</v>
      </c>
      <c r="AJ667" s="949">
        <v>0</v>
      </c>
      <c r="AK667" s="581">
        <f t="shared" si="34"/>
        <v>0</v>
      </c>
      <c r="AL667" s="750"/>
      <c r="AM667" s="743">
        <f t="shared" si="35"/>
        <v>0</v>
      </c>
    </row>
    <row r="668" spans="1:39" ht="13.2" hidden="1" customHeight="1">
      <c r="A668" s="607" t="s">
        <v>1107</v>
      </c>
      <c r="B668" s="607" t="s">
        <v>1407</v>
      </c>
      <c r="C668" s="690"/>
      <c r="D668" s="580"/>
      <c r="E668" s="581"/>
      <c r="F668" s="778"/>
      <c r="G668" s="581"/>
      <c r="H668" s="581"/>
      <c r="I668" s="949"/>
      <c r="J668" s="949"/>
      <c r="K668" s="825"/>
      <c r="L668" s="575"/>
      <c r="M668" s="809"/>
      <c r="N668" s="575"/>
      <c r="O668" s="575"/>
      <c r="P668" s="575"/>
      <c r="Q668" s="575"/>
      <c r="R668" s="575"/>
      <c r="S668" s="575"/>
      <c r="T668" s="809"/>
      <c r="U668" s="575"/>
      <c r="V668" s="575"/>
      <c r="W668" s="575"/>
      <c r="X668" s="575"/>
      <c r="Y668" s="575"/>
      <c r="Z668" s="575"/>
      <c r="AA668" s="809"/>
      <c r="AB668" s="817"/>
      <c r="AC668" s="575"/>
      <c r="AD668" s="575"/>
      <c r="AE668" s="753"/>
      <c r="AF668" s="575"/>
      <c r="AG668" s="588"/>
      <c r="AH668" s="588"/>
      <c r="AI668" s="1013">
        <f t="shared" si="33"/>
        <v>0</v>
      </c>
      <c r="AJ668" s="949">
        <v>0</v>
      </c>
      <c r="AK668" s="581">
        <f t="shared" si="34"/>
        <v>0</v>
      </c>
      <c r="AL668" s="750">
        <v>12</v>
      </c>
      <c r="AM668" s="743">
        <f t="shared" si="35"/>
        <v>12</v>
      </c>
    </row>
    <row r="669" spans="1:39" ht="13.2" hidden="1" customHeight="1">
      <c r="A669" s="604" t="s">
        <v>1108</v>
      </c>
      <c r="B669" s="604" t="s">
        <v>1429</v>
      </c>
      <c r="C669" s="614" t="s">
        <v>37</v>
      </c>
      <c r="D669" s="580"/>
      <c r="E669" s="581"/>
      <c r="F669" s="778"/>
      <c r="G669" s="581"/>
      <c r="H669" s="581"/>
      <c r="I669" s="949"/>
      <c r="J669" s="949"/>
      <c r="K669" s="825"/>
      <c r="L669" s="575"/>
      <c r="M669" s="809"/>
      <c r="N669" s="575"/>
      <c r="O669" s="575"/>
      <c r="P669" s="575"/>
      <c r="Q669" s="575"/>
      <c r="R669" s="575"/>
      <c r="S669" s="575"/>
      <c r="T669" s="809"/>
      <c r="U669" s="575"/>
      <c r="V669" s="575"/>
      <c r="W669" s="575"/>
      <c r="X669" s="575"/>
      <c r="Y669" s="575"/>
      <c r="Z669" s="575"/>
      <c r="AA669" s="809"/>
      <c r="AB669" s="817"/>
      <c r="AC669" s="575"/>
      <c r="AD669" s="575"/>
      <c r="AE669" s="753"/>
      <c r="AF669" s="575"/>
      <c r="AG669" s="588"/>
      <c r="AH669" s="588"/>
      <c r="AI669" s="1013">
        <f t="shared" si="33"/>
        <v>0</v>
      </c>
      <c r="AJ669" s="949">
        <v>0</v>
      </c>
      <c r="AK669" s="581">
        <f t="shared" si="34"/>
        <v>0</v>
      </c>
      <c r="AL669" s="750">
        <v>106</v>
      </c>
      <c r="AM669" s="743">
        <f t="shared" si="35"/>
        <v>106</v>
      </c>
    </row>
    <row r="670" spans="1:39" ht="13.2" hidden="1" customHeight="1">
      <c r="A670" s="604" t="s">
        <v>1109</v>
      </c>
      <c r="B670" s="604" t="s">
        <v>1430</v>
      </c>
      <c r="C670" s="614" t="s">
        <v>37</v>
      </c>
      <c r="D670" s="580"/>
      <c r="E670" s="581"/>
      <c r="F670" s="778"/>
      <c r="G670" s="581"/>
      <c r="H670" s="581"/>
      <c r="I670" s="949"/>
      <c r="J670" s="949"/>
      <c r="K670" s="825"/>
      <c r="L670" s="575"/>
      <c r="M670" s="809"/>
      <c r="N670" s="575"/>
      <c r="O670" s="575"/>
      <c r="P670" s="575"/>
      <c r="Q670" s="575"/>
      <c r="R670" s="575"/>
      <c r="S670" s="575"/>
      <c r="T670" s="809"/>
      <c r="U670" s="575"/>
      <c r="V670" s="575"/>
      <c r="W670" s="575"/>
      <c r="X670" s="575"/>
      <c r="Y670" s="575"/>
      <c r="Z670" s="575"/>
      <c r="AA670" s="809"/>
      <c r="AB670" s="817"/>
      <c r="AC670" s="575"/>
      <c r="AD670" s="575"/>
      <c r="AE670" s="753"/>
      <c r="AF670" s="575"/>
      <c r="AG670" s="588"/>
      <c r="AH670" s="588"/>
      <c r="AI670" s="1013">
        <f t="shared" si="33"/>
        <v>0</v>
      </c>
      <c r="AJ670" s="949">
        <v>0</v>
      </c>
      <c r="AK670" s="581">
        <f t="shared" si="34"/>
        <v>0</v>
      </c>
      <c r="AL670" s="750"/>
      <c r="AM670" s="743">
        <f t="shared" si="35"/>
        <v>0</v>
      </c>
    </row>
    <row r="671" spans="1:39" ht="13.2" hidden="1" customHeight="1">
      <c r="A671" s="607" t="s">
        <v>1110</v>
      </c>
      <c r="B671" s="607" t="s">
        <v>1409</v>
      </c>
      <c r="C671" s="690"/>
      <c r="D671" s="580"/>
      <c r="E671" s="581"/>
      <c r="F671" s="778"/>
      <c r="G671" s="581"/>
      <c r="H671" s="581"/>
      <c r="I671" s="949"/>
      <c r="J671" s="949"/>
      <c r="K671" s="825"/>
      <c r="L671" s="575"/>
      <c r="M671" s="809"/>
      <c r="N671" s="575"/>
      <c r="O671" s="575"/>
      <c r="P671" s="575"/>
      <c r="Q671" s="575"/>
      <c r="R671" s="575"/>
      <c r="S671" s="575"/>
      <c r="T671" s="809"/>
      <c r="U671" s="575"/>
      <c r="V671" s="575"/>
      <c r="W671" s="575"/>
      <c r="X671" s="575"/>
      <c r="Y671" s="575"/>
      <c r="Z671" s="575"/>
      <c r="AA671" s="809"/>
      <c r="AB671" s="817"/>
      <c r="AC671" s="575"/>
      <c r="AD671" s="575"/>
      <c r="AE671" s="753"/>
      <c r="AF671" s="575"/>
      <c r="AG671" s="588"/>
      <c r="AH671" s="588"/>
      <c r="AI671" s="1013">
        <f t="shared" si="33"/>
        <v>0</v>
      </c>
      <c r="AJ671" s="949">
        <v>0</v>
      </c>
      <c r="AK671" s="581">
        <f t="shared" si="34"/>
        <v>0</v>
      </c>
      <c r="AL671" s="750">
        <v>106</v>
      </c>
      <c r="AM671" s="743">
        <f t="shared" si="35"/>
        <v>106</v>
      </c>
    </row>
    <row r="672" spans="1:39" ht="13.2" hidden="1" customHeight="1">
      <c r="A672" s="604" t="s">
        <v>1111</v>
      </c>
      <c r="B672" s="604" t="s">
        <v>1431</v>
      </c>
      <c r="C672" s="614" t="s">
        <v>37</v>
      </c>
      <c r="D672" s="580"/>
      <c r="E672" s="581"/>
      <c r="F672" s="778"/>
      <c r="G672" s="581"/>
      <c r="H672" s="581"/>
      <c r="I672" s="949"/>
      <c r="J672" s="949"/>
      <c r="K672" s="825"/>
      <c r="L672" s="575"/>
      <c r="M672" s="809"/>
      <c r="N672" s="575"/>
      <c r="O672" s="575"/>
      <c r="P672" s="575"/>
      <c r="Q672" s="575"/>
      <c r="R672" s="575"/>
      <c r="S672" s="575"/>
      <c r="T672" s="809"/>
      <c r="U672" s="575"/>
      <c r="V672" s="575"/>
      <c r="W672" s="575"/>
      <c r="X672" s="575"/>
      <c r="Y672" s="575"/>
      <c r="Z672" s="575"/>
      <c r="AA672" s="809"/>
      <c r="AB672" s="817"/>
      <c r="AC672" s="575"/>
      <c r="AD672" s="575"/>
      <c r="AE672" s="753"/>
      <c r="AF672" s="575"/>
      <c r="AG672" s="588"/>
      <c r="AH672" s="588"/>
      <c r="AI672" s="1013">
        <f t="shared" si="33"/>
        <v>0</v>
      </c>
      <c r="AJ672" s="949">
        <v>0</v>
      </c>
      <c r="AK672" s="581">
        <f t="shared" si="34"/>
        <v>0</v>
      </c>
      <c r="AL672" s="750"/>
      <c r="AM672" s="743">
        <f t="shared" si="35"/>
        <v>0</v>
      </c>
    </row>
    <row r="673" spans="1:39" ht="13.2" hidden="1" customHeight="1">
      <c r="A673" s="607" t="s">
        <v>1112</v>
      </c>
      <c r="B673" s="607" t="s">
        <v>1402</v>
      </c>
      <c r="C673" s="690"/>
      <c r="D673" s="580"/>
      <c r="E673" s="581"/>
      <c r="F673" s="778"/>
      <c r="G673" s="581"/>
      <c r="H673" s="581"/>
      <c r="I673" s="949"/>
      <c r="J673" s="949"/>
      <c r="K673" s="825"/>
      <c r="L673" s="575"/>
      <c r="M673" s="809"/>
      <c r="N673" s="575"/>
      <c r="O673" s="575"/>
      <c r="P673" s="575"/>
      <c r="Q673" s="575"/>
      <c r="R673" s="575"/>
      <c r="S673" s="575"/>
      <c r="T673" s="809"/>
      <c r="U673" s="575"/>
      <c r="V673" s="575"/>
      <c r="W673" s="575"/>
      <c r="X673" s="575"/>
      <c r="Y673" s="575"/>
      <c r="Z673" s="575"/>
      <c r="AA673" s="809"/>
      <c r="AB673" s="817"/>
      <c r="AC673" s="575"/>
      <c r="AD673" s="575"/>
      <c r="AE673" s="753"/>
      <c r="AF673" s="575"/>
      <c r="AG673" s="588"/>
      <c r="AH673" s="588"/>
      <c r="AI673" s="1013">
        <f t="shared" si="33"/>
        <v>0</v>
      </c>
      <c r="AJ673" s="949">
        <v>0</v>
      </c>
      <c r="AK673" s="581">
        <f t="shared" si="34"/>
        <v>0</v>
      </c>
      <c r="AL673" s="750">
        <v>5</v>
      </c>
      <c r="AM673" s="743">
        <f t="shared" si="35"/>
        <v>5</v>
      </c>
    </row>
    <row r="674" spans="1:39" ht="13.2" hidden="1" customHeight="1">
      <c r="A674" s="604" t="s">
        <v>1113</v>
      </c>
      <c r="B674" s="604" t="s">
        <v>1403</v>
      </c>
      <c r="C674" s="614" t="s">
        <v>35</v>
      </c>
      <c r="D674" s="580"/>
      <c r="E674" s="581"/>
      <c r="F674" s="778"/>
      <c r="G674" s="581"/>
      <c r="H674" s="581"/>
      <c r="I674" s="949"/>
      <c r="J674" s="949"/>
      <c r="K674" s="825"/>
      <c r="L674" s="575"/>
      <c r="M674" s="809"/>
      <c r="N674" s="575"/>
      <c r="O674" s="575"/>
      <c r="P674" s="575"/>
      <c r="Q674" s="575"/>
      <c r="R674" s="575"/>
      <c r="S674" s="575"/>
      <c r="T674" s="809"/>
      <c r="U674" s="575"/>
      <c r="V674" s="575"/>
      <c r="W674" s="575"/>
      <c r="X674" s="575"/>
      <c r="Y674" s="575"/>
      <c r="Z674" s="575"/>
      <c r="AA674" s="809"/>
      <c r="AB674" s="817"/>
      <c r="AC674" s="575"/>
      <c r="AD674" s="575"/>
      <c r="AE674" s="753"/>
      <c r="AF674" s="575"/>
      <c r="AG674" s="588"/>
      <c r="AH674" s="588"/>
      <c r="AI674" s="1013">
        <f t="shared" si="33"/>
        <v>0</v>
      </c>
      <c r="AJ674" s="949">
        <v>0</v>
      </c>
      <c r="AK674" s="581">
        <f t="shared" si="34"/>
        <v>0</v>
      </c>
      <c r="AL674" s="750"/>
      <c r="AM674" s="743">
        <f t="shared" si="35"/>
        <v>0</v>
      </c>
    </row>
    <row r="675" spans="1:39" ht="13.2" hidden="1" customHeight="1">
      <c r="A675" s="607" t="s">
        <v>1114</v>
      </c>
      <c r="B675" s="607" t="s">
        <v>1432</v>
      </c>
      <c r="C675" s="690"/>
      <c r="D675" s="580"/>
      <c r="E675" s="581"/>
      <c r="F675" s="778"/>
      <c r="G675" s="581"/>
      <c r="H675" s="581"/>
      <c r="I675" s="949"/>
      <c r="J675" s="949"/>
      <c r="K675" s="825"/>
      <c r="L675" s="575"/>
      <c r="M675" s="809"/>
      <c r="N675" s="575"/>
      <c r="O675" s="575"/>
      <c r="P675" s="575"/>
      <c r="Q675" s="575"/>
      <c r="R675" s="575"/>
      <c r="S675" s="575"/>
      <c r="T675" s="809"/>
      <c r="U675" s="575"/>
      <c r="V675" s="575"/>
      <c r="W675" s="575"/>
      <c r="X675" s="575"/>
      <c r="Y675" s="575"/>
      <c r="Z675" s="575"/>
      <c r="AA675" s="809"/>
      <c r="AB675" s="817"/>
      <c r="AC675" s="575"/>
      <c r="AD675" s="575"/>
      <c r="AE675" s="753"/>
      <c r="AF675" s="575"/>
      <c r="AG675" s="588"/>
      <c r="AH675" s="588"/>
      <c r="AI675" s="1013">
        <f t="shared" si="33"/>
        <v>0</v>
      </c>
      <c r="AJ675" s="949">
        <v>0</v>
      </c>
      <c r="AK675" s="581">
        <f t="shared" si="34"/>
        <v>0</v>
      </c>
      <c r="AL675" s="750">
        <v>1</v>
      </c>
      <c r="AM675" s="743">
        <f t="shared" si="35"/>
        <v>1</v>
      </c>
    </row>
    <row r="676" spans="1:39" ht="13.2" hidden="1" customHeight="1">
      <c r="A676" s="604" t="s">
        <v>1115</v>
      </c>
      <c r="B676" s="604" t="s">
        <v>1433</v>
      </c>
      <c r="C676" s="614" t="s">
        <v>63</v>
      </c>
      <c r="D676" s="580"/>
      <c r="E676" s="581"/>
      <c r="F676" s="778"/>
      <c r="G676" s="581"/>
      <c r="H676" s="581"/>
      <c r="I676" s="949"/>
      <c r="J676" s="949"/>
      <c r="K676" s="825"/>
      <c r="L676" s="575"/>
      <c r="M676" s="809"/>
      <c r="N676" s="575"/>
      <c r="O676" s="575"/>
      <c r="P676" s="575"/>
      <c r="Q676" s="575"/>
      <c r="R676" s="575"/>
      <c r="S676" s="575"/>
      <c r="T676" s="809"/>
      <c r="U676" s="575"/>
      <c r="V676" s="575"/>
      <c r="W676" s="575"/>
      <c r="X676" s="575"/>
      <c r="Y676" s="575"/>
      <c r="Z676" s="575"/>
      <c r="AA676" s="809"/>
      <c r="AB676" s="817"/>
      <c r="AC676" s="575"/>
      <c r="AD676" s="575"/>
      <c r="AE676" s="753"/>
      <c r="AF676" s="575"/>
      <c r="AG676" s="588"/>
      <c r="AH676" s="588"/>
      <c r="AI676" s="1013">
        <f t="shared" si="33"/>
        <v>0</v>
      </c>
      <c r="AJ676" s="949">
        <v>0</v>
      </c>
      <c r="AK676" s="581">
        <f t="shared" si="34"/>
        <v>0</v>
      </c>
      <c r="AL676" s="750"/>
      <c r="AM676" s="743">
        <f t="shared" si="35"/>
        <v>0</v>
      </c>
    </row>
    <row r="677" spans="1:39" ht="13.2" hidden="1" customHeight="1">
      <c r="A677" s="607" t="s">
        <v>1116</v>
      </c>
      <c r="B677" s="607" t="s">
        <v>1434</v>
      </c>
      <c r="C677" s="845"/>
      <c r="D677" s="581"/>
      <c r="E677" s="581"/>
      <c r="F677" s="778"/>
      <c r="G677" s="581"/>
      <c r="H677" s="581"/>
      <c r="I677" s="949"/>
      <c r="J677" s="949"/>
      <c r="K677" s="825"/>
      <c r="L677" s="588"/>
      <c r="M677" s="779"/>
      <c r="N677" s="588"/>
      <c r="O677" s="588"/>
      <c r="P677" s="588"/>
      <c r="Q677" s="588"/>
      <c r="R677" s="588"/>
      <c r="S677" s="588"/>
      <c r="T677" s="779"/>
      <c r="U677" s="588"/>
      <c r="V677" s="588"/>
      <c r="W677" s="588"/>
      <c r="X677" s="588"/>
      <c r="Y677" s="588"/>
      <c r="Z677" s="588"/>
      <c r="AA677" s="779"/>
      <c r="AB677" s="865"/>
      <c r="AC677" s="588"/>
      <c r="AD677" s="588"/>
      <c r="AE677" s="926"/>
      <c r="AF677" s="588"/>
      <c r="AG677" s="588"/>
      <c r="AH677" s="588"/>
      <c r="AI677" s="1013">
        <f t="shared" si="33"/>
        <v>0</v>
      </c>
      <c r="AJ677" s="949">
        <v>1</v>
      </c>
      <c r="AK677" s="581">
        <f t="shared" si="34"/>
        <v>1</v>
      </c>
      <c r="AL677" s="750"/>
      <c r="AM677" s="743">
        <f t="shared" si="35"/>
        <v>-1</v>
      </c>
    </row>
    <row r="678" spans="1:39" ht="13.95" hidden="1" customHeight="1">
      <c r="A678" s="620" t="s">
        <v>1117</v>
      </c>
      <c r="B678" s="620" t="s">
        <v>1435</v>
      </c>
      <c r="C678" s="846" t="s">
        <v>63</v>
      </c>
      <c r="D678" s="581"/>
      <c r="E678" s="581"/>
      <c r="F678" s="778"/>
      <c r="G678" s="581"/>
      <c r="H678" s="581"/>
      <c r="I678" s="949"/>
      <c r="J678" s="949"/>
      <c r="K678" s="825"/>
      <c r="L678" s="588"/>
      <c r="M678" s="779"/>
      <c r="N678" s="588"/>
      <c r="O678" s="588"/>
      <c r="P678" s="588"/>
      <c r="Q678" s="588"/>
      <c r="R678" s="588"/>
      <c r="S678" s="588"/>
      <c r="T678" s="779"/>
      <c r="U678" s="588"/>
      <c r="V678" s="588"/>
      <c r="W678" s="588"/>
      <c r="X678" s="588"/>
      <c r="Y678" s="588"/>
      <c r="Z678" s="588"/>
      <c r="AA678" s="779"/>
      <c r="AB678" s="865"/>
      <c r="AC678" s="588"/>
      <c r="AD678" s="588"/>
      <c r="AE678" s="926"/>
      <c r="AF678" s="588"/>
      <c r="AG678" s="588"/>
      <c r="AH678" s="588"/>
      <c r="AI678" s="1013">
        <f t="shared" si="33"/>
        <v>0</v>
      </c>
      <c r="AJ678" s="949">
        <v>2</v>
      </c>
      <c r="AK678" s="581">
        <f t="shared" si="34"/>
        <v>2</v>
      </c>
      <c r="AL678" s="750"/>
      <c r="AM678" s="743">
        <f t="shared" si="35"/>
        <v>-2</v>
      </c>
    </row>
    <row r="679" spans="1:39" ht="13.95" customHeight="1" thickBot="1">
      <c r="A679" s="622"/>
      <c r="B679" s="623" t="s">
        <v>1</v>
      </c>
      <c r="C679" s="592"/>
      <c r="D679" s="847"/>
      <c r="E679" s="847"/>
      <c r="F679" s="849"/>
      <c r="G679" s="848"/>
      <c r="H679" s="848"/>
      <c r="I679" s="847"/>
      <c r="J679" s="848"/>
      <c r="K679" s="1133"/>
      <c r="L679" s="844"/>
      <c r="M679" s="851"/>
      <c r="N679" s="844"/>
      <c r="O679" s="844"/>
      <c r="P679" s="844"/>
      <c r="Q679" s="844"/>
      <c r="R679" s="844"/>
      <c r="S679" s="844"/>
      <c r="T679" s="851"/>
      <c r="U679" s="844"/>
      <c r="V679" s="844"/>
      <c r="W679" s="844"/>
      <c r="X679" s="844"/>
      <c r="Y679" s="844"/>
      <c r="Z679" s="844"/>
      <c r="AA679" s="851"/>
      <c r="AB679" s="1146"/>
      <c r="AC679" s="844"/>
      <c r="AD679" s="844"/>
      <c r="AE679" s="1008"/>
      <c r="AF679" s="844"/>
      <c r="AG679" s="844"/>
      <c r="AH679" s="844"/>
      <c r="AI679" s="1021"/>
      <c r="AJ679" s="745"/>
      <c r="AK679" s="745"/>
      <c r="AL679" s="751">
        <f>AK679/10</f>
        <v>0</v>
      </c>
      <c r="AM679" s="743">
        <f t="shared" si="35"/>
        <v>0</v>
      </c>
    </row>
  </sheetData>
  <mergeCells count="8"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30" orientation="portrait" r:id="rId1"/>
  <colBreaks count="1" manualBreakCount="1">
    <brk id="35" max="1048575" man="1"/>
  </col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Q165"/>
  <sheetViews>
    <sheetView workbookViewId="0">
      <selection sqref="A1:X1"/>
    </sheetView>
  </sheetViews>
  <sheetFormatPr baseColWidth="10" defaultColWidth="11.44140625" defaultRowHeight="13.2"/>
  <cols>
    <col min="1" max="1" width="14.33203125" style="618" customWidth="1"/>
    <col min="2" max="2" width="69.33203125" style="616" customWidth="1"/>
    <col min="3" max="3" width="5" style="559" customWidth="1"/>
    <col min="4" max="5" width="7" style="557" customWidth="1"/>
    <col min="6" max="6" width="7" style="787" customWidth="1"/>
    <col min="7" max="12" width="7" style="557" customWidth="1"/>
    <col min="13" max="13" width="7" style="787" customWidth="1"/>
    <col min="14" max="19" width="7" style="557" customWidth="1"/>
    <col min="20" max="20" width="7" style="787" customWidth="1"/>
    <col min="21" max="24" width="7" style="557" customWidth="1"/>
    <col min="25" max="25" width="7.109375" style="557" customWidth="1"/>
    <col min="26" max="26" width="7" style="557" customWidth="1"/>
    <col min="27" max="27" width="7" style="787" customWidth="1"/>
    <col min="28" max="28" width="7" style="1120" customWidth="1"/>
    <col min="29" max="29" width="7" style="557" customWidth="1"/>
    <col min="30" max="30" width="7" style="558" customWidth="1"/>
    <col min="31" max="31" width="10.109375" style="558" customWidth="1"/>
    <col min="32" max="32" width="7" style="558" customWidth="1"/>
    <col min="33" max="34" width="7" style="558" hidden="1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38" t="s">
        <v>282</v>
      </c>
      <c r="B1" s="1538"/>
      <c r="C1" s="1538"/>
      <c r="D1" s="1538"/>
      <c r="E1" s="1538"/>
      <c r="F1" s="1538"/>
      <c r="G1" s="1538"/>
      <c r="H1" s="1538"/>
      <c r="I1" s="1538"/>
      <c r="J1" s="1538"/>
      <c r="K1" s="1538"/>
      <c r="L1" s="1538"/>
      <c r="M1" s="1538"/>
      <c r="N1" s="1538"/>
      <c r="O1" s="1538"/>
      <c r="P1" s="1538"/>
      <c r="Q1" s="1538"/>
      <c r="R1" s="1538"/>
      <c r="S1" s="1538"/>
      <c r="T1" s="1538"/>
      <c r="U1" s="1538"/>
      <c r="V1" s="1538"/>
      <c r="W1" s="1538"/>
      <c r="X1" s="1538"/>
    </row>
    <row r="2" spans="1:43">
      <c r="A2" s="1539" t="s">
        <v>1789</v>
      </c>
      <c r="B2" s="1539"/>
      <c r="C2" s="1539"/>
      <c r="D2" s="1539"/>
      <c r="E2" s="1539"/>
      <c r="F2" s="1539"/>
      <c r="G2" s="1539"/>
      <c r="H2" s="1539"/>
      <c r="I2" s="1539"/>
      <c r="J2" s="1539"/>
      <c r="K2" s="1539"/>
      <c r="L2" s="1539"/>
      <c r="M2" s="1539"/>
      <c r="N2" s="1539"/>
      <c r="O2" s="1539"/>
      <c r="P2" s="1539"/>
      <c r="Q2" s="1539"/>
      <c r="R2" s="1539"/>
      <c r="S2" s="1539"/>
      <c r="T2" s="1539"/>
      <c r="U2" s="1539"/>
      <c r="V2" s="1539"/>
      <c r="W2" s="1539"/>
      <c r="X2" s="1539"/>
    </row>
    <row r="3" spans="1:43">
      <c r="A3" s="615"/>
    </row>
    <row r="4" spans="1:43">
      <c r="A4" s="617"/>
      <c r="B4" s="1540" t="s">
        <v>1786</v>
      </c>
      <c r="C4" s="1540"/>
      <c r="D4" s="1540"/>
      <c r="E4" s="1540"/>
      <c r="F4" s="1540"/>
      <c r="G4" s="1540"/>
      <c r="H4" s="1540"/>
      <c r="I4" s="1540"/>
      <c r="J4" s="1540"/>
      <c r="K4" s="1540"/>
      <c r="L4" s="1540"/>
    </row>
    <row r="5" spans="1:43" ht="12.75" customHeight="1">
      <c r="A5" s="617"/>
      <c r="B5" s="1541" t="e">
        <f>#REF!</f>
        <v>#REF!</v>
      </c>
      <c r="C5" s="1542"/>
      <c r="D5" s="1542"/>
      <c r="E5" s="1542"/>
      <c r="F5" s="1542"/>
      <c r="G5" s="1542"/>
      <c r="H5" s="1542"/>
      <c r="I5" s="1542"/>
      <c r="J5" s="1542"/>
      <c r="K5" s="1542"/>
      <c r="L5" s="1542"/>
      <c r="M5" s="1542"/>
      <c r="N5" s="1542"/>
      <c r="O5" s="1542"/>
      <c r="P5" s="1542"/>
      <c r="Q5" s="1542"/>
      <c r="R5" s="1542"/>
      <c r="S5" s="1542"/>
      <c r="T5" s="1542"/>
      <c r="U5" s="1542"/>
      <c r="V5" s="1542"/>
      <c r="W5" s="1542"/>
      <c r="X5" s="1542"/>
      <c r="Y5" s="1542"/>
      <c r="Z5" s="1542"/>
      <c r="AA5" s="1542"/>
    </row>
    <row r="6" spans="1:43" ht="13.5" customHeight="1">
      <c r="B6" s="619"/>
      <c r="C6" s="561"/>
    </row>
    <row r="7" spans="1:43" ht="13.5" customHeight="1" thickBot="1">
      <c r="B7" s="619"/>
      <c r="C7" s="561"/>
      <c r="Q7" s="1545" t="s">
        <v>283</v>
      </c>
      <c r="R7" s="1545"/>
      <c r="S7" s="1545"/>
      <c r="T7" s="1545"/>
      <c r="U7" s="1545"/>
      <c r="V7" s="1545"/>
      <c r="W7" s="1546">
        <v>42857</v>
      </c>
      <c r="X7" s="1546"/>
      <c r="Y7" s="1546"/>
      <c r="Z7" s="1546"/>
    </row>
    <row r="8" spans="1:43" ht="13.5" customHeight="1" thickBot="1">
      <c r="B8" s="619"/>
      <c r="C8" s="561"/>
      <c r="D8" s="1071" t="s">
        <v>2072</v>
      </c>
      <c r="E8" s="1071" t="s">
        <v>2045</v>
      </c>
      <c r="F8" s="1070" t="s">
        <v>2039</v>
      </c>
      <c r="G8" s="1071" t="s">
        <v>2040</v>
      </c>
      <c r="H8" s="1071" t="s">
        <v>2041</v>
      </c>
      <c r="I8" s="1071" t="s">
        <v>2042</v>
      </c>
      <c r="J8" s="1071" t="s">
        <v>2043</v>
      </c>
      <c r="K8" s="1071" t="s">
        <v>2044</v>
      </c>
      <c r="L8" s="1071" t="s">
        <v>2045</v>
      </c>
      <c r="M8" s="1070" t="s">
        <v>2039</v>
      </c>
      <c r="N8" s="1071" t="s">
        <v>2040</v>
      </c>
      <c r="O8" s="1071" t="s">
        <v>2041</v>
      </c>
      <c r="P8" s="1071" t="s">
        <v>2042</v>
      </c>
      <c r="Q8" s="1071" t="s">
        <v>2043</v>
      </c>
      <c r="R8" s="1071" t="s">
        <v>2044</v>
      </c>
      <c r="S8" s="1071" t="s">
        <v>2045</v>
      </c>
      <c r="T8" s="1070" t="s">
        <v>2039</v>
      </c>
      <c r="U8" s="1071" t="s">
        <v>2040</v>
      </c>
      <c r="V8" s="1071" t="s">
        <v>2041</v>
      </c>
      <c r="W8" s="1071" t="s">
        <v>2042</v>
      </c>
      <c r="X8" s="1071" t="s">
        <v>2043</v>
      </c>
      <c r="Y8" s="1071" t="s">
        <v>2044</v>
      </c>
      <c r="Z8" s="1071" t="s">
        <v>2045</v>
      </c>
      <c r="AA8" s="1070" t="s">
        <v>2039</v>
      </c>
      <c r="AB8" s="1147" t="s">
        <v>2040</v>
      </c>
      <c r="AC8" s="1071" t="s">
        <v>2041</v>
      </c>
      <c r="AD8" s="1071" t="s">
        <v>2042</v>
      </c>
      <c r="AE8" s="1071" t="s">
        <v>2043</v>
      </c>
      <c r="AF8" s="1071" t="s">
        <v>2044</v>
      </c>
      <c r="AG8" s="1071" t="s">
        <v>2045</v>
      </c>
      <c r="AH8" s="1071" t="s">
        <v>2039</v>
      </c>
      <c r="AI8" s="929"/>
      <c r="AJ8" s="1547" t="s">
        <v>1864</v>
      </c>
      <c r="AK8" s="1548"/>
      <c r="AL8" s="1548"/>
      <c r="AM8" s="1549"/>
      <c r="AN8" s="1547" t="s">
        <v>1865</v>
      </c>
      <c r="AO8" s="1548"/>
      <c r="AP8" s="1548"/>
      <c r="AQ8" s="1549"/>
    </row>
    <row r="9" spans="1:43" ht="13.8" thickBot="1">
      <c r="A9" s="1543" t="s">
        <v>284</v>
      </c>
      <c r="B9" s="1543" t="s">
        <v>19</v>
      </c>
      <c r="C9" s="562"/>
      <c r="D9" s="1142">
        <v>1</v>
      </c>
      <c r="E9" s="1142">
        <f t="shared" ref="E9:AH9" si="0">+D9+1</f>
        <v>2</v>
      </c>
      <c r="F9" s="788">
        <f t="shared" si="0"/>
        <v>3</v>
      </c>
      <c r="G9" s="1142">
        <f t="shared" si="0"/>
        <v>4</v>
      </c>
      <c r="H9" s="1142">
        <f t="shared" si="0"/>
        <v>5</v>
      </c>
      <c r="I9" s="1142">
        <f t="shared" si="0"/>
        <v>6</v>
      </c>
      <c r="J9" s="1142">
        <f t="shared" si="0"/>
        <v>7</v>
      </c>
      <c r="K9" s="1142">
        <f t="shared" si="0"/>
        <v>8</v>
      </c>
      <c r="L9" s="1142">
        <f t="shared" si="0"/>
        <v>9</v>
      </c>
      <c r="M9" s="788">
        <f t="shared" si="0"/>
        <v>10</v>
      </c>
      <c r="N9" s="1142">
        <f t="shared" si="0"/>
        <v>11</v>
      </c>
      <c r="O9" s="1142">
        <f t="shared" si="0"/>
        <v>12</v>
      </c>
      <c r="P9" s="1142">
        <f t="shared" si="0"/>
        <v>13</v>
      </c>
      <c r="Q9" s="1142">
        <f t="shared" si="0"/>
        <v>14</v>
      </c>
      <c r="R9" s="1142">
        <f t="shared" si="0"/>
        <v>15</v>
      </c>
      <c r="S9" s="1142">
        <f t="shared" si="0"/>
        <v>16</v>
      </c>
      <c r="T9" s="788">
        <f t="shared" si="0"/>
        <v>17</v>
      </c>
      <c r="U9" s="1142">
        <f t="shared" si="0"/>
        <v>18</v>
      </c>
      <c r="V9" s="1142">
        <f t="shared" si="0"/>
        <v>19</v>
      </c>
      <c r="W9" s="1142">
        <f t="shared" si="0"/>
        <v>20</v>
      </c>
      <c r="X9" s="1142">
        <f t="shared" si="0"/>
        <v>21</v>
      </c>
      <c r="Y9" s="1142">
        <f t="shared" si="0"/>
        <v>22</v>
      </c>
      <c r="Z9" s="1142">
        <f t="shared" si="0"/>
        <v>23</v>
      </c>
      <c r="AA9" s="788">
        <f t="shared" si="0"/>
        <v>24</v>
      </c>
      <c r="AB9" s="815">
        <f t="shared" si="0"/>
        <v>25</v>
      </c>
      <c r="AC9" s="1142">
        <f t="shared" si="0"/>
        <v>26</v>
      </c>
      <c r="AD9" s="564">
        <f t="shared" si="0"/>
        <v>27</v>
      </c>
      <c r="AE9" s="1142">
        <f t="shared" si="0"/>
        <v>28</v>
      </c>
      <c r="AF9" s="564">
        <f t="shared" si="0"/>
        <v>29</v>
      </c>
      <c r="AG9" s="1142">
        <f t="shared" si="0"/>
        <v>30</v>
      </c>
      <c r="AH9" s="564">
        <f t="shared" si="0"/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44"/>
      <c r="B10" s="1544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816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8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571"/>
      <c r="E11" s="572"/>
      <c r="F11" s="790"/>
      <c r="G11" s="572"/>
      <c r="H11" s="572"/>
      <c r="I11" s="573"/>
      <c r="J11" s="573"/>
      <c r="K11" s="573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862"/>
      <c r="AC11" s="574"/>
      <c r="AD11" s="574"/>
      <c r="AE11" s="574"/>
      <c r="AF11" s="575"/>
      <c r="AG11" s="575"/>
      <c r="AH11" s="575"/>
      <c r="AI11" s="576">
        <f>SUM(D11:AH11)</f>
        <v>0</v>
      </c>
      <c r="AJ11" s="577">
        <v>0</v>
      </c>
      <c r="AK11" s="578">
        <f>AI11-AJ11</f>
        <v>0</v>
      </c>
      <c r="AN11" s="577">
        <v>0</v>
      </c>
      <c r="AO11" s="578">
        <f>AM11-AN11</f>
        <v>0</v>
      </c>
    </row>
    <row r="12" spans="1:43" s="560" customFormat="1">
      <c r="A12" s="604" t="s">
        <v>501</v>
      </c>
      <c r="B12" s="314" t="s">
        <v>33</v>
      </c>
      <c r="C12" s="1141"/>
      <c r="D12" s="580"/>
      <c r="E12" s="581"/>
      <c r="F12" s="778"/>
      <c r="G12" s="581"/>
      <c r="H12" s="581"/>
      <c r="I12" s="949"/>
      <c r="J12" s="949"/>
      <c r="K12" s="949"/>
      <c r="L12" s="949"/>
      <c r="M12" s="778"/>
      <c r="N12" s="949"/>
      <c r="O12" s="949"/>
      <c r="P12" s="949"/>
      <c r="Q12" s="949"/>
      <c r="R12" s="949"/>
      <c r="S12" s="949"/>
      <c r="T12" s="778"/>
      <c r="U12" s="949"/>
      <c r="V12" s="949"/>
      <c r="W12" s="949"/>
      <c r="X12" s="949"/>
      <c r="Y12" s="949"/>
      <c r="Z12" s="949"/>
      <c r="AA12" s="778"/>
      <c r="AB12" s="945"/>
      <c r="AC12" s="583"/>
      <c r="AD12" s="575"/>
      <c r="AE12" s="575"/>
      <c r="AF12" s="575"/>
      <c r="AG12" s="575"/>
      <c r="AH12" s="575"/>
      <c r="AI12" s="576">
        <f t="shared" ref="AI12:AI77" si="1">SUM(D12:AH12)</f>
        <v>0</v>
      </c>
      <c r="AJ12" s="584">
        <v>0</v>
      </c>
      <c r="AK12" s="578">
        <f>AI12-AJ12</f>
        <v>0</v>
      </c>
      <c r="AN12" s="584">
        <v>0</v>
      </c>
      <c r="AO12" s="578">
        <f>AM12-AN12</f>
        <v>0</v>
      </c>
    </row>
    <row r="13" spans="1:43" s="560" customFormat="1" ht="13.8">
      <c r="A13" s="604" t="s">
        <v>1791</v>
      </c>
      <c r="B13" s="320" t="s">
        <v>1806</v>
      </c>
      <c r="C13" s="1140" t="s">
        <v>39</v>
      </c>
      <c r="D13" s="580"/>
      <c r="E13" s="1013"/>
      <c r="F13" s="778"/>
      <c r="G13" s="581"/>
      <c r="H13" s="1011"/>
      <c r="I13" s="580"/>
      <c r="J13" s="580"/>
      <c r="K13" s="580"/>
      <c r="L13" s="580"/>
      <c r="M13" s="778"/>
      <c r="N13" s="580"/>
      <c r="O13" s="580"/>
      <c r="P13" s="580"/>
      <c r="Q13" s="580"/>
      <c r="R13" s="580"/>
      <c r="S13" s="580"/>
      <c r="T13" s="778"/>
      <c r="U13" s="580"/>
      <c r="V13" s="580"/>
      <c r="W13" s="580"/>
      <c r="X13" s="580"/>
      <c r="Y13" s="580"/>
      <c r="Z13" s="580"/>
      <c r="AA13" s="778"/>
      <c r="AB13" s="945"/>
      <c r="AC13" s="583"/>
      <c r="AD13" s="583"/>
      <c r="AE13" s="583"/>
      <c r="AF13" s="580"/>
      <c r="AG13" s="583"/>
      <c r="AH13" s="583"/>
      <c r="AI13" s="576">
        <f t="shared" si="1"/>
        <v>0</v>
      </c>
      <c r="AJ13" s="584">
        <v>1088.27</v>
      </c>
      <c r="AK13" s="578">
        <f>AI13+AJ13</f>
        <v>1088.27</v>
      </c>
      <c r="AL13" s="560">
        <f>1.3*1204</f>
        <v>1565.2</v>
      </c>
      <c r="AM13" s="578">
        <f>AL13-AK13</f>
        <v>476.93000000000006</v>
      </c>
      <c r="AN13" s="584">
        <v>1088.27</v>
      </c>
      <c r="AO13" s="578">
        <f>AM13+AN13</f>
        <v>1565.2</v>
      </c>
      <c r="AP13" s="560">
        <f>1.3*1204</f>
        <v>1565.2</v>
      </c>
      <c r="AQ13" s="578">
        <f>AP13-AO13</f>
        <v>0</v>
      </c>
    </row>
    <row r="14" spans="1:43" s="560" customFormat="1" ht="13.8">
      <c r="A14" s="604" t="s">
        <v>1814</v>
      </c>
      <c r="B14" s="804" t="s">
        <v>1820</v>
      </c>
      <c r="C14" s="798" t="s">
        <v>39</v>
      </c>
      <c r="D14" s="581"/>
      <c r="E14" s="810"/>
      <c r="F14" s="850"/>
      <c r="G14" s="810"/>
      <c r="H14" s="1011"/>
      <c r="I14" s="949"/>
      <c r="J14" s="581"/>
      <c r="K14" s="581"/>
      <c r="L14" s="949"/>
      <c r="M14" s="850"/>
      <c r="N14" s="810"/>
      <c r="O14" s="949"/>
      <c r="P14" s="949"/>
      <c r="Q14" s="949"/>
      <c r="R14" s="949"/>
      <c r="S14" s="949"/>
      <c r="T14" s="828"/>
      <c r="U14" s="949"/>
      <c r="V14" s="949"/>
      <c r="W14" s="949"/>
      <c r="X14" s="949"/>
      <c r="Y14" s="1092">
        <f>3+15</f>
        <v>18</v>
      </c>
      <c r="Z14" s="1092">
        <v>7</v>
      </c>
      <c r="AA14" s="828"/>
      <c r="AB14" s="922"/>
      <c r="AC14" s="949"/>
      <c r="AD14" s="1092">
        <v>15</v>
      </c>
      <c r="AE14" s="949"/>
      <c r="AF14" s="949"/>
      <c r="AG14" s="949"/>
      <c r="AH14" s="786"/>
      <c r="AI14" s="1061">
        <f t="shared" si="1"/>
        <v>40</v>
      </c>
      <c r="AJ14" s="584">
        <v>339.27</v>
      </c>
      <c r="AK14" s="578">
        <f>AI14+AJ14</f>
        <v>379.27</v>
      </c>
      <c r="AL14" s="560">
        <v>1204.5</v>
      </c>
      <c r="AM14" s="578">
        <f t="shared" ref="AM14:AM17" si="2">AL14-AK14</f>
        <v>825.23</v>
      </c>
      <c r="AN14" s="584">
        <v>339.27</v>
      </c>
      <c r="AO14" s="578">
        <f>AM14+AN14</f>
        <v>1164.5</v>
      </c>
      <c r="AP14" s="560">
        <v>1204.5</v>
      </c>
      <c r="AQ14" s="578">
        <f t="shared" ref="AQ14:AQ17" si="3">AP14-AO14</f>
        <v>40</v>
      </c>
    </row>
    <row r="15" spans="1:43" ht="13.8">
      <c r="A15" s="604" t="s">
        <v>1816</v>
      </c>
      <c r="B15" s="804" t="s">
        <v>1821</v>
      </c>
      <c r="C15" s="798" t="s">
        <v>39</v>
      </c>
      <c r="D15" s="581"/>
      <c r="E15" s="810"/>
      <c r="F15" s="860"/>
      <c r="G15" s="566"/>
      <c r="H15" s="1011"/>
      <c r="I15" s="949"/>
      <c r="J15" s="581"/>
      <c r="K15" s="581"/>
      <c r="L15" s="949"/>
      <c r="M15" s="860"/>
      <c r="N15" s="949"/>
      <c r="O15" s="949"/>
      <c r="P15" s="949"/>
      <c r="Q15" s="949"/>
      <c r="R15" s="949"/>
      <c r="S15" s="949"/>
      <c r="T15" s="860"/>
      <c r="U15" s="949"/>
      <c r="V15" s="949"/>
      <c r="W15" s="949"/>
      <c r="X15" s="949"/>
      <c r="Y15" s="566"/>
      <c r="Z15" s="949"/>
      <c r="AA15" s="860"/>
      <c r="AC15" s="949"/>
      <c r="AD15" s="949"/>
      <c r="AE15" s="949"/>
      <c r="AF15" s="949"/>
      <c r="AG15" s="949"/>
      <c r="AH15" s="786"/>
      <c r="AI15" s="576">
        <f t="shared" si="1"/>
        <v>0</v>
      </c>
      <c r="AJ15" s="584">
        <v>340.27</v>
      </c>
      <c r="AK15" s="578">
        <f t="shared" ref="AK15:AK18" si="4">AI15+AJ15</f>
        <v>340.27</v>
      </c>
      <c r="AL15" s="560">
        <v>1205.5</v>
      </c>
      <c r="AM15" s="578">
        <f t="shared" si="2"/>
        <v>865.23</v>
      </c>
      <c r="AN15" s="584">
        <v>340.27</v>
      </c>
      <c r="AO15" s="578">
        <f t="shared" ref="AO15:AO18" si="5">AM15+AN15</f>
        <v>1205.5</v>
      </c>
      <c r="AP15" s="560">
        <v>1205.5</v>
      </c>
      <c r="AQ15" s="578">
        <f t="shared" si="3"/>
        <v>0</v>
      </c>
    </row>
    <row r="16" spans="1:43" s="560" customFormat="1" ht="13.8">
      <c r="A16" s="604" t="s">
        <v>1817</v>
      </c>
      <c r="B16" s="804" t="s">
        <v>1822</v>
      </c>
      <c r="C16" s="798" t="s">
        <v>39</v>
      </c>
      <c r="D16" s="1140"/>
      <c r="E16" s="810"/>
      <c r="F16" s="828"/>
      <c r="G16" s="741"/>
      <c r="H16" s="1011"/>
      <c r="I16" s="949"/>
      <c r="J16" s="581"/>
      <c r="K16" s="581"/>
      <c r="L16" s="949"/>
      <c r="M16" s="828"/>
      <c r="N16" s="949"/>
      <c r="O16" s="949"/>
      <c r="P16" s="949"/>
      <c r="Q16" s="949"/>
      <c r="R16" s="949"/>
      <c r="S16" s="949"/>
      <c r="T16" s="828"/>
      <c r="U16" s="949"/>
      <c r="V16" s="949"/>
      <c r="W16" s="949"/>
      <c r="X16" s="949"/>
      <c r="Y16" s="949"/>
      <c r="Z16" s="949"/>
      <c r="AA16" s="828"/>
      <c r="AB16" s="825"/>
      <c r="AC16" s="949"/>
      <c r="AD16" s="949"/>
      <c r="AE16" s="949"/>
      <c r="AF16" s="949"/>
      <c r="AG16" s="949"/>
      <c r="AH16" s="786"/>
      <c r="AI16" s="576">
        <f t="shared" si="1"/>
        <v>0</v>
      </c>
      <c r="AJ16" s="584">
        <v>341.27</v>
      </c>
      <c r="AK16" s="578">
        <f t="shared" si="4"/>
        <v>341.27</v>
      </c>
      <c r="AL16" s="560">
        <v>1206.5</v>
      </c>
      <c r="AM16" s="578">
        <f t="shared" si="2"/>
        <v>865.23</v>
      </c>
      <c r="AN16" s="584">
        <v>341.27</v>
      </c>
      <c r="AO16" s="578">
        <f t="shared" si="5"/>
        <v>1206.5</v>
      </c>
      <c r="AP16" s="560">
        <v>1206.5</v>
      </c>
      <c r="AQ16" s="578">
        <f t="shared" si="3"/>
        <v>0</v>
      </c>
    </row>
    <row r="17" spans="1:43" s="560" customFormat="1" ht="13.8">
      <c r="A17" s="604" t="s">
        <v>1818</v>
      </c>
      <c r="B17" s="804" t="s">
        <v>1824</v>
      </c>
      <c r="C17" s="798" t="s">
        <v>1823</v>
      </c>
      <c r="E17" s="810"/>
      <c r="F17" s="828"/>
      <c r="G17" s="741"/>
      <c r="H17" s="1011"/>
      <c r="I17" s="949"/>
      <c r="J17" s="581"/>
      <c r="K17" s="581"/>
      <c r="L17" s="949"/>
      <c r="M17" s="828"/>
      <c r="N17" s="949"/>
      <c r="O17" s="949"/>
      <c r="P17" s="949"/>
      <c r="Q17" s="949"/>
      <c r="R17" s="949"/>
      <c r="S17" s="949"/>
      <c r="T17" s="828"/>
      <c r="U17" s="949"/>
      <c r="V17" s="949"/>
      <c r="W17" s="949"/>
      <c r="X17" s="949"/>
      <c r="Y17" s="949"/>
      <c r="Z17" s="949"/>
      <c r="AA17" s="828"/>
      <c r="AB17" s="825"/>
      <c r="AC17" s="949"/>
      <c r="AD17" s="949"/>
      <c r="AF17" s="949"/>
      <c r="AG17" s="949"/>
      <c r="AH17" s="786"/>
      <c r="AI17" s="576">
        <f t="shared" si="1"/>
        <v>0</v>
      </c>
      <c r="AJ17" s="584">
        <v>342.27</v>
      </c>
      <c r="AK17" s="578">
        <f t="shared" si="4"/>
        <v>342.27</v>
      </c>
      <c r="AL17" s="560">
        <v>1207.5</v>
      </c>
      <c r="AM17" s="578">
        <f t="shared" si="2"/>
        <v>865.23</v>
      </c>
      <c r="AN17" s="584">
        <v>342.27</v>
      </c>
      <c r="AO17" s="578">
        <f t="shared" si="5"/>
        <v>1207.5</v>
      </c>
      <c r="AP17" s="560">
        <v>1207.5</v>
      </c>
      <c r="AQ17" s="578">
        <f t="shared" si="3"/>
        <v>0</v>
      </c>
    </row>
    <row r="18" spans="1:43" s="560" customFormat="1" ht="13.8">
      <c r="A18" s="604" t="s">
        <v>1819</v>
      </c>
      <c r="B18" s="804" t="s">
        <v>1815</v>
      </c>
      <c r="C18" s="799" t="s">
        <v>39</v>
      </c>
      <c r="D18" s="800"/>
      <c r="E18" s="1014"/>
      <c r="F18" s="828"/>
      <c r="G18" s="741"/>
      <c r="H18" s="1012"/>
      <c r="I18" s="802"/>
      <c r="J18" s="800"/>
      <c r="K18" s="800"/>
      <c r="L18" s="802"/>
      <c r="M18" s="828"/>
      <c r="N18" s="802"/>
      <c r="O18" s="802"/>
      <c r="P18" s="802"/>
      <c r="Q18" s="802"/>
      <c r="R18" s="802"/>
      <c r="S18" s="802"/>
      <c r="T18" s="828"/>
      <c r="U18" s="802"/>
      <c r="V18" s="802"/>
      <c r="W18" s="802"/>
      <c r="X18" s="802"/>
      <c r="Y18" s="1088">
        <v>18</v>
      </c>
      <c r="Z18" s="1088">
        <v>7</v>
      </c>
      <c r="AA18" s="828"/>
      <c r="AB18" s="826"/>
      <c r="AC18" s="802"/>
      <c r="AD18" s="1088">
        <v>15</v>
      </c>
      <c r="AE18" s="802"/>
      <c r="AF18" s="802"/>
      <c r="AG18" s="802"/>
      <c r="AH18" s="786"/>
      <c r="AI18" s="1061">
        <f t="shared" si="1"/>
        <v>40</v>
      </c>
      <c r="AJ18" s="584">
        <v>340.27</v>
      </c>
      <c r="AK18" s="578">
        <f t="shared" si="4"/>
        <v>380.27</v>
      </c>
      <c r="AL18" s="560">
        <v>1204.5</v>
      </c>
      <c r="AM18" s="578">
        <f>AL18-AK18</f>
        <v>824.23</v>
      </c>
      <c r="AN18" s="584">
        <v>340.27</v>
      </c>
      <c r="AO18" s="578">
        <f t="shared" si="5"/>
        <v>1164.5</v>
      </c>
      <c r="AP18" s="560">
        <v>1204.5</v>
      </c>
      <c r="AQ18" s="578">
        <f>AP18-AO18</f>
        <v>40</v>
      </c>
    </row>
    <row r="19" spans="1:43" s="560" customFormat="1" ht="13.8">
      <c r="A19" s="604" t="s">
        <v>1825</v>
      </c>
      <c r="B19" s="804" t="s">
        <v>1829</v>
      </c>
      <c r="C19" s="799" t="s">
        <v>1828</v>
      </c>
      <c r="D19" s="800"/>
      <c r="E19" s="1014"/>
      <c r="F19" s="828"/>
      <c r="G19" s="741"/>
      <c r="H19" s="1012"/>
      <c r="I19" s="802"/>
      <c r="J19" s="800"/>
      <c r="K19" s="800"/>
      <c r="L19" s="802"/>
      <c r="M19" s="828"/>
      <c r="N19" s="802"/>
      <c r="O19" s="802"/>
      <c r="P19" s="802"/>
      <c r="Q19" s="949"/>
      <c r="R19" s="949"/>
      <c r="S19" s="802"/>
      <c r="T19" s="828"/>
      <c r="U19" s="802"/>
      <c r="V19" s="802"/>
      <c r="W19" s="802"/>
      <c r="X19" s="802"/>
      <c r="Y19" s="802"/>
      <c r="Z19" s="802"/>
      <c r="AA19" s="828"/>
      <c r="AB19" s="826"/>
      <c r="AC19" s="802"/>
      <c r="AD19" s="802"/>
      <c r="AE19" s="802"/>
      <c r="AF19" s="802"/>
      <c r="AG19" s="802"/>
      <c r="AH19" s="786"/>
      <c r="AI19" s="576">
        <f t="shared" si="1"/>
        <v>0</v>
      </c>
      <c r="AJ19" s="811"/>
      <c r="AK19" s="578"/>
      <c r="AM19" s="578"/>
    </row>
    <row r="20" spans="1:43" s="560" customFormat="1" ht="13.8">
      <c r="A20" s="604" t="s">
        <v>1826</v>
      </c>
      <c r="B20" s="804" t="s">
        <v>1830</v>
      </c>
      <c r="C20" s="799" t="s">
        <v>1828</v>
      </c>
      <c r="D20" s="800"/>
      <c r="E20" s="1014"/>
      <c r="F20" s="828"/>
      <c r="G20" s="741"/>
      <c r="H20" s="1012"/>
      <c r="I20" s="802"/>
      <c r="J20" s="800"/>
      <c r="K20" s="800"/>
      <c r="L20" s="802"/>
      <c r="M20" s="828"/>
      <c r="N20" s="802"/>
      <c r="O20" s="802"/>
      <c r="P20" s="802"/>
      <c r="Q20" s="741"/>
      <c r="R20" s="949"/>
      <c r="S20" s="802"/>
      <c r="T20" s="828"/>
      <c r="U20" s="802"/>
      <c r="V20" s="802"/>
      <c r="W20" s="802"/>
      <c r="X20" s="802"/>
      <c r="Y20" s="802"/>
      <c r="Z20" s="802"/>
      <c r="AA20" s="828"/>
      <c r="AB20" s="826"/>
      <c r="AC20" s="802"/>
      <c r="AD20" s="802"/>
      <c r="AE20" s="802"/>
      <c r="AF20" s="802"/>
      <c r="AG20" s="802"/>
      <c r="AH20" s="786"/>
      <c r="AI20" s="576">
        <f t="shared" si="1"/>
        <v>0</v>
      </c>
      <c r="AJ20" s="811"/>
      <c r="AK20" s="578"/>
      <c r="AM20" s="578"/>
    </row>
    <row r="21" spans="1:43" s="560" customFormat="1" ht="13.8">
      <c r="A21" s="604" t="s">
        <v>1827</v>
      </c>
      <c r="B21" s="804" t="s">
        <v>1831</v>
      </c>
      <c r="C21" s="799" t="s">
        <v>36</v>
      </c>
      <c r="D21" s="800"/>
      <c r="E21" s="800"/>
      <c r="F21" s="801"/>
      <c r="G21" s="800"/>
      <c r="H21" s="800"/>
      <c r="I21" s="802"/>
      <c r="J21" s="802"/>
      <c r="L21" s="802"/>
      <c r="M21" s="801"/>
      <c r="N21" s="802"/>
      <c r="O21" s="802"/>
      <c r="P21" s="802"/>
      <c r="Q21" s="741"/>
      <c r="R21" s="949"/>
      <c r="S21" s="802"/>
      <c r="T21" s="801"/>
      <c r="U21" s="802"/>
      <c r="V21" s="802"/>
      <c r="W21" s="802"/>
      <c r="X21" s="802"/>
      <c r="Y21" s="802"/>
      <c r="Z21" s="802"/>
      <c r="AA21" s="801"/>
      <c r="AB21" s="826"/>
      <c r="AC21" s="802"/>
      <c r="AD21" s="802"/>
      <c r="AE21" s="802"/>
      <c r="AF21" s="802"/>
      <c r="AG21" s="802"/>
      <c r="AH21" s="786"/>
      <c r="AI21" s="576">
        <f t="shared" si="1"/>
        <v>0</v>
      </c>
      <c r="AJ21" s="811"/>
      <c r="AK21" s="578"/>
      <c r="AM21" s="578"/>
    </row>
    <row r="22" spans="1:43" s="560" customFormat="1" ht="13.8">
      <c r="A22" s="604" t="s">
        <v>1875</v>
      </c>
      <c r="B22" s="804" t="s">
        <v>1888</v>
      </c>
      <c r="C22" s="799" t="s">
        <v>72</v>
      </c>
      <c r="D22" s="800"/>
      <c r="E22" s="800"/>
      <c r="F22" s="801"/>
      <c r="G22" s="800"/>
      <c r="H22" s="800"/>
      <c r="I22" s="802"/>
      <c r="J22" s="802"/>
      <c r="L22" s="802"/>
      <c r="M22" s="801"/>
      <c r="N22" s="802"/>
      <c r="O22" s="802"/>
      <c r="P22" s="802"/>
      <c r="Q22" s="744"/>
      <c r="R22" s="588"/>
      <c r="S22" s="802"/>
      <c r="T22" s="801"/>
      <c r="U22" s="802"/>
      <c r="V22" s="802"/>
      <c r="W22" s="802"/>
      <c r="X22" s="802"/>
      <c r="Y22" s="802"/>
      <c r="Z22" s="802"/>
      <c r="AA22" s="801"/>
      <c r="AB22" s="826"/>
      <c r="AC22" s="802"/>
      <c r="AD22" s="802"/>
      <c r="AE22" s="802"/>
      <c r="AF22" s="802"/>
      <c r="AG22" s="802"/>
      <c r="AH22" s="786"/>
      <c r="AI22" s="576">
        <f t="shared" si="1"/>
        <v>0</v>
      </c>
      <c r="AJ22" s="811"/>
      <c r="AK22" s="578"/>
      <c r="AM22" s="578"/>
    </row>
    <row r="23" spans="1:43" s="560" customFormat="1" ht="13.8">
      <c r="A23" s="604" t="s">
        <v>1886</v>
      </c>
      <c r="B23" s="804" t="s">
        <v>1887</v>
      </c>
      <c r="C23" s="799" t="s">
        <v>72</v>
      </c>
      <c r="D23" s="800"/>
      <c r="E23" s="800"/>
      <c r="F23" s="801"/>
      <c r="G23" s="800"/>
      <c r="H23" s="800"/>
      <c r="I23" s="802"/>
      <c r="J23" s="802"/>
      <c r="K23" s="802"/>
      <c r="L23" s="802"/>
      <c r="M23" s="801"/>
      <c r="N23" s="802"/>
      <c r="O23" s="802"/>
      <c r="P23" s="802"/>
      <c r="Q23" s="744"/>
      <c r="R23" s="588"/>
      <c r="S23" s="802"/>
      <c r="T23" s="801"/>
      <c r="U23" s="802"/>
      <c r="V23" s="802"/>
      <c r="W23" s="802"/>
      <c r="X23" s="802"/>
      <c r="Y23" s="802"/>
      <c r="Z23" s="802"/>
      <c r="AA23" s="801"/>
      <c r="AB23" s="825"/>
      <c r="AC23" s="802"/>
      <c r="AD23" s="802"/>
      <c r="AE23" s="802"/>
      <c r="AF23" s="802"/>
      <c r="AG23" s="802"/>
      <c r="AH23" s="786"/>
      <c r="AI23" s="576">
        <f t="shared" si="1"/>
        <v>0</v>
      </c>
      <c r="AJ23" s="811"/>
      <c r="AK23" s="578"/>
      <c r="AM23" s="578"/>
    </row>
    <row r="24" spans="1:43" s="560" customFormat="1" ht="13.8">
      <c r="A24" s="604" t="s">
        <v>1890</v>
      </c>
      <c r="B24" s="804" t="s">
        <v>1891</v>
      </c>
      <c r="C24" s="799" t="s">
        <v>72</v>
      </c>
      <c r="D24" s="800"/>
      <c r="E24" s="800"/>
      <c r="F24" s="801"/>
      <c r="G24" s="800"/>
      <c r="H24" s="800"/>
      <c r="I24" s="802"/>
      <c r="J24" s="802"/>
      <c r="K24" s="802"/>
      <c r="L24" s="802"/>
      <c r="M24" s="801"/>
      <c r="N24" s="802"/>
      <c r="O24" s="802"/>
      <c r="P24" s="802"/>
      <c r="Q24" s="744"/>
      <c r="R24" s="588"/>
      <c r="S24" s="802"/>
      <c r="T24" s="801"/>
      <c r="U24" s="802"/>
      <c r="V24" s="802"/>
      <c r="W24" s="802"/>
      <c r="X24" s="802"/>
      <c r="Y24" s="802"/>
      <c r="Z24" s="802"/>
      <c r="AA24" s="801"/>
      <c r="AB24" s="825"/>
      <c r="AC24" s="802"/>
      <c r="AD24" s="802"/>
      <c r="AE24" s="802"/>
      <c r="AF24" s="802"/>
      <c r="AG24" s="802"/>
      <c r="AH24" s="786"/>
      <c r="AI24" s="576">
        <f t="shared" si="1"/>
        <v>0</v>
      </c>
      <c r="AJ24" s="811"/>
      <c r="AK24" s="578"/>
      <c r="AM24" s="578"/>
    </row>
    <row r="25" spans="1:43" s="560" customFormat="1" ht="13.8">
      <c r="A25" s="604" t="s">
        <v>1892</v>
      </c>
      <c r="B25" s="804" t="s">
        <v>1980</v>
      </c>
      <c r="C25" s="799" t="s">
        <v>1945</v>
      </c>
      <c r="D25" s="800"/>
      <c r="E25" s="800"/>
      <c r="F25" s="801"/>
      <c r="H25" s="810"/>
      <c r="I25" s="802"/>
      <c r="J25" s="802"/>
      <c r="K25" s="802"/>
      <c r="L25" s="802"/>
      <c r="M25" s="801"/>
      <c r="N25" s="802"/>
      <c r="O25" s="741"/>
      <c r="P25" s="802"/>
      <c r="Q25" s="802"/>
      <c r="R25" s="949"/>
      <c r="S25" s="802"/>
      <c r="T25" s="801"/>
      <c r="U25" s="802"/>
      <c r="V25" s="802"/>
      <c r="W25" s="802"/>
      <c r="X25" s="802"/>
      <c r="Y25" s="802"/>
      <c r="Z25" s="802"/>
      <c r="AA25" s="801"/>
      <c r="AB25" s="934"/>
      <c r="AC25" s="802"/>
      <c r="AD25" s="802"/>
      <c r="AE25" s="802"/>
      <c r="AF25" s="802"/>
      <c r="AG25" s="802"/>
      <c r="AH25" s="786"/>
      <c r="AI25" s="576">
        <f t="shared" si="1"/>
        <v>0</v>
      </c>
      <c r="AJ25" s="811"/>
      <c r="AK25" s="578"/>
      <c r="AM25" s="578"/>
    </row>
    <row r="26" spans="1:43" s="560" customFormat="1" ht="13.8">
      <c r="A26" s="769" t="s">
        <v>1894</v>
      </c>
      <c r="B26" s="804" t="s">
        <v>2014</v>
      </c>
      <c r="C26" s="799" t="s">
        <v>2015</v>
      </c>
      <c r="D26" s="800"/>
      <c r="E26" s="800"/>
      <c r="F26" s="801"/>
      <c r="G26" s="800"/>
      <c r="H26" s="800"/>
      <c r="I26" s="802"/>
      <c r="J26" s="802"/>
      <c r="K26" s="802"/>
      <c r="L26" s="802"/>
      <c r="M26" s="801"/>
      <c r="N26" s="802"/>
      <c r="O26" s="1053"/>
      <c r="P26" s="802"/>
      <c r="Q26" s="741"/>
      <c r="R26" s="949"/>
      <c r="S26" s="802"/>
      <c r="T26" s="801"/>
      <c r="U26" s="802"/>
      <c r="V26" s="802"/>
      <c r="W26" s="802"/>
      <c r="X26" s="802"/>
      <c r="Y26" s="802"/>
      <c r="Z26" s="802"/>
      <c r="AA26" s="801"/>
      <c r="AB26" s="934"/>
      <c r="AC26" s="802"/>
      <c r="AD26" s="802"/>
      <c r="AE26" s="802"/>
      <c r="AF26" s="802"/>
      <c r="AG26" s="802"/>
      <c r="AH26" s="786"/>
      <c r="AI26" s="576">
        <f t="shared" si="1"/>
        <v>0</v>
      </c>
      <c r="AJ26" s="811"/>
      <c r="AK26" s="578"/>
      <c r="AM26" s="578"/>
    </row>
    <row r="27" spans="1:43" s="560" customFormat="1" ht="13.8">
      <c r="A27" s="769" t="s">
        <v>1896</v>
      </c>
      <c r="B27" s="804" t="s">
        <v>2057</v>
      </c>
      <c r="C27" s="799" t="s">
        <v>2015</v>
      </c>
      <c r="D27" s="800"/>
      <c r="E27" s="800"/>
      <c r="F27" s="801"/>
      <c r="G27" s="800"/>
      <c r="H27" s="800"/>
      <c r="I27" s="802"/>
      <c r="J27" s="802"/>
      <c r="K27" s="802"/>
      <c r="L27" s="802"/>
      <c r="M27" s="801"/>
      <c r="N27" s="802"/>
      <c r="O27" s="1053"/>
      <c r="P27" s="802"/>
      <c r="Q27" s="741"/>
      <c r="R27" s="949"/>
      <c r="S27" s="802"/>
      <c r="T27" s="801"/>
      <c r="U27" s="802"/>
      <c r="V27" s="802"/>
      <c r="W27" s="802"/>
      <c r="X27" s="802"/>
      <c r="Y27" s="802"/>
      <c r="Z27" s="802"/>
      <c r="AA27" s="801"/>
      <c r="AB27" s="934"/>
      <c r="AC27" s="802"/>
      <c r="AD27" s="802"/>
      <c r="AE27" s="802"/>
      <c r="AF27" s="802"/>
      <c r="AG27" s="802"/>
      <c r="AH27" s="786"/>
      <c r="AI27" s="576">
        <f t="shared" si="1"/>
        <v>0</v>
      </c>
      <c r="AJ27" s="811"/>
      <c r="AK27" s="578"/>
      <c r="AM27" s="578"/>
    </row>
    <row r="28" spans="1:43" s="560" customFormat="1" ht="13.8">
      <c r="A28" s="769" t="s">
        <v>1898</v>
      </c>
      <c r="B28" s="804" t="s">
        <v>2058</v>
      </c>
      <c r="C28" s="799" t="s">
        <v>2056</v>
      </c>
      <c r="D28" s="800"/>
      <c r="E28" s="800"/>
      <c r="F28" s="801"/>
      <c r="G28" s="800"/>
      <c r="H28" s="800"/>
      <c r="I28" s="802"/>
      <c r="J28" s="802"/>
      <c r="K28" s="802"/>
      <c r="L28" s="802"/>
      <c r="M28" s="801"/>
      <c r="N28" s="802"/>
      <c r="O28" s="1053"/>
      <c r="P28" s="802"/>
      <c r="Q28" s="741"/>
      <c r="R28" s="949"/>
      <c r="S28" s="802"/>
      <c r="T28" s="801"/>
      <c r="U28" s="802"/>
      <c r="V28" s="802"/>
      <c r="W28" s="802"/>
      <c r="X28" s="802"/>
      <c r="Y28" s="802"/>
      <c r="Z28" s="802"/>
      <c r="AA28" s="801"/>
      <c r="AB28" s="934"/>
      <c r="AC28" s="802"/>
      <c r="AD28" s="802"/>
      <c r="AE28" s="802"/>
      <c r="AF28" s="802"/>
      <c r="AG28" s="802"/>
      <c r="AH28" s="786"/>
      <c r="AI28" s="576">
        <f t="shared" si="1"/>
        <v>0</v>
      </c>
      <c r="AJ28" s="811"/>
      <c r="AK28" s="578"/>
      <c r="AM28" s="578"/>
    </row>
    <row r="29" spans="1:43" s="560" customFormat="1" ht="13.2" customHeight="1">
      <c r="A29" s="1148" t="s">
        <v>1900</v>
      </c>
      <c r="B29" s="804" t="s">
        <v>2088</v>
      </c>
      <c r="C29" s="799" t="s">
        <v>2089</v>
      </c>
      <c r="D29" s="1136">
        <v>50</v>
      </c>
      <c r="E29" s="800"/>
      <c r="F29" s="801"/>
      <c r="G29" s="800"/>
      <c r="H29" s="800"/>
      <c r="I29" s="802"/>
      <c r="J29" s="802"/>
      <c r="K29" s="802"/>
      <c r="L29" s="802"/>
      <c r="M29" s="801"/>
      <c r="N29" s="802"/>
      <c r="O29" s="1053"/>
      <c r="P29" s="802"/>
      <c r="Q29" s="741"/>
      <c r="R29" s="949"/>
      <c r="S29" s="802"/>
      <c r="T29" s="801"/>
      <c r="U29" s="1088">
        <v>50</v>
      </c>
      <c r="V29" s="802"/>
      <c r="W29" s="802"/>
      <c r="X29" s="802"/>
      <c r="Y29" s="802"/>
      <c r="Z29" s="802"/>
      <c r="AA29" s="801"/>
      <c r="AB29" s="1149"/>
      <c r="AC29" s="802"/>
      <c r="AD29" s="802"/>
      <c r="AE29" s="802"/>
      <c r="AF29" s="802"/>
      <c r="AG29" s="802"/>
      <c r="AH29" s="786"/>
      <c r="AI29" s="1061">
        <f t="shared" si="1"/>
        <v>100</v>
      </c>
      <c r="AJ29" s="811"/>
      <c r="AK29" s="578"/>
      <c r="AM29" s="578"/>
    </row>
    <row r="30" spans="1:43" s="560" customFormat="1" ht="13.2" customHeight="1">
      <c r="A30" s="1148" t="s">
        <v>1902</v>
      </c>
      <c r="B30" s="804" t="s">
        <v>2090</v>
      </c>
      <c r="C30" s="799" t="s">
        <v>36</v>
      </c>
      <c r="D30" s="800"/>
      <c r="E30" s="800"/>
      <c r="F30" s="801"/>
      <c r="G30" s="800"/>
      <c r="H30" s="800"/>
      <c r="I30" s="802"/>
      <c r="J30" s="802"/>
      <c r="K30" s="802"/>
      <c r="L30" s="802"/>
      <c r="M30" s="801"/>
      <c r="N30" s="802"/>
      <c r="O30" s="1053"/>
      <c r="P30" s="802"/>
      <c r="Q30" s="741"/>
      <c r="R30" s="949"/>
      <c r="S30" s="802"/>
      <c r="T30" s="801"/>
      <c r="U30" s="1088">
        <v>107</v>
      </c>
      <c r="V30" s="802"/>
      <c r="W30" s="802"/>
      <c r="X30" s="802"/>
      <c r="Y30" s="802"/>
      <c r="Z30" s="802"/>
      <c r="AA30" s="801"/>
      <c r="AB30" s="1149"/>
      <c r="AC30" s="802"/>
      <c r="AD30" s="802"/>
      <c r="AE30" s="802"/>
      <c r="AF30" s="802"/>
      <c r="AG30" s="802"/>
      <c r="AH30" s="786"/>
      <c r="AI30" s="1061">
        <f t="shared" si="1"/>
        <v>107</v>
      </c>
      <c r="AJ30" s="811"/>
      <c r="AK30" s="578"/>
      <c r="AM30" s="578"/>
    </row>
    <row r="31" spans="1:43" s="560" customFormat="1" ht="13.2" customHeight="1">
      <c r="A31" s="1148" t="s">
        <v>1904</v>
      </c>
      <c r="B31" s="804" t="s">
        <v>2091</v>
      </c>
      <c r="C31" s="799" t="s">
        <v>36</v>
      </c>
      <c r="D31" s="1136">
        <f>31*2</f>
        <v>62</v>
      </c>
      <c r="E31" s="800"/>
      <c r="F31" s="801"/>
      <c r="G31" s="800"/>
      <c r="H31" s="800"/>
      <c r="I31" s="802"/>
      <c r="J31" s="802"/>
      <c r="K31" s="802"/>
      <c r="L31" s="802"/>
      <c r="M31" s="801"/>
      <c r="N31" s="802"/>
      <c r="O31" s="1053"/>
      <c r="P31" s="802"/>
      <c r="Q31" s="741"/>
      <c r="R31" s="949"/>
      <c r="S31" s="802"/>
      <c r="T31" s="801"/>
      <c r="U31" s="1088">
        <v>58</v>
      </c>
      <c r="V31" s="802"/>
      <c r="W31" s="802"/>
      <c r="X31" s="802"/>
      <c r="Y31" s="802"/>
      <c r="Z31" s="802"/>
      <c r="AA31" s="801"/>
      <c r="AB31" s="1149"/>
      <c r="AC31" s="802"/>
      <c r="AD31" s="802"/>
      <c r="AE31" s="802"/>
      <c r="AF31" s="802"/>
      <c r="AG31" s="802"/>
      <c r="AH31" s="786"/>
      <c r="AI31" s="1061">
        <f t="shared" si="1"/>
        <v>120</v>
      </c>
      <c r="AJ31" s="811"/>
      <c r="AK31" s="578"/>
      <c r="AM31" s="578"/>
    </row>
    <row r="32" spans="1:43" s="560" customFormat="1" ht="13.8">
      <c r="A32" s="1055" t="s">
        <v>1947</v>
      </c>
      <c r="B32" s="1056" t="s">
        <v>1188</v>
      </c>
      <c r="C32" s="799"/>
      <c r="D32" s="800"/>
      <c r="E32" s="800"/>
      <c r="F32" s="801"/>
      <c r="G32" s="800"/>
      <c r="H32" s="800"/>
      <c r="I32" s="802"/>
      <c r="J32" s="802"/>
      <c r="K32" s="802"/>
      <c r="L32" s="802"/>
      <c r="M32" s="801"/>
      <c r="N32" s="802"/>
      <c r="O32" s="802"/>
      <c r="P32" s="802"/>
      <c r="Q32" s="741"/>
      <c r="R32" s="949"/>
      <c r="S32" s="802"/>
      <c r="T32" s="801"/>
      <c r="U32" s="802"/>
      <c r="V32" s="802"/>
      <c r="W32" s="802"/>
      <c r="X32" s="802"/>
      <c r="Y32" s="802"/>
      <c r="Z32" s="802"/>
      <c r="AA32" s="801"/>
      <c r="AB32" s="826"/>
      <c r="AC32" s="802"/>
      <c r="AD32" s="802"/>
      <c r="AE32" s="802"/>
      <c r="AF32" s="802"/>
      <c r="AG32" s="802"/>
      <c r="AH32" s="786"/>
      <c r="AI32" s="576">
        <f t="shared" si="1"/>
        <v>0</v>
      </c>
      <c r="AJ32" s="811"/>
      <c r="AK32" s="578"/>
      <c r="AM32" s="578"/>
    </row>
    <row r="33" spans="1:39" s="560" customFormat="1" ht="13.8">
      <c r="A33" s="1055" t="s">
        <v>1948</v>
      </c>
      <c r="B33" s="1056" t="s">
        <v>1834</v>
      </c>
      <c r="C33" s="799"/>
      <c r="D33" s="800"/>
      <c r="E33" s="800"/>
      <c r="F33" s="801"/>
      <c r="G33" s="800"/>
      <c r="H33" s="800"/>
      <c r="I33" s="802"/>
      <c r="J33" s="802"/>
      <c r="K33" s="802"/>
      <c r="L33" s="802"/>
      <c r="M33" s="801"/>
      <c r="N33" s="802"/>
      <c r="O33" s="802"/>
      <c r="P33" s="802"/>
      <c r="Q33" s="741"/>
      <c r="R33" s="949"/>
      <c r="S33" s="802"/>
      <c r="T33" s="801"/>
      <c r="U33" s="802"/>
      <c r="V33" s="802"/>
      <c r="W33" s="802"/>
      <c r="X33" s="802"/>
      <c r="Y33" s="802"/>
      <c r="Z33" s="802"/>
      <c r="AA33" s="801"/>
      <c r="AB33" s="826"/>
      <c r="AC33" s="802"/>
      <c r="AD33" s="802"/>
      <c r="AE33" s="802"/>
      <c r="AF33" s="802"/>
      <c r="AG33" s="802"/>
      <c r="AH33" s="786"/>
      <c r="AI33" s="576">
        <f t="shared" si="1"/>
        <v>0</v>
      </c>
      <c r="AJ33" s="811"/>
      <c r="AK33" s="578"/>
      <c r="AM33" s="578"/>
    </row>
    <row r="34" spans="1:39" s="560" customFormat="1" ht="13.8">
      <c r="A34" s="940" t="s">
        <v>1949</v>
      </c>
      <c r="B34" s="804" t="s">
        <v>1835</v>
      </c>
      <c r="C34" s="799" t="s">
        <v>39</v>
      </c>
      <c r="D34" s="800"/>
      <c r="E34" s="800"/>
      <c r="F34" s="801"/>
      <c r="G34" s="800"/>
      <c r="H34" s="800"/>
      <c r="I34" s="802"/>
      <c r="J34" s="802"/>
      <c r="K34" s="802"/>
      <c r="L34" s="802"/>
      <c r="M34" s="801"/>
      <c r="N34" s="802"/>
      <c r="O34" s="802"/>
      <c r="Q34" s="821"/>
      <c r="R34" s="949"/>
      <c r="S34" s="802"/>
      <c r="T34" s="801"/>
      <c r="U34" s="802"/>
      <c r="V34" s="802"/>
      <c r="W34" s="802"/>
      <c r="X34" s="802"/>
      <c r="Y34" s="802"/>
      <c r="Z34" s="802"/>
      <c r="AA34" s="801"/>
      <c r="AB34" s="826"/>
      <c r="AC34" s="802"/>
      <c r="AD34" s="802"/>
      <c r="AE34" s="802"/>
      <c r="AF34" s="802"/>
      <c r="AG34" s="802"/>
      <c r="AH34" s="786"/>
      <c r="AI34" s="576">
        <f t="shared" si="1"/>
        <v>0</v>
      </c>
      <c r="AJ34" s="811"/>
      <c r="AK34" s="578"/>
      <c r="AM34" s="578"/>
    </row>
    <row r="35" spans="1:39" s="560" customFormat="1" ht="13.8">
      <c r="A35" s="940" t="s">
        <v>1950</v>
      </c>
      <c r="B35" s="804" t="s">
        <v>1876</v>
      </c>
      <c r="C35" s="799"/>
      <c r="D35" s="800"/>
      <c r="E35" s="800"/>
      <c r="F35" s="801"/>
      <c r="G35" s="800"/>
      <c r="H35" s="800"/>
      <c r="I35" s="802"/>
      <c r="J35" s="802"/>
      <c r="K35" s="802"/>
      <c r="L35" s="802"/>
      <c r="M35" s="801"/>
      <c r="N35" s="802"/>
      <c r="O35" s="802"/>
      <c r="Q35" s="821"/>
      <c r="R35" s="949"/>
      <c r="S35" s="802"/>
      <c r="T35" s="801"/>
      <c r="U35" s="802"/>
      <c r="V35" s="802"/>
      <c r="W35" s="802"/>
      <c r="X35" s="802"/>
      <c r="Y35" s="802"/>
      <c r="Z35" s="802"/>
      <c r="AA35" s="801"/>
      <c r="AB35" s="826"/>
      <c r="AC35" s="802"/>
      <c r="AD35" s="802"/>
      <c r="AE35" s="802"/>
      <c r="AF35" s="802"/>
      <c r="AG35" s="802"/>
      <c r="AH35" s="786"/>
      <c r="AI35" s="576">
        <f t="shared" si="1"/>
        <v>0</v>
      </c>
      <c r="AJ35" s="811"/>
      <c r="AK35" s="578"/>
      <c r="AM35" s="578"/>
    </row>
    <row r="36" spans="1:39" s="560" customFormat="1" ht="13.8">
      <c r="A36" s="940" t="s">
        <v>1951</v>
      </c>
      <c r="B36" s="804" t="s">
        <v>1877</v>
      </c>
      <c r="C36" s="799"/>
      <c r="D36" s="800"/>
      <c r="E36" s="800"/>
      <c r="F36" s="801"/>
      <c r="G36" s="800"/>
      <c r="H36" s="800"/>
      <c r="I36" s="802"/>
      <c r="J36" s="802"/>
      <c r="K36" s="802"/>
      <c r="L36" s="802"/>
      <c r="M36" s="801"/>
      <c r="N36" s="802"/>
      <c r="O36" s="802"/>
      <c r="Q36" s="821"/>
      <c r="R36" s="949"/>
      <c r="S36" s="802"/>
      <c r="T36" s="801"/>
      <c r="U36" s="802"/>
      <c r="V36" s="802"/>
      <c r="W36" s="802"/>
      <c r="X36" s="802"/>
      <c r="Y36" s="802"/>
      <c r="Z36" s="802"/>
      <c r="AA36" s="801"/>
      <c r="AB36" s="826"/>
      <c r="AC36" s="802"/>
      <c r="AD36" s="802"/>
      <c r="AE36" s="802"/>
      <c r="AF36" s="802"/>
      <c r="AG36" s="802"/>
      <c r="AH36" s="786"/>
      <c r="AI36" s="576">
        <f t="shared" si="1"/>
        <v>0</v>
      </c>
      <c r="AJ36" s="811"/>
      <c r="AK36" s="578"/>
      <c r="AM36" s="578"/>
    </row>
    <row r="37" spans="1:39" s="560" customFormat="1" ht="13.8">
      <c r="A37" s="940" t="s">
        <v>1952</v>
      </c>
      <c r="B37" s="804" t="s">
        <v>1878</v>
      </c>
      <c r="C37" s="799" t="s">
        <v>39</v>
      </c>
      <c r="D37" s="800"/>
      <c r="E37" s="800"/>
      <c r="F37" s="801"/>
      <c r="G37" s="800"/>
      <c r="H37" s="800"/>
      <c r="I37" s="802"/>
      <c r="J37" s="949"/>
      <c r="K37" s="802"/>
      <c r="L37" s="802"/>
      <c r="M37" s="801"/>
      <c r="N37" s="802"/>
      <c r="O37" s="802"/>
      <c r="Q37" s="821"/>
      <c r="R37" s="949"/>
      <c r="S37" s="802"/>
      <c r="T37" s="801"/>
      <c r="U37" s="802"/>
      <c r="V37" s="802"/>
      <c r="W37" s="802"/>
      <c r="X37" s="802"/>
      <c r="Y37" s="802"/>
      <c r="Z37" s="802"/>
      <c r="AA37" s="801"/>
      <c r="AB37" s="826"/>
      <c r="AC37" s="802"/>
      <c r="AD37" s="802"/>
      <c r="AE37" s="802"/>
      <c r="AF37" s="802"/>
      <c r="AG37" s="802"/>
      <c r="AH37" s="786"/>
      <c r="AI37" s="576">
        <f t="shared" si="1"/>
        <v>0</v>
      </c>
      <c r="AJ37" s="811"/>
      <c r="AK37" s="578"/>
      <c r="AM37" s="578"/>
    </row>
    <row r="38" spans="1:39" s="560" customFormat="1" ht="13.8">
      <c r="A38" s="940" t="s">
        <v>1953</v>
      </c>
      <c r="B38" s="804" t="s">
        <v>1879</v>
      </c>
      <c r="C38" s="799" t="s">
        <v>36</v>
      </c>
      <c r="D38" s="800"/>
      <c r="E38" s="800"/>
      <c r="F38" s="801"/>
      <c r="G38" s="800"/>
      <c r="H38" s="800"/>
      <c r="I38" s="802"/>
      <c r="J38" s="941"/>
      <c r="K38" s="802"/>
      <c r="L38" s="802"/>
      <c r="M38" s="801"/>
      <c r="N38" s="802"/>
      <c r="O38" s="802"/>
      <c r="Q38" s="821"/>
      <c r="R38" s="949"/>
      <c r="S38" s="802"/>
      <c r="T38" s="801"/>
      <c r="U38" s="802"/>
      <c r="V38" s="802"/>
      <c r="W38" s="802"/>
      <c r="X38" s="802"/>
      <c r="Y38" s="802"/>
      <c r="Z38" s="802"/>
      <c r="AA38" s="801"/>
      <c r="AB38" s="826"/>
      <c r="AC38" s="802"/>
      <c r="AD38" s="802"/>
      <c r="AE38" s="802"/>
      <c r="AF38" s="802"/>
      <c r="AG38" s="802"/>
      <c r="AH38" s="786"/>
      <c r="AI38" s="576">
        <f t="shared" si="1"/>
        <v>0</v>
      </c>
      <c r="AJ38" s="811"/>
      <c r="AK38" s="578"/>
      <c r="AM38" s="578"/>
    </row>
    <row r="39" spans="1:39" s="560" customFormat="1" ht="13.8">
      <c r="A39" s="940" t="s">
        <v>1954</v>
      </c>
      <c r="B39" s="804" t="s">
        <v>1880</v>
      </c>
      <c r="C39" s="799" t="s">
        <v>1823</v>
      </c>
      <c r="D39" s="800"/>
      <c r="E39" s="800"/>
      <c r="F39" s="801"/>
      <c r="G39" s="800"/>
      <c r="H39" s="800"/>
      <c r="I39" s="802"/>
      <c r="J39" s="802"/>
      <c r="K39" s="802"/>
      <c r="L39" s="802"/>
      <c r="M39" s="801"/>
      <c r="N39" s="802"/>
      <c r="O39" s="802"/>
      <c r="Q39" s="821"/>
      <c r="R39" s="949"/>
      <c r="S39" s="802"/>
      <c r="T39" s="801"/>
      <c r="U39" s="802"/>
      <c r="V39" s="802"/>
      <c r="W39" s="802"/>
      <c r="X39" s="802"/>
      <c r="Y39" s="802"/>
      <c r="Z39" s="802"/>
      <c r="AA39" s="801"/>
      <c r="AB39" s="826"/>
      <c r="AC39" s="802"/>
      <c r="AD39" s="802"/>
      <c r="AE39" s="802"/>
      <c r="AF39" s="802"/>
      <c r="AG39" s="802"/>
      <c r="AH39" s="786"/>
      <c r="AI39" s="576">
        <f t="shared" si="1"/>
        <v>0</v>
      </c>
      <c r="AJ39" s="811"/>
      <c r="AK39" s="578"/>
      <c r="AM39" s="578"/>
    </row>
    <row r="40" spans="1:39" s="560" customFormat="1" ht="13.8">
      <c r="A40" s="940" t="s">
        <v>1955</v>
      </c>
      <c r="B40" s="804" t="s">
        <v>1881</v>
      </c>
      <c r="C40" s="799"/>
      <c r="D40" s="800"/>
      <c r="E40" s="800"/>
      <c r="F40" s="801"/>
      <c r="G40" s="800"/>
      <c r="H40" s="800"/>
      <c r="I40" s="802"/>
      <c r="J40" s="802"/>
      <c r="K40" s="802"/>
      <c r="L40" s="802"/>
      <c r="M40" s="801"/>
      <c r="N40" s="802"/>
      <c r="O40" s="802"/>
      <c r="Q40" s="821"/>
      <c r="R40" s="949"/>
      <c r="S40" s="802"/>
      <c r="T40" s="801"/>
      <c r="U40" s="802"/>
      <c r="V40" s="802"/>
      <c r="W40" s="802"/>
      <c r="X40" s="802"/>
      <c r="Y40" s="802"/>
      <c r="Z40" s="802"/>
      <c r="AA40" s="801"/>
      <c r="AB40" s="826"/>
      <c r="AC40" s="802"/>
      <c r="AD40" s="802"/>
      <c r="AE40" s="802"/>
      <c r="AF40" s="802"/>
      <c r="AG40" s="802"/>
      <c r="AH40" s="786"/>
      <c r="AI40" s="576">
        <f t="shared" si="1"/>
        <v>0</v>
      </c>
      <c r="AJ40" s="811"/>
      <c r="AK40" s="578"/>
      <c r="AM40" s="578"/>
    </row>
    <row r="41" spans="1:39" s="560" customFormat="1" ht="13.8">
      <c r="A41" s="940" t="s">
        <v>1956</v>
      </c>
      <c r="B41" s="804" t="s">
        <v>1882</v>
      </c>
      <c r="C41" s="799" t="s">
        <v>39</v>
      </c>
      <c r="D41" s="800"/>
      <c r="E41" s="800"/>
      <c r="F41" s="801"/>
      <c r="G41" s="800"/>
      <c r="H41" s="800"/>
      <c r="I41" s="802"/>
      <c r="J41" s="802"/>
      <c r="K41" s="802"/>
      <c r="L41" s="802"/>
      <c r="M41" s="801"/>
      <c r="N41" s="802"/>
      <c r="O41" s="802"/>
      <c r="Q41" s="821"/>
      <c r="R41" s="949"/>
      <c r="S41" s="802"/>
      <c r="T41" s="801"/>
      <c r="U41" s="802"/>
      <c r="V41" s="802"/>
      <c r="W41" s="802"/>
      <c r="X41" s="802"/>
      <c r="Y41" s="802"/>
      <c r="Z41" s="802"/>
      <c r="AA41" s="801"/>
      <c r="AB41" s="826"/>
      <c r="AC41" s="802"/>
      <c r="AD41" s="802"/>
      <c r="AE41" s="802"/>
      <c r="AF41" s="802"/>
      <c r="AG41" s="802"/>
      <c r="AH41" s="786"/>
      <c r="AI41" s="576">
        <f t="shared" si="1"/>
        <v>0</v>
      </c>
      <c r="AJ41" s="811"/>
      <c r="AK41" s="578"/>
      <c r="AM41" s="578"/>
    </row>
    <row r="42" spans="1:39" s="560" customFormat="1" ht="13.8">
      <c r="A42" s="940" t="s">
        <v>1957</v>
      </c>
      <c r="B42" s="804" t="s">
        <v>1883</v>
      </c>
      <c r="C42" s="799" t="s">
        <v>36</v>
      </c>
      <c r="D42" s="800"/>
      <c r="E42" s="800"/>
      <c r="F42" s="801"/>
      <c r="G42" s="800"/>
      <c r="H42" s="800"/>
      <c r="I42" s="802"/>
      <c r="J42" s="941"/>
      <c r="K42" s="802"/>
      <c r="L42" s="802"/>
      <c r="M42" s="801"/>
      <c r="N42" s="802"/>
      <c r="O42" s="802"/>
      <c r="Q42" s="821"/>
      <c r="R42" s="949"/>
      <c r="S42" s="802"/>
      <c r="T42" s="801"/>
      <c r="U42" s="802"/>
      <c r="V42" s="802"/>
      <c r="W42" s="802"/>
      <c r="X42" s="802"/>
      <c r="Y42" s="802"/>
      <c r="Z42" s="802"/>
      <c r="AA42" s="801"/>
      <c r="AB42" s="826"/>
      <c r="AC42" s="802"/>
      <c r="AD42" s="802"/>
      <c r="AE42" s="802"/>
      <c r="AF42" s="802"/>
      <c r="AG42" s="802"/>
      <c r="AH42" s="786"/>
      <c r="AI42" s="576">
        <f t="shared" si="1"/>
        <v>0</v>
      </c>
      <c r="AJ42" s="811"/>
      <c r="AK42" s="578"/>
      <c r="AM42" s="578"/>
    </row>
    <row r="43" spans="1:39" s="560" customFormat="1" ht="13.8">
      <c r="A43" s="940" t="s">
        <v>1958</v>
      </c>
      <c r="B43" s="804" t="s">
        <v>1884</v>
      </c>
      <c r="C43" s="799" t="s">
        <v>1823</v>
      </c>
      <c r="D43" s="800"/>
      <c r="E43" s="800"/>
      <c r="F43" s="801"/>
      <c r="G43" s="800"/>
      <c r="H43" s="800"/>
      <c r="I43" s="802"/>
      <c r="J43" s="802"/>
      <c r="K43" s="802"/>
      <c r="L43" s="802"/>
      <c r="M43" s="801"/>
      <c r="N43" s="802"/>
      <c r="O43" s="802"/>
      <c r="Q43" s="821"/>
      <c r="R43" s="949"/>
      <c r="S43" s="802"/>
      <c r="T43" s="801"/>
      <c r="U43" s="802"/>
      <c r="V43" s="802"/>
      <c r="W43" s="802"/>
      <c r="X43" s="802"/>
      <c r="Y43" s="802"/>
      <c r="Z43" s="802"/>
      <c r="AA43" s="801"/>
      <c r="AB43" s="826"/>
      <c r="AC43" s="802"/>
      <c r="AD43" s="802"/>
      <c r="AE43" s="802"/>
      <c r="AF43" s="802"/>
      <c r="AG43" s="802"/>
      <c r="AH43" s="786"/>
      <c r="AI43" s="576">
        <f t="shared" si="1"/>
        <v>0</v>
      </c>
      <c r="AJ43" s="811"/>
      <c r="AK43" s="578"/>
      <c r="AM43" s="578"/>
    </row>
    <row r="44" spans="1:39" s="560" customFormat="1" ht="13.8">
      <c r="A44" s="1055" t="s">
        <v>1959</v>
      </c>
      <c r="B44" s="1056" t="s">
        <v>1195</v>
      </c>
      <c r="C44" s="799"/>
      <c r="D44" s="800"/>
      <c r="E44" s="800"/>
      <c r="F44" s="801"/>
      <c r="G44" s="800"/>
      <c r="H44" s="800"/>
      <c r="I44" s="802"/>
      <c r="J44" s="802"/>
      <c r="K44" s="802"/>
      <c r="L44" s="802"/>
      <c r="M44" s="801"/>
      <c r="N44" s="802"/>
      <c r="O44" s="802"/>
      <c r="P44" s="802"/>
      <c r="Q44" s="741"/>
      <c r="R44" s="949"/>
      <c r="S44" s="802"/>
      <c r="T44" s="801"/>
      <c r="U44" s="802"/>
      <c r="V44" s="802"/>
      <c r="W44" s="802"/>
      <c r="X44" s="802"/>
      <c r="Y44" s="802"/>
      <c r="Z44" s="802"/>
      <c r="AA44" s="801"/>
      <c r="AB44" s="826"/>
      <c r="AC44" s="802"/>
      <c r="AD44" s="802"/>
      <c r="AE44" s="802"/>
      <c r="AF44" s="802"/>
      <c r="AG44" s="802"/>
      <c r="AH44" s="786"/>
      <c r="AI44" s="576">
        <f t="shared" si="1"/>
        <v>0</v>
      </c>
      <c r="AJ44" s="811"/>
      <c r="AK44" s="578"/>
      <c r="AM44" s="578"/>
    </row>
    <row r="45" spans="1:39" s="560" customFormat="1" ht="13.8">
      <c r="A45" s="940" t="s">
        <v>1960</v>
      </c>
      <c r="B45" s="804" t="s">
        <v>1834</v>
      </c>
      <c r="C45" s="799"/>
      <c r="D45" s="800"/>
      <c r="E45" s="800"/>
      <c r="F45" s="801"/>
      <c r="G45" s="800"/>
      <c r="H45" s="800"/>
      <c r="I45" s="802"/>
      <c r="J45" s="802"/>
      <c r="K45" s="802"/>
      <c r="L45" s="802"/>
      <c r="M45" s="801"/>
      <c r="N45" s="802"/>
      <c r="O45" s="802"/>
      <c r="P45" s="802"/>
      <c r="Q45" s="741"/>
      <c r="R45" s="949"/>
      <c r="S45" s="802"/>
      <c r="T45" s="801"/>
      <c r="U45" s="802"/>
      <c r="V45" s="802"/>
      <c r="W45" s="802"/>
      <c r="X45" s="802"/>
      <c r="Y45" s="802"/>
      <c r="Z45" s="802"/>
      <c r="AA45" s="801"/>
      <c r="AB45" s="826"/>
      <c r="AC45" s="802"/>
      <c r="AD45" s="802"/>
      <c r="AE45" s="802"/>
      <c r="AF45" s="802"/>
      <c r="AG45" s="802"/>
      <c r="AH45" s="786"/>
      <c r="AI45" s="576">
        <f t="shared" si="1"/>
        <v>0</v>
      </c>
      <c r="AJ45" s="811"/>
      <c r="AK45" s="578"/>
      <c r="AM45" s="578"/>
    </row>
    <row r="46" spans="1:39" s="560" customFormat="1" ht="13.8">
      <c r="A46" s="940" t="s">
        <v>1961</v>
      </c>
      <c r="B46" s="804" t="s">
        <v>1835</v>
      </c>
      <c r="C46" s="799" t="s">
        <v>39</v>
      </c>
      <c r="D46" s="800"/>
      <c r="E46" s="800"/>
      <c r="F46" s="801"/>
      <c r="G46" s="581"/>
      <c r="H46" s="581"/>
      <c r="I46" s="802"/>
      <c r="J46" s="802"/>
      <c r="K46" s="802"/>
      <c r="L46" s="802"/>
      <c r="M46" s="801"/>
      <c r="N46" s="802"/>
      <c r="O46" s="802"/>
      <c r="P46" s="802"/>
      <c r="Q46" s="741"/>
      <c r="R46" s="949"/>
      <c r="S46" s="802"/>
      <c r="T46" s="801"/>
      <c r="U46" s="802"/>
      <c r="V46" s="802"/>
      <c r="W46" s="802"/>
      <c r="X46" s="802"/>
      <c r="Y46" s="802"/>
      <c r="Z46" s="802"/>
      <c r="AA46" s="801"/>
      <c r="AB46" s="826"/>
      <c r="AC46" s="802"/>
      <c r="AD46" s="802"/>
      <c r="AE46" s="802"/>
      <c r="AF46" s="802"/>
      <c r="AG46" s="802"/>
      <c r="AH46" s="786"/>
      <c r="AI46" s="576">
        <f t="shared" si="1"/>
        <v>0</v>
      </c>
      <c r="AJ46" s="811"/>
      <c r="AK46" s="578"/>
      <c r="AM46" s="578"/>
    </row>
    <row r="47" spans="1:39" s="560" customFormat="1" ht="13.8">
      <c r="A47" s="940" t="s">
        <v>1962</v>
      </c>
      <c r="B47" s="804" t="s">
        <v>1876</v>
      </c>
      <c r="C47" s="799"/>
      <c r="D47" s="800"/>
      <c r="E47" s="800"/>
      <c r="F47" s="801"/>
      <c r="G47" s="800"/>
      <c r="H47" s="800"/>
      <c r="I47" s="802"/>
      <c r="J47" s="802"/>
      <c r="K47" s="802"/>
      <c r="L47" s="802"/>
      <c r="M47" s="801"/>
      <c r="N47" s="802"/>
      <c r="O47" s="802"/>
      <c r="P47" s="802"/>
      <c r="Q47" s="741"/>
      <c r="R47" s="786"/>
      <c r="S47" s="802"/>
      <c r="T47" s="801"/>
      <c r="U47" s="802"/>
      <c r="V47" s="802"/>
      <c r="W47" s="802"/>
      <c r="X47" s="802"/>
      <c r="Y47" s="802"/>
      <c r="Z47" s="802"/>
      <c r="AA47" s="801"/>
      <c r="AB47" s="826"/>
      <c r="AC47" s="802"/>
      <c r="AD47" s="802"/>
      <c r="AE47" s="802"/>
      <c r="AF47" s="802"/>
      <c r="AG47" s="802"/>
      <c r="AH47" s="786"/>
      <c r="AI47" s="576">
        <f t="shared" si="1"/>
        <v>0</v>
      </c>
      <c r="AJ47" s="811"/>
      <c r="AK47" s="578"/>
      <c r="AM47" s="578"/>
    </row>
    <row r="48" spans="1:39" s="560" customFormat="1" ht="13.8">
      <c r="A48" s="940" t="s">
        <v>1963</v>
      </c>
      <c r="B48" s="804" t="s">
        <v>1877</v>
      </c>
      <c r="C48" s="799"/>
      <c r="D48" s="800"/>
      <c r="E48" s="800"/>
      <c r="F48" s="801"/>
      <c r="G48" s="800"/>
      <c r="H48" s="800"/>
      <c r="I48" s="949"/>
      <c r="J48" s="949"/>
      <c r="K48" s="802"/>
      <c r="L48" s="802"/>
      <c r="M48" s="801"/>
      <c r="N48" s="802"/>
      <c r="O48" s="802"/>
      <c r="P48" s="802"/>
      <c r="Q48" s="741"/>
      <c r="R48" s="786"/>
      <c r="S48" s="802"/>
      <c r="T48" s="801"/>
      <c r="U48" s="802"/>
      <c r="V48" s="802"/>
      <c r="W48" s="802"/>
      <c r="X48" s="802"/>
      <c r="Y48" s="802"/>
      <c r="Z48" s="802"/>
      <c r="AA48" s="801"/>
      <c r="AB48" s="826"/>
      <c r="AC48" s="802"/>
      <c r="AD48" s="802"/>
      <c r="AE48" s="802"/>
      <c r="AF48" s="802"/>
      <c r="AG48" s="802"/>
      <c r="AH48" s="786"/>
      <c r="AI48" s="576">
        <f t="shared" si="1"/>
        <v>0</v>
      </c>
      <c r="AJ48" s="811"/>
      <c r="AK48" s="578"/>
      <c r="AM48" s="578"/>
    </row>
    <row r="49" spans="1:39" s="560" customFormat="1" ht="13.8">
      <c r="A49" s="940" t="s">
        <v>1964</v>
      </c>
      <c r="B49" s="804" t="s">
        <v>1878</v>
      </c>
      <c r="C49" s="799" t="s">
        <v>39</v>
      </c>
      <c r="D49" s="800"/>
      <c r="E49" s="800"/>
      <c r="F49" s="801"/>
      <c r="G49" s="800"/>
      <c r="H49" s="581"/>
      <c r="I49" s="741"/>
      <c r="J49" s="802"/>
      <c r="K49" s="802"/>
      <c r="L49" s="802"/>
      <c r="M49" s="801"/>
      <c r="N49" s="802"/>
      <c r="O49" s="802"/>
      <c r="P49" s="802"/>
      <c r="Q49" s="741"/>
      <c r="R49" s="786"/>
      <c r="S49" s="802"/>
      <c r="T49" s="801"/>
      <c r="U49" s="802"/>
      <c r="V49" s="802"/>
      <c r="W49" s="802"/>
      <c r="X49" s="802"/>
      <c r="Y49" s="802"/>
      <c r="Z49" s="802"/>
      <c r="AA49" s="801"/>
      <c r="AB49" s="826"/>
      <c r="AC49" s="802"/>
      <c r="AD49" s="802"/>
      <c r="AE49" s="802"/>
      <c r="AF49" s="802"/>
      <c r="AG49" s="802"/>
      <c r="AH49" s="786"/>
      <c r="AI49" s="576">
        <f t="shared" si="1"/>
        <v>0</v>
      </c>
      <c r="AJ49" s="811"/>
      <c r="AK49" s="578"/>
      <c r="AM49" s="578"/>
    </row>
    <row r="50" spans="1:39" s="560" customFormat="1" ht="13.8">
      <c r="A50" s="940" t="s">
        <v>1965</v>
      </c>
      <c r="B50" s="804" t="s">
        <v>1879</v>
      </c>
      <c r="C50" s="799" t="s">
        <v>36</v>
      </c>
      <c r="D50" s="800"/>
      <c r="E50" s="800"/>
      <c r="F50" s="801"/>
      <c r="G50" s="800"/>
      <c r="H50" s="741"/>
      <c r="I50" s="800"/>
      <c r="J50" s="802"/>
      <c r="K50" s="802"/>
      <c r="L50" s="802"/>
      <c r="M50" s="801"/>
      <c r="N50" s="802"/>
      <c r="O50" s="802"/>
      <c r="P50" s="802"/>
      <c r="Q50" s="741"/>
      <c r="R50" s="786"/>
      <c r="S50" s="802"/>
      <c r="T50" s="801"/>
      <c r="U50" s="802"/>
      <c r="V50" s="802"/>
      <c r="W50" s="802"/>
      <c r="X50" s="802"/>
      <c r="Y50" s="802"/>
      <c r="Z50" s="802"/>
      <c r="AA50" s="801"/>
      <c r="AB50" s="826"/>
      <c r="AC50" s="802"/>
      <c r="AD50" s="802"/>
      <c r="AE50" s="802"/>
      <c r="AF50" s="802"/>
      <c r="AG50" s="802"/>
      <c r="AH50" s="786"/>
      <c r="AI50" s="576">
        <f t="shared" si="1"/>
        <v>0</v>
      </c>
      <c r="AJ50" s="811"/>
      <c r="AK50" s="578"/>
      <c r="AM50" s="578"/>
    </row>
    <row r="51" spans="1:39" s="560" customFormat="1" ht="13.8">
      <c r="A51" s="940" t="s">
        <v>1966</v>
      </c>
      <c r="B51" s="804" t="s">
        <v>1880</v>
      </c>
      <c r="C51" s="799" t="s">
        <v>1823</v>
      </c>
      <c r="D51" s="800"/>
      <c r="E51" s="800"/>
      <c r="F51" s="801"/>
      <c r="G51" s="800"/>
      <c r="H51" s="800"/>
      <c r="I51" s="802"/>
      <c r="J51" s="802"/>
      <c r="K51" s="802"/>
      <c r="L51" s="802"/>
      <c r="M51" s="801"/>
      <c r="N51" s="802"/>
      <c r="O51" s="802"/>
      <c r="P51" s="802"/>
      <c r="Q51" s="741"/>
      <c r="R51" s="786"/>
      <c r="S51" s="802"/>
      <c r="T51" s="801"/>
      <c r="U51" s="802"/>
      <c r="V51" s="802"/>
      <c r="W51" s="802"/>
      <c r="X51" s="802"/>
      <c r="Y51" s="802"/>
      <c r="Z51" s="802"/>
      <c r="AA51" s="801"/>
      <c r="AB51" s="826"/>
      <c r="AC51" s="802"/>
      <c r="AD51" s="802"/>
      <c r="AE51" s="802"/>
      <c r="AF51" s="802"/>
      <c r="AG51" s="802"/>
      <c r="AH51" s="786"/>
      <c r="AI51" s="576">
        <f t="shared" si="1"/>
        <v>0</v>
      </c>
      <c r="AJ51" s="811"/>
      <c r="AK51" s="578"/>
      <c r="AM51" s="578"/>
    </row>
    <row r="52" spans="1:39" s="560" customFormat="1" ht="13.8">
      <c r="A52" s="940" t="s">
        <v>1967</v>
      </c>
      <c r="B52" s="804" t="s">
        <v>1881</v>
      </c>
      <c r="C52" s="799"/>
      <c r="D52" s="800"/>
      <c r="E52" s="800"/>
      <c r="F52" s="801"/>
      <c r="G52" s="800"/>
      <c r="H52" s="800"/>
      <c r="I52" s="802"/>
      <c r="J52" s="802"/>
      <c r="K52" s="802"/>
      <c r="L52" s="802"/>
      <c r="M52" s="801"/>
      <c r="N52" s="802"/>
      <c r="O52" s="802"/>
      <c r="P52" s="802"/>
      <c r="Q52" s="741"/>
      <c r="R52" s="786"/>
      <c r="S52" s="802"/>
      <c r="T52" s="801"/>
      <c r="U52" s="802"/>
      <c r="V52" s="802"/>
      <c r="W52" s="802"/>
      <c r="X52" s="802"/>
      <c r="Y52" s="802"/>
      <c r="Z52" s="802"/>
      <c r="AA52" s="801"/>
      <c r="AB52" s="826"/>
      <c r="AC52" s="802"/>
      <c r="AD52" s="802"/>
      <c r="AE52" s="802"/>
      <c r="AF52" s="802"/>
      <c r="AG52" s="802"/>
      <c r="AH52" s="786"/>
      <c r="AI52" s="576">
        <f t="shared" si="1"/>
        <v>0</v>
      </c>
      <c r="AJ52" s="811"/>
      <c r="AK52" s="578"/>
      <c r="AM52" s="578"/>
    </row>
    <row r="53" spans="1:39" s="560" customFormat="1" ht="13.8">
      <c r="A53" s="940" t="s">
        <v>1968</v>
      </c>
      <c r="B53" s="804" t="s">
        <v>1882</v>
      </c>
      <c r="C53" s="799" t="s">
        <v>39</v>
      </c>
      <c r="D53" s="800"/>
      <c r="E53" s="800"/>
      <c r="F53" s="801"/>
      <c r="G53" s="800"/>
      <c r="H53" s="800"/>
      <c r="I53" s="802"/>
      <c r="J53" s="949"/>
      <c r="K53" s="802"/>
      <c r="L53" s="802"/>
      <c r="M53" s="801"/>
      <c r="N53" s="802"/>
      <c r="O53" s="802"/>
      <c r="P53" s="802"/>
      <c r="Q53" s="741"/>
      <c r="R53" s="786"/>
      <c r="S53" s="802"/>
      <c r="T53" s="801"/>
      <c r="U53" s="802"/>
      <c r="V53" s="802"/>
      <c r="W53" s="802"/>
      <c r="X53" s="802"/>
      <c r="Y53" s="802"/>
      <c r="Z53" s="802"/>
      <c r="AA53" s="801"/>
      <c r="AB53" s="826"/>
      <c r="AC53" s="802"/>
      <c r="AD53" s="802"/>
      <c r="AE53" s="802"/>
      <c r="AF53" s="802"/>
      <c r="AG53" s="802"/>
      <c r="AH53" s="786"/>
      <c r="AI53" s="576">
        <f t="shared" si="1"/>
        <v>0</v>
      </c>
      <c r="AJ53" s="811"/>
      <c r="AK53" s="578"/>
      <c r="AM53" s="578"/>
    </row>
    <row r="54" spans="1:39" s="560" customFormat="1" ht="13.8">
      <c r="A54" s="940" t="s">
        <v>1969</v>
      </c>
      <c r="B54" s="804" t="s">
        <v>1883</v>
      </c>
      <c r="C54" s="799" t="s">
        <v>36</v>
      </c>
      <c r="D54" s="800"/>
      <c r="E54" s="800"/>
      <c r="F54" s="801"/>
      <c r="G54" s="800"/>
      <c r="H54" s="800"/>
      <c r="J54" s="802"/>
      <c r="K54" s="802"/>
      <c r="L54" s="802"/>
      <c r="M54" s="801"/>
      <c r="N54" s="802"/>
      <c r="O54" s="802"/>
      <c r="P54" s="802"/>
      <c r="Q54" s="741"/>
      <c r="R54" s="786"/>
      <c r="S54" s="802"/>
      <c r="T54" s="801"/>
      <c r="U54" s="802"/>
      <c r="V54" s="802"/>
      <c r="W54" s="802"/>
      <c r="X54" s="802"/>
      <c r="Y54" s="802"/>
      <c r="Z54" s="802"/>
      <c r="AA54" s="801"/>
      <c r="AB54" s="826"/>
      <c r="AC54" s="802"/>
      <c r="AD54" s="802"/>
      <c r="AE54" s="802"/>
      <c r="AF54" s="802"/>
      <c r="AG54" s="802"/>
      <c r="AH54" s="786"/>
      <c r="AI54" s="576">
        <f t="shared" si="1"/>
        <v>0</v>
      </c>
      <c r="AJ54" s="811"/>
      <c r="AK54" s="578"/>
      <c r="AM54" s="578"/>
    </row>
    <row r="55" spans="1:39" s="560" customFormat="1" ht="13.8">
      <c r="A55" s="940" t="s">
        <v>1970</v>
      </c>
      <c r="B55" s="804" t="s">
        <v>1884</v>
      </c>
      <c r="C55" s="799" t="s">
        <v>1823</v>
      </c>
      <c r="D55" s="800"/>
      <c r="E55" s="800"/>
      <c r="F55" s="801"/>
      <c r="G55" s="800"/>
      <c r="H55" s="800"/>
      <c r="I55" s="802"/>
      <c r="J55" s="802"/>
      <c r="K55" s="802"/>
      <c r="L55" s="802"/>
      <c r="M55" s="801"/>
      <c r="N55" s="802"/>
      <c r="O55" s="802"/>
      <c r="P55" s="802"/>
      <c r="Q55" s="741"/>
      <c r="R55" s="786"/>
      <c r="S55" s="802"/>
      <c r="T55" s="801"/>
      <c r="U55" s="802"/>
      <c r="V55" s="802"/>
      <c r="W55" s="802"/>
      <c r="X55" s="802"/>
      <c r="Y55" s="802"/>
      <c r="Z55" s="802"/>
      <c r="AA55" s="801"/>
      <c r="AB55" s="826"/>
      <c r="AC55" s="802"/>
      <c r="AD55" s="802"/>
      <c r="AE55" s="802"/>
      <c r="AF55" s="802"/>
      <c r="AG55" s="802"/>
      <c r="AH55" s="786"/>
      <c r="AI55" s="576">
        <f t="shared" si="1"/>
        <v>0</v>
      </c>
      <c r="AJ55" s="811"/>
      <c r="AK55" s="578"/>
      <c r="AM55" s="578"/>
    </row>
    <row r="56" spans="1:39" s="560" customFormat="1">
      <c r="A56" s="940" t="s">
        <v>2062</v>
      </c>
      <c r="B56" s="604" t="s">
        <v>1167</v>
      </c>
      <c r="C56" s="845"/>
      <c r="D56" s="800"/>
      <c r="E56" s="800"/>
      <c r="F56" s="801"/>
      <c r="G56" s="800"/>
      <c r="H56" s="800"/>
      <c r="I56" s="802"/>
      <c r="J56" s="802"/>
      <c r="K56" s="802"/>
      <c r="L56" s="802"/>
      <c r="M56" s="801"/>
      <c r="N56" s="802"/>
      <c r="O56" s="802"/>
      <c r="P56" s="802"/>
      <c r="Q56" s="741"/>
      <c r="R56" s="786"/>
      <c r="S56" s="802"/>
      <c r="T56" s="801"/>
      <c r="U56" s="802"/>
      <c r="V56" s="802"/>
      <c r="W56" s="802"/>
      <c r="X56" s="802"/>
      <c r="Y56" s="802"/>
      <c r="Z56" s="802"/>
      <c r="AA56" s="801"/>
      <c r="AB56" s="826"/>
      <c r="AC56" s="802"/>
      <c r="AD56" s="802"/>
      <c r="AE56" s="802"/>
      <c r="AF56" s="802"/>
      <c r="AG56" s="802"/>
      <c r="AH56" s="786"/>
      <c r="AI56" s="576">
        <f t="shared" si="1"/>
        <v>0</v>
      </c>
      <c r="AJ56" s="811"/>
      <c r="AK56" s="578"/>
      <c r="AM56" s="578"/>
    </row>
    <row r="57" spans="1:39" s="560" customFormat="1">
      <c r="A57" s="940" t="s">
        <v>2063</v>
      </c>
      <c r="B57" s="604" t="s">
        <v>1168</v>
      </c>
      <c r="C57" s="1041" t="s">
        <v>39</v>
      </c>
      <c r="D57" s="800"/>
      <c r="E57" s="800"/>
      <c r="F57" s="801"/>
      <c r="G57" s="800"/>
      <c r="H57" s="800"/>
      <c r="I57" s="802"/>
      <c r="J57" s="802"/>
      <c r="K57" s="802"/>
      <c r="L57" s="802"/>
      <c r="M57" s="801"/>
      <c r="N57" s="802"/>
      <c r="O57" s="802"/>
      <c r="P57" s="802"/>
      <c r="Q57" s="741"/>
      <c r="R57" s="786"/>
      <c r="S57" s="802"/>
      <c r="T57" s="801"/>
      <c r="U57" s="802"/>
      <c r="V57" s="802"/>
      <c r="W57" s="802"/>
      <c r="X57" s="802"/>
      <c r="Y57" s="802"/>
      <c r="Z57" s="802"/>
      <c r="AA57" s="801"/>
      <c r="AB57" s="826"/>
      <c r="AC57" s="802"/>
      <c r="AD57" s="802"/>
      <c r="AE57" s="802"/>
      <c r="AF57" s="802"/>
      <c r="AG57" s="802"/>
      <c r="AH57" s="786"/>
      <c r="AI57" s="576">
        <f t="shared" si="1"/>
        <v>0</v>
      </c>
      <c r="AJ57" s="811"/>
      <c r="AK57" s="578"/>
      <c r="AM57" s="578"/>
    </row>
    <row r="58" spans="1:39" s="560" customFormat="1">
      <c r="A58" s="940" t="s">
        <v>2064</v>
      </c>
      <c r="B58" s="604" t="s">
        <v>1169</v>
      </c>
      <c r="C58" s="1041" t="s">
        <v>36</v>
      </c>
      <c r="D58" s="800"/>
      <c r="E58" s="800"/>
      <c r="F58" s="801"/>
      <c r="G58" s="800"/>
      <c r="H58" s="800"/>
      <c r="I58" s="802"/>
      <c r="J58" s="802"/>
      <c r="K58" s="802"/>
      <c r="L58" s="802"/>
      <c r="M58" s="801"/>
      <c r="N58" s="802"/>
      <c r="O58" s="802"/>
      <c r="P58" s="802"/>
      <c r="Q58" s="741"/>
      <c r="R58" s="786"/>
      <c r="S58" s="802"/>
      <c r="T58" s="801"/>
      <c r="U58" s="802"/>
      <c r="V58" s="802"/>
      <c r="W58" s="802"/>
      <c r="X58" s="802"/>
      <c r="Y58" s="802"/>
      <c r="Z58" s="802"/>
      <c r="AA58" s="801"/>
      <c r="AB58" s="826"/>
      <c r="AC58" s="802"/>
      <c r="AD58" s="802"/>
      <c r="AE58" s="802"/>
      <c r="AF58" s="802"/>
      <c r="AG58" s="802"/>
      <c r="AH58" s="786"/>
      <c r="AI58" s="576">
        <f t="shared" si="1"/>
        <v>0</v>
      </c>
      <c r="AJ58" s="811"/>
      <c r="AK58" s="578"/>
      <c r="AM58" s="578"/>
    </row>
    <row r="59" spans="1:39" s="560" customFormat="1">
      <c r="A59" s="940" t="s">
        <v>2065</v>
      </c>
      <c r="B59" s="604" t="s">
        <v>1170</v>
      </c>
      <c r="C59" s="1041" t="s">
        <v>47</v>
      </c>
      <c r="D59" s="800"/>
      <c r="E59" s="800"/>
      <c r="F59" s="801"/>
      <c r="G59" s="800"/>
      <c r="H59" s="800"/>
      <c r="I59" s="802"/>
      <c r="J59" s="802"/>
      <c r="K59" s="802"/>
      <c r="L59" s="802"/>
      <c r="M59" s="801"/>
      <c r="N59" s="802"/>
      <c r="O59" s="802"/>
      <c r="P59" s="802"/>
      <c r="Q59" s="741"/>
      <c r="R59" s="786"/>
      <c r="S59" s="802"/>
      <c r="T59" s="801"/>
      <c r="U59" s="802"/>
      <c r="V59" s="802"/>
      <c r="W59" s="802"/>
      <c r="X59" s="802"/>
      <c r="Y59" s="802"/>
      <c r="Z59" s="802"/>
      <c r="AA59" s="801"/>
      <c r="AB59" s="826"/>
      <c r="AC59" s="802"/>
      <c r="AD59" s="802"/>
      <c r="AE59" s="802"/>
      <c r="AF59" s="802"/>
      <c r="AG59" s="802"/>
      <c r="AH59" s="786"/>
      <c r="AI59" s="576">
        <f t="shared" si="1"/>
        <v>0</v>
      </c>
      <c r="AJ59" s="811"/>
      <c r="AK59" s="578"/>
      <c r="AM59" s="578"/>
    </row>
    <row r="60" spans="1:39" s="560" customFormat="1" ht="13.8">
      <c r="A60" s="1055" t="s">
        <v>1971</v>
      </c>
      <c r="B60" s="1057" t="s">
        <v>1197</v>
      </c>
      <c r="C60" s="799"/>
      <c r="D60" s="800"/>
      <c r="E60" s="800"/>
      <c r="F60" s="801"/>
      <c r="G60" s="800"/>
      <c r="H60" s="800"/>
      <c r="I60" s="802"/>
      <c r="J60" s="802"/>
      <c r="K60" s="802"/>
      <c r="L60" s="802"/>
      <c r="M60" s="801"/>
      <c r="N60" s="802"/>
      <c r="O60" s="802"/>
      <c r="P60" s="802"/>
      <c r="Q60" s="741"/>
      <c r="S60" s="802"/>
      <c r="T60" s="801"/>
      <c r="U60" s="802"/>
      <c r="V60" s="802"/>
      <c r="W60" s="802"/>
      <c r="X60" s="802"/>
      <c r="Y60" s="802"/>
      <c r="Z60" s="802"/>
      <c r="AA60" s="801"/>
      <c r="AB60" s="826"/>
      <c r="AC60" s="802"/>
      <c r="AD60" s="802"/>
      <c r="AE60" s="802"/>
      <c r="AF60" s="802"/>
      <c r="AG60" s="802"/>
      <c r="AH60" s="786"/>
      <c r="AI60" s="576">
        <f t="shared" si="1"/>
        <v>0</v>
      </c>
      <c r="AJ60" s="811"/>
      <c r="AK60" s="578"/>
      <c r="AM60" s="578"/>
    </row>
    <row r="61" spans="1:39" s="560" customFormat="1" ht="13.8">
      <c r="A61" s="940" t="s">
        <v>1972</v>
      </c>
      <c r="B61" s="804" t="s">
        <v>1834</v>
      </c>
      <c r="C61" s="799"/>
      <c r="D61" s="800"/>
      <c r="E61" s="800"/>
      <c r="F61" s="801"/>
      <c r="G61" s="800"/>
      <c r="H61" s="800"/>
      <c r="I61" s="802"/>
      <c r="J61" s="802"/>
      <c r="K61" s="802"/>
      <c r="L61" s="802"/>
      <c r="M61" s="801"/>
      <c r="N61" s="802"/>
      <c r="O61" s="802"/>
      <c r="P61" s="802"/>
      <c r="Q61" s="741"/>
      <c r="R61" s="949"/>
      <c r="S61" s="802"/>
      <c r="T61" s="801"/>
      <c r="U61" s="802"/>
      <c r="V61" s="802"/>
      <c r="W61" s="802"/>
      <c r="X61" s="802"/>
      <c r="Y61" s="802"/>
      <c r="Z61" s="802"/>
      <c r="AA61" s="801"/>
      <c r="AB61" s="826"/>
      <c r="AC61" s="802"/>
      <c r="AD61" s="802"/>
      <c r="AE61" s="802"/>
      <c r="AF61" s="802"/>
      <c r="AG61" s="802"/>
      <c r="AH61" s="786"/>
      <c r="AI61" s="576">
        <f t="shared" si="1"/>
        <v>0</v>
      </c>
      <c r="AJ61" s="811"/>
      <c r="AK61" s="578"/>
      <c r="AM61" s="578"/>
    </row>
    <row r="62" spans="1:39" s="560" customFormat="1" ht="13.8">
      <c r="A62" s="940" t="s">
        <v>1973</v>
      </c>
      <c r="B62" s="804" t="s">
        <v>1835</v>
      </c>
      <c r="C62" s="799" t="s">
        <v>39</v>
      </c>
      <c r="D62" s="802"/>
      <c r="E62" s="800"/>
      <c r="F62" s="801"/>
      <c r="G62" s="800"/>
      <c r="H62" s="800"/>
      <c r="I62" s="802"/>
      <c r="J62" s="802"/>
      <c r="K62" s="802"/>
      <c r="L62" s="802"/>
      <c r="M62" s="801"/>
      <c r="N62" s="802"/>
      <c r="O62" s="802"/>
      <c r="P62" s="802"/>
      <c r="Q62" s="741"/>
      <c r="R62" s="802"/>
      <c r="S62" s="802"/>
      <c r="T62" s="801"/>
      <c r="U62" s="802"/>
      <c r="V62" s="802"/>
      <c r="W62" s="802"/>
      <c r="X62" s="802"/>
      <c r="Y62" s="802"/>
      <c r="Z62" s="802"/>
      <c r="AA62" s="801"/>
      <c r="AB62" s="826"/>
      <c r="AC62" s="802"/>
      <c r="AD62" s="802"/>
      <c r="AE62" s="802"/>
      <c r="AF62" s="802"/>
      <c r="AG62" s="802"/>
      <c r="AH62" s="786"/>
      <c r="AI62" s="576">
        <f t="shared" si="1"/>
        <v>0</v>
      </c>
      <c r="AJ62" s="811"/>
      <c r="AK62" s="578"/>
      <c r="AM62" s="578"/>
    </row>
    <row r="63" spans="1:39" s="560" customFormat="1" ht="13.8">
      <c r="A63" s="940" t="s">
        <v>1974</v>
      </c>
      <c r="B63" s="804" t="s">
        <v>1885</v>
      </c>
      <c r="C63" s="799"/>
      <c r="D63" s="800"/>
      <c r="E63" s="800"/>
      <c r="F63" s="801"/>
      <c r="G63" s="800"/>
      <c r="H63" s="800"/>
      <c r="I63" s="802"/>
      <c r="J63" s="802"/>
      <c r="K63" s="802"/>
      <c r="L63" s="802"/>
      <c r="M63" s="801"/>
      <c r="N63" s="802"/>
      <c r="O63" s="741"/>
      <c r="P63" s="802"/>
      <c r="Q63" s="741"/>
      <c r="R63" s="949"/>
      <c r="S63" s="802"/>
      <c r="T63" s="801"/>
      <c r="U63" s="802"/>
      <c r="V63" s="802"/>
      <c r="W63" s="802"/>
      <c r="X63" s="802"/>
      <c r="Y63" s="802"/>
      <c r="Z63" s="802"/>
      <c r="AA63" s="801"/>
      <c r="AB63" s="826"/>
      <c r="AC63" s="802"/>
      <c r="AD63" s="802"/>
      <c r="AE63" s="802"/>
      <c r="AF63" s="802"/>
      <c r="AG63" s="802"/>
      <c r="AH63" s="786"/>
      <c r="AI63" s="576">
        <f t="shared" si="1"/>
        <v>0</v>
      </c>
      <c r="AJ63" s="811"/>
      <c r="AK63" s="578"/>
      <c r="AM63" s="578"/>
    </row>
    <row r="64" spans="1:39" s="560" customFormat="1" ht="13.8">
      <c r="A64" s="940" t="s">
        <v>1984</v>
      </c>
      <c r="B64" s="607" t="s">
        <v>1225</v>
      </c>
      <c r="C64" s="799"/>
      <c r="D64" s="800"/>
      <c r="E64" s="800"/>
      <c r="F64" s="801"/>
      <c r="G64" s="800"/>
      <c r="H64" s="800"/>
      <c r="I64" s="802"/>
      <c r="J64" s="802"/>
      <c r="K64" s="802"/>
      <c r="L64" s="802"/>
      <c r="M64" s="801"/>
      <c r="N64" s="802"/>
      <c r="O64" s="741"/>
      <c r="P64" s="802"/>
      <c r="Q64" s="741"/>
      <c r="R64" s="949"/>
      <c r="S64" s="802"/>
      <c r="T64" s="801"/>
      <c r="U64" s="802"/>
      <c r="V64" s="802"/>
      <c r="W64" s="802"/>
      <c r="X64" s="802"/>
      <c r="Y64" s="802"/>
      <c r="Z64" s="802"/>
      <c r="AA64" s="801"/>
      <c r="AB64" s="826"/>
      <c r="AC64" s="802"/>
      <c r="AD64" s="802"/>
      <c r="AE64" s="802"/>
      <c r="AF64" s="802"/>
      <c r="AG64" s="802"/>
      <c r="AH64" s="786"/>
      <c r="AI64" s="576">
        <f t="shared" si="1"/>
        <v>0</v>
      </c>
      <c r="AJ64" s="811"/>
      <c r="AK64" s="578"/>
      <c r="AM64" s="578"/>
    </row>
    <row r="65" spans="1:39" s="560" customFormat="1" ht="13.8">
      <c r="A65" s="607" t="s">
        <v>1985</v>
      </c>
      <c r="B65" s="1056" t="s">
        <v>1981</v>
      </c>
      <c r="C65" s="799" t="s">
        <v>1982</v>
      </c>
      <c r="D65" s="800"/>
      <c r="E65" s="800"/>
      <c r="F65" s="801"/>
      <c r="G65" s="800"/>
      <c r="H65" s="800"/>
      <c r="I65" s="802"/>
      <c r="J65" s="802"/>
      <c r="K65" s="802"/>
      <c r="L65" s="802"/>
      <c r="M65" s="801"/>
      <c r="N65" s="802"/>
      <c r="O65" s="741"/>
      <c r="P65" s="802"/>
      <c r="Q65" s="1144">
        <v>7.1</v>
      </c>
      <c r="R65" s="949"/>
      <c r="S65" s="802"/>
      <c r="T65" s="801"/>
      <c r="U65" s="802"/>
      <c r="V65" s="802"/>
      <c r="W65" s="802"/>
      <c r="X65" s="802"/>
      <c r="Y65" s="802"/>
      <c r="Z65" s="802"/>
      <c r="AA65" s="801"/>
      <c r="AB65" s="826"/>
      <c r="AC65" s="1088">
        <f>7.7</f>
        <v>7.7</v>
      </c>
      <c r="AD65" s="802"/>
      <c r="AE65" s="802"/>
      <c r="AF65" s="802"/>
      <c r="AG65" s="802"/>
      <c r="AH65" s="786"/>
      <c r="AI65" s="1061">
        <f t="shared" si="1"/>
        <v>14.8</v>
      </c>
      <c r="AJ65" s="811"/>
      <c r="AK65" s="578"/>
      <c r="AM65" s="578"/>
    </row>
    <row r="66" spans="1:39" s="560" customFormat="1">
      <c r="A66" s="607" t="s">
        <v>2092</v>
      </c>
      <c r="B66" s="607" t="s">
        <v>2093</v>
      </c>
      <c r="C66" s="614"/>
      <c r="D66" s="800"/>
      <c r="E66" s="800"/>
      <c r="F66" s="801"/>
      <c r="G66" s="800"/>
      <c r="H66" s="800"/>
      <c r="I66" s="802"/>
      <c r="J66" s="802"/>
      <c r="K66" s="802"/>
      <c r="L66" s="802"/>
      <c r="M66" s="801"/>
      <c r="N66" s="802"/>
      <c r="O66" s="741"/>
      <c r="P66" s="802"/>
      <c r="Q66" s="741"/>
      <c r="R66" s="949"/>
      <c r="S66" s="802"/>
      <c r="T66" s="801"/>
      <c r="U66" s="802"/>
      <c r="V66" s="802"/>
      <c r="W66" s="802"/>
      <c r="X66" s="802"/>
      <c r="Y66" s="802"/>
      <c r="Z66" s="802"/>
      <c r="AA66" s="801"/>
      <c r="AB66" s="826"/>
      <c r="AC66" s="802"/>
      <c r="AD66" s="802"/>
      <c r="AE66" s="802"/>
      <c r="AF66" s="802"/>
      <c r="AG66" s="802"/>
      <c r="AH66" s="786"/>
      <c r="AI66" s="576">
        <f t="shared" si="1"/>
        <v>0</v>
      </c>
      <c r="AJ66" s="811"/>
      <c r="AK66" s="578"/>
      <c r="AM66" s="578"/>
    </row>
    <row r="67" spans="1:39" s="560" customFormat="1">
      <c r="A67" s="607" t="s">
        <v>2094</v>
      </c>
      <c r="B67" s="604" t="s">
        <v>2093</v>
      </c>
      <c r="C67" s="614" t="s">
        <v>1982</v>
      </c>
      <c r="D67" s="800"/>
      <c r="E67" s="800"/>
      <c r="F67" s="801"/>
      <c r="G67" s="800"/>
      <c r="H67" s="800"/>
      <c r="I67" s="802"/>
      <c r="J67" s="802"/>
      <c r="K67" s="802"/>
      <c r="L67" s="802"/>
      <c r="M67" s="801"/>
      <c r="N67" s="802"/>
      <c r="O67" s="741"/>
      <c r="P67" s="802"/>
      <c r="Q67" s="741"/>
      <c r="R67" s="949"/>
      <c r="S67" s="802"/>
      <c r="T67" s="801"/>
      <c r="U67" s="802"/>
      <c r="V67" s="802"/>
      <c r="W67" s="1088">
        <f>3.4*0.35+3.35*0.5+3.3*0.35+3.3*0.4</f>
        <v>5.34</v>
      </c>
      <c r="X67" s="802"/>
      <c r="Y67" s="802"/>
      <c r="Z67" s="802"/>
      <c r="AA67" s="801"/>
      <c r="AB67" s="826"/>
      <c r="AC67" s="802"/>
      <c r="AD67" s="802"/>
      <c r="AE67" s="802"/>
      <c r="AF67" s="802"/>
      <c r="AG67" s="802"/>
      <c r="AH67" s="786"/>
      <c r="AI67" s="1061">
        <f t="shared" si="1"/>
        <v>5.34</v>
      </c>
      <c r="AJ67" s="811"/>
      <c r="AK67" s="578"/>
      <c r="AM67" s="578"/>
    </row>
    <row r="68" spans="1:39" s="560" customFormat="1" ht="13.8">
      <c r="A68" s="1055" t="s">
        <v>1998</v>
      </c>
      <c r="B68" s="1056" t="s">
        <v>1876</v>
      </c>
      <c r="C68" s="799"/>
      <c r="D68" s="800"/>
      <c r="E68" s="800"/>
      <c r="F68" s="801"/>
      <c r="G68" s="800"/>
      <c r="H68" s="800"/>
      <c r="I68" s="802"/>
      <c r="J68" s="802"/>
      <c r="K68" s="802"/>
      <c r="L68" s="802"/>
      <c r="M68" s="801"/>
      <c r="N68" s="802"/>
      <c r="O68" s="741"/>
      <c r="P68" s="802"/>
      <c r="Q68" s="741"/>
      <c r="R68" s="949"/>
      <c r="S68" s="802"/>
      <c r="T68" s="801"/>
      <c r="U68" s="802"/>
      <c r="V68" s="802"/>
      <c r="W68" s="802"/>
      <c r="X68" s="802"/>
      <c r="Y68" s="802"/>
      <c r="Z68" s="802"/>
      <c r="AA68" s="801"/>
      <c r="AB68" s="826"/>
      <c r="AC68" s="802"/>
      <c r="AD68" s="802"/>
      <c r="AE68" s="802"/>
      <c r="AF68" s="802"/>
      <c r="AG68" s="802"/>
      <c r="AH68" s="786"/>
      <c r="AI68" s="576">
        <f t="shared" si="1"/>
        <v>0</v>
      </c>
      <c r="AJ68" s="811"/>
      <c r="AK68" s="578"/>
      <c r="AM68" s="578"/>
    </row>
    <row r="69" spans="1:39" s="560" customFormat="1">
      <c r="A69" s="940" t="s">
        <v>1999</v>
      </c>
      <c r="B69" s="604" t="s">
        <v>2001</v>
      </c>
      <c r="D69" s="800"/>
      <c r="E69" s="800"/>
      <c r="F69" s="801"/>
      <c r="G69" s="800"/>
      <c r="H69" s="800"/>
      <c r="I69" s="802"/>
      <c r="J69" s="802"/>
      <c r="K69" s="802"/>
      <c r="L69" s="802"/>
      <c r="M69" s="801"/>
      <c r="N69" s="802"/>
      <c r="O69" s="741"/>
      <c r="P69" s="802"/>
      <c r="Q69" s="741"/>
      <c r="R69" s="949"/>
      <c r="S69" s="802"/>
      <c r="T69" s="801"/>
      <c r="U69" s="802"/>
      <c r="V69" s="802"/>
      <c r="W69" s="802"/>
      <c r="X69" s="802"/>
      <c r="Y69" s="802"/>
      <c r="Z69" s="802"/>
      <c r="AA69" s="801"/>
      <c r="AB69" s="826"/>
      <c r="AC69" s="802"/>
      <c r="AD69" s="802"/>
      <c r="AE69" s="802"/>
      <c r="AF69" s="802"/>
      <c r="AG69" s="802"/>
      <c r="AH69" s="786"/>
      <c r="AI69" s="576">
        <f t="shared" si="1"/>
        <v>0</v>
      </c>
      <c r="AJ69" s="811"/>
      <c r="AK69" s="578"/>
      <c r="AM69" s="578"/>
    </row>
    <row r="70" spans="1:39" s="560" customFormat="1" ht="13.8">
      <c r="A70" s="940" t="s">
        <v>2000</v>
      </c>
      <c r="B70" s="604" t="s">
        <v>2003</v>
      </c>
      <c r="C70" s="799" t="s">
        <v>39</v>
      </c>
      <c r="D70" s="800"/>
      <c r="E70" s="800"/>
      <c r="F70" s="801"/>
      <c r="G70" s="800"/>
      <c r="H70" s="800"/>
      <c r="I70" s="802"/>
      <c r="J70" s="802"/>
      <c r="K70" s="802"/>
      <c r="L70" s="802"/>
      <c r="M70" s="801"/>
      <c r="N70" s="802"/>
      <c r="O70" s="741"/>
      <c r="P70" s="802"/>
      <c r="Q70" s="741"/>
      <c r="R70" s="949"/>
      <c r="S70" s="802"/>
      <c r="T70" s="801"/>
      <c r="U70" s="802"/>
      <c r="V70" s="802"/>
      <c r="W70" s="802"/>
      <c r="X70" s="802"/>
      <c r="Y70" s="802"/>
      <c r="Z70" s="802"/>
      <c r="AA70" s="801"/>
      <c r="AB70" s="826"/>
      <c r="AC70" s="802"/>
      <c r="AD70" s="802"/>
      <c r="AE70" s="802"/>
      <c r="AF70" s="802"/>
      <c r="AG70" s="802"/>
      <c r="AH70" s="802"/>
      <c r="AI70" s="576">
        <f t="shared" si="1"/>
        <v>0</v>
      </c>
      <c r="AJ70" s="811"/>
      <c r="AK70" s="578"/>
      <c r="AM70" s="578"/>
    </row>
    <row r="71" spans="1:39" s="560" customFormat="1">
      <c r="A71" s="940" t="s">
        <v>2002</v>
      </c>
      <c r="B71" s="604" t="s">
        <v>2004</v>
      </c>
      <c r="C71" s="614" t="s">
        <v>47</v>
      </c>
      <c r="D71" s="800"/>
      <c r="E71" s="800"/>
      <c r="F71" s="801"/>
      <c r="G71" s="800"/>
      <c r="H71" s="800"/>
      <c r="I71" s="802"/>
      <c r="J71" s="802"/>
      <c r="K71" s="802"/>
      <c r="L71" s="802"/>
      <c r="M71" s="801"/>
      <c r="N71" s="802"/>
      <c r="O71" s="741"/>
      <c r="P71" s="802"/>
      <c r="Q71" s="741"/>
      <c r="R71" s="949"/>
      <c r="S71" s="802"/>
      <c r="T71" s="801"/>
      <c r="U71" s="802"/>
      <c r="V71" s="802"/>
      <c r="W71" s="802"/>
      <c r="X71" s="802"/>
      <c r="Y71" s="802"/>
      <c r="Z71" s="802"/>
      <c r="AA71" s="801"/>
      <c r="AB71" s="826"/>
      <c r="AC71" s="802"/>
      <c r="AD71" s="802"/>
      <c r="AE71" s="802"/>
      <c r="AF71" s="802"/>
      <c r="AG71" s="802"/>
      <c r="AH71" s="786"/>
      <c r="AI71" s="576">
        <f t="shared" si="1"/>
        <v>0</v>
      </c>
      <c r="AJ71" s="811"/>
      <c r="AK71" s="578"/>
      <c r="AM71" s="578"/>
    </row>
    <row r="72" spans="1:39" s="560" customFormat="1">
      <c r="A72" s="940" t="s">
        <v>2017</v>
      </c>
      <c r="B72" s="804" t="s">
        <v>224</v>
      </c>
      <c r="C72" s="614" t="s">
        <v>2016</v>
      </c>
      <c r="D72" s="800"/>
      <c r="E72" s="800"/>
      <c r="F72" s="801"/>
      <c r="G72" s="800"/>
      <c r="H72" s="800"/>
      <c r="I72" s="802"/>
      <c r="K72" s="802"/>
      <c r="L72" s="802"/>
      <c r="M72" s="801"/>
      <c r="N72" s="802"/>
      <c r="O72" s="741"/>
      <c r="P72" s="802"/>
      <c r="Q72" s="741"/>
      <c r="R72" s="949"/>
      <c r="S72" s="802"/>
      <c r="T72" s="801"/>
      <c r="U72" s="802"/>
      <c r="V72" s="802"/>
      <c r="W72" s="802"/>
      <c r="X72" s="802"/>
      <c r="Y72" s="802"/>
      <c r="Z72" s="802"/>
      <c r="AA72" s="801"/>
      <c r="AB72" s="826"/>
      <c r="AC72" s="802"/>
      <c r="AD72" s="802"/>
      <c r="AE72" s="802"/>
      <c r="AF72" s="802"/>
      <c r="AG72" s="802"/>
      <c r="AH72" s="786"/>
      <c r="AI72" s="576">
        <f t="shared" si="1"/>
        <v>0</v>
      </c>
      <c r="AJ72" s="811"/>
      <c r="AK72" s="578"/>
      <c r="AM72" s="578"/>
    </row>
    <row r="73" spans="1:39" s="560" customFormat="1">
      <c r="A73" s="1055" t="s">
        <v>2108</v>
      </c>
      <c r="B73" s="804" t="s">
        <v>1834</v>
      </c>
      <c r="C73" s="614"/>
      <c r="D73" s="800"/>
      <c r="E73" s="800"/>
      <c r="F73" s="801"/>
      <c r="G73" s="800"/>
      <c r="H73" s="800"/>
      <c r="I73" s="802"/>
      <c r="K73" s="802"/>
      <c r="L73" s="802"/>
      <c r="M73" s="801"/>
      <c r="N73" s="802"/>
      <c r="O73" s="741"/>
      <c r="P73" s="802"/>
      <c r="Q73" s="741"/>
      <c r="R73" s="949"/>
      <c r="S73" s="802"/>
      <c r="T73" s="801"/>
      <c r="U73" s="802"/>
      <c r="V73" s="802"/>
      <c r="W73" s="802"/>
      <c r="X73" s="802"/>
      <c r="Y73" s="802"/>
      <c r="Z73" s="802"/>
      <c r="AA73" s="801"/>
      <c r="AB73" s="826"/>
      <c r="AC73" s="802"/>
      <c r="AD73" s="802"/>
      <c r="AE73" s="802"/>
      <c r="AF73" s="1088"/>
      <c r="AG73" s="802"/>
      <c r="AH73" s="786"/>
      <c r="AI73" s="1061">
        <f t="shared" si="1"/>
        <v>0</v>
      </c>
      <c r="AJ73" s="811"/>
      <c r="AK73" s="578"/>
      <c r="AM73" s="578"/>
    </row>
    <row r="74" spans="1:39" s="560" customFormat="1">
      <c r="A74" s="940" t="s">
        <v>2109</v>
      </c>
      <c r="B74" s="804" t="s">
        <v>224</v>
      </c>
      <c r="C74" s="614" t="s">
        <v>2016</v>
      </c>
      <c r="D74" s="800"/>
      <c r="E74" s="800"/>
      <c r="F74" s="801"/>
      <c r="G74" s="800"/>
      <c r="H74" s="800"/>
      <c r="I74" s="802"/>
      <c r="K74" s="802"/>
      <c r="L74" s="802"/>
      <c r="M74" s="801"/>
      <c r="N74" s="802"/>
      <c r="O74" s="741"/>
      <c r="P74" s="802"/>
      <c r="Q74" s="741"/>
      <c r="R74" s="949"/>
      <c r="S74" s="802"/>
      <c r="T74" s="801"/>
      <c r="U74" s="802"/>
      <c r="V74" s="802"/>
      <c r="W74" s="802"/>
      <c r="X74" s="802"/>
      <c r="Y74" s="802"/>
      <c r="Z74" s="802"/>
      <c r="AA74" s="801"/>
      <c r="AB74" s="826"/>
      <c r="AC74" s="802"/>
      <c r="AD74" s="802"/>
      <c r="AE74" s="802"/>
      <c r="AF74" s="1088">
        <v>7</v>
      </c>
      <c r="AG74" s="802"/>
      <c r="AH74" s="786"/>
      <c r="AI74" s="1061">
        <f t="shared" si="1"/>
        <v>7</v>
      </c>
      <c r="AJ74" s="811"/>
      <c r="AK74" s="578"/>
      <c r="AM74" s="578"/>
    </row>
    <row r="75" spans="1:39" s="560" customFormat="1">
      <c r="A75" s="1055" t="s">
        <v>1986</v>
      </c>
      <c r="B75" s="1056" t="s">
        <v>1203</v>
      </c>
      <c r="C75" s="614"/>
      <c r="D75" s="800"/>
      <c r="E75" s="1025"/>
      <c r="F75" s="801"/>
      <c r="G75" s="800"/>
      <c r="H75" s="800"/>
      <c r="I75" s="802"/>
      <c r="J75" s="802"/>
      <c r="K75" s="802"/>
      <c r="L75" s="802"/>
      <c r="M75" s="801"/>
      <c r="N75" s="802"/>
      <c r="O75" s="741"/>
      <c r="P75" s="802"/>
      <c r="Q75" s="746"/>
      <c r="R75" s="949"/>
      <c r="S75" s="1026"/>
      <c r="T75" s="801"/>
      <c r="U75" s="802"/>
      <c r="V75" s="802"/>
      <c r="W75" s="802"/>
      <c r="X75" s="802"/>
      <c r="Y75" s="802"/>
      <c r="Z75" s="802"/>
      <c r="AA75" s="801"/>
      <c r="AB75" s="826"/>
      <c r="AC75" s="802"/>
      <c r="AD75" s="802"/>
      <c r="AE75" s="802"/>
      <c r="AF75" s="802"/>
      <c r="AG75" s="802"/>
      <c r="AH75" s="786"/>
      <c r="AI75" s="576">
        <f t="shared" si="1"/>
        <v>0</v>
      </c>
      <c r="AJ75" s="811"/>
      <c r="AK75" s="578"/>
      <c r="AM75" s="578"/>
    </row>
    <row r="76" spans="1:39" s="560" customFormat="1">
      <c r="A76" s="940" t="s">
        <v>1988</v>
      </c>
      <c r="B76" s="804" t="s">
        <v>1834</v>
      </c>
      <c r="C76" s="614"/>
      <c r="D76" s="800"/>
      <c r="E76" s="1025"/>
      <c r="F76" s="801"/>
      <c r="G76" s="800"/>
      <c r="H76" s="800"/>
      <c r="I76" s="802"/>
      <c r="J76" s="802"/>
      <c r="K76" s="802"/>
      <c r="L76" s="802"/>
      <c r="M76" s="801"/>
      <c r="N76" s="802"/>
      <c r="O76" s="741"/>
      <c r="P76" s="802"/>
      <c r="Q76" s="741"/>
      <c r="R76" s="949"/>
      <c r="S76" s="1026"/>
      <c r="T76" s="801"/>
      <c r="U76" s="802"/>
      <c r="V76" s="802"/>
      <c r="W76" s="802"/>
      <c r="X76" s="802"/>
      <c r="Y76" s="802"/>
      <c r="Z76" s="802"/>
      <c r="AA76" s="801"/>
      <c r="AB76" s="826"/>
      <c r="AC76" s="802"/>
      <c r="AD76" s="802"/>
      <c r="AE76" s="802"/>
      <c r="AF76" s="802"/>
      <c r="AG76" s="802"/>
      <c r="AH76" s="786"/>
      <c r="AI76" s="576">
        <f t="shared" si="1"/>
        <v>0</v>
      </c>
      <c r="AJ76" s="811"/>
      <c r="AK76" s="578"/>
      <c r="AM76" s="578"/>
    </row>
    <row r="77" spans="1:39" s="560" customFormat="1">
      <c r="A77" s="940" t="s">
        <v>1989</v>
      </c>
      <c r="B77" s="604" t="s">
        <v>1189</v>
      </c>
      <c r="C77" s="614" t="s">
        <v>36</v>
      </c>
      <c r="D77" s="800"/>
      <c r="E77" s="1025"/>
      <c r="F77" s="801"/>
      <c r="G77" s="800"/>
      <c r="H77" s="800"/>
      <c r="I77" s="802"/>
      <c r="J77" s="802"/>
      <c r="K77" s="802"/>
      <c r="L77" s="802"/>
      <c r="M77" s="801"/>
      <c r="N77" s="802"/>
      <c r="O77" s="741"/>
      <c r="P77" s="802"/>
      <c r="Q77" s="741"/>
      <c r="R77" s="949"/>
      <c r="S77" s="1026"/>
      <c r="T77" s="801"/>
      <c r="U77" s="802"/>
      <c r="V77" s="802"/>
      <c r="W77" s="802"/>
      <c r="X77" s="802"/>
      <c r="Y77" s="802"/>
      <c r="Z77" s="802"/>
      <c r="AA77" s="801"/>
      <c r="AB77" s="826"/>
      <c r="AC77" s="802"/>
      <c r="AD77" s="802"/>
      <c r="AE77" s="802"/>
      <c r="AF77" s="802"/>
      <c r="AG77" s="802"/>
      <c r="AH77" s="786"/>
      <c r="AI77" s="576">
        <f t="shared" si="1"/>
        <v>0</v>
      </c>
      <c r="AJ77" s="811"/>
      <c r="AK77" s="578"/>
      <c r="AM77" s="578"/>
    </row>
    <row r="78" spans="1:39" s="560" customFormat="1">
      <c r="A78" s="940" t="s">
        <v>2049</v>
      </c>
      <c r="B78" s="804" t="s">
        <v>1835</v>
      </c>
      <c r="C78" s="614" t="s">
        <v>39</v>
      </c>
      <c r="D78" s="800"/>
      <c r="E78" s="1025"/>
      <c r="F78" s="801"/>
      <c r="G78" s="800"/>
      <c r="H78" s="800"/>
      <c r="I78" s="802"/>
      <c r="J78" s="802"/>
      <c r="K78" s="802"/>
      <c r="L78" s="802"/>
      <c r="M78" s="801"/>
      <c r="N78" s="802"/>
      <c r="O78" s="741"/>
      <c r="P78" s="802"/>
      <c r="Q78" s="741"/>
      <c r="R78" s="949"/>
      <c r="S78" s="1026"/>
      <c r="T78" s="801"/>
      <c r="V78" s="802"/>
      <c r="W78" s="741"/>
      <c r="X78" s="802"/>
      <c r="Y78" s="802"/>
      <c r="Z78" s="802"/>
      <c r="AA78" s="801"/>
      <c r="AB78" s="826"/>
      <c r="AC78" s="802"/>
      <c r="AD78" s="802"/>
      <c r="AE78" s="949"/>
      <c r="AF78" s="949"/>
      <c r="AG78" s="949"/>
      <c r="AH78" s="786"/>
      <c r="AI78" s="576">
        <f t="shared" ref="AI78:AI141" si="6">SUM(D78:AH78)</f>
        <v>0</v>
      </c>
      <c r="AJ78" s="811"/>
      <c r="AK78" s="578"/>
      <c r="AM78" s="578"/>
    </row>
    <row r="79" spans="1:39" s="560" customFormat="1">
      <c r="A79" s="940" t="s">
        <v>2018</v>
      </c>
      <c r="B79" s="804" t="s">
        <v>1876</v>
      </c>
      <c r="C79" s="614"/>
      <c r="D79" s="800"/>
      <c r="E79" s="1025"/>
      <c r="F79" s="801"/>
      <c r="G79" s="800"/>
      <c r="H79" s="800"/>
      <c r="I79" s="802"/>
      <c r="J79" s="802"/>
      <c r="K79" s="802"/>
      <c r="L79" s="802"/>
      <c r="M79" s="801"/>
      <c r="N79" s="802"/>
      <c r="O79" s="741"/>
      <c r="P79" s="802"/>
      <c r="Q79" s="741"/>
      <c r="R79" s="949"/>
      <c r="S79" s="1026"/>
      <c r="T79" s="801"/>
      <c r="U79" s="802"/>
      <c r="V79" s="802"/>
      <c r="W79" s="741"/>
      <c r="X79" s="802"/>
      <c r="Y79" s="802"/>
      <c r="Z79" s="802"/>
      <c r="AA79" s="801"/>
      <c r="AB79" s="826"/>
      <c r="AC79" s="802"/>
      <c r="AD79" s="802"/>
      <c r="AE79" s="741"/>
      <c r="AF79" s="949"/>
      <c r="AG79" s="802"/>
      <c r="AH79" s="786"/>
      <c r="AI79" s="576">
        <f t="shared" si="6"/>
        <v>0</v>
      </c>
      <c r="AJ79" s="811"/>
      <c r="AK79" s="578"/>
      <c r="AM79" s="578"/>
    </row>
    <row r="80" spans="1:39" s="560" customFormat="1">
      <c r="A80" s="940" t="s">
        <v>2031</v>
      </c>
      <c r="B80" s="604" t="s">
        <v>2019</v>
      </c>
      <c r="C80" s="614" t="s">
        <v>39</v>
      </c>
      <c r="D80" s="800"/>
      <c r="E80" s="1025"/>
      <c r="F80" s="801"/>
      <c r="G80" s="800"/>
      <c r="H80" s="800"/>
      <c r="I80" s="802"/>
      <c r="J80" s="802"/>
      <c r="K80" s="802"/>
      <c r="L80" s="802"/>
      <c r="M80" s="801"/>
      <c r="N80" s="802"/>
      <c r="O80" s="741"/>
      <c r="P80" s="802"/>
      <c r="Q80" s="741"/>
      <c r="R80" s="949"/>
      <c r="S80" s="1026"/>
      <c r="T80" s="801"/>
      <c r="U80" s="802"/>
      <c r="V80" s="802"/>
      <c r="W80" s="802"/>
      <c r="X80" s="802"/>
      <c r="Y80" s="802"/>
      <c r="Z80" s="802"/>
      <c r="AA80" s="801"/>
      <c r="AB80" s="826"/>
      <c r="AC80" s="802"/>
      <c r="AD80" s="802"/>
      <c r="AE80" s="949"/>
      <c r="AF80" s="949"/>
      <c r="AG80" s="949"/>
      <c r="AH80" s="786"/>
      <c r="AI80" s="576">
        <f t="shared" si="6"/>
        <v>0</v>
      </c>
      <c r="AJ80" s="811"/>
      <c r="AK80" s="578"/>
      <c r="AM80" s="578"/>
    </row>
    <row r="81" spans="1:39" s="560" customFormat="1">
      <c r="A81" s="940" t="s">
        <v>2032</v>
      </c>
      <c r="B81" s="604" t="s">
        <v>2020</v>
      </c>
      <c r="C81" s="614" t="s">
        <v>36</v>
      </c>
      <c r="D81" s="800"/>
      <c r="E81" s="1025"/>
      <c r="F81" s="801"/>
      <c r="G81" s="800"/>
      <c r="H81" s="800"/>
      <c r="I81" s="802"/>
      <c r="J81" s="802"/>
      <c r="K81" s="802"/>
      <c r="L81" s="802"/>
      <c r="M81" s="801"/>
      <c r="N81" s="802"/>
      <c r="O81" s="741"/>
      <c r="P81" s="802"/>
      <c r="Q81" s="741"/>
      <c r="R81" s="949"/>
      <c r="S81" s="1026"/>
      <c r="T81" s="801"/>
      <c r="U81" s="802"/>
      <c r="V81" s="802"/>
      <c r="W81" s="802"/>
      <c r="X81" s="802"/>
      <c r="Y81" s="802"/>
      <c r="Z81" s="802"/>
      <c r="AA81" s="801"/>
      <c r="AB81" s="826"/>
      <c r="AC81" s="802"/>
      <c r="AD81" s="802"/>
      <c r="AE81" s="802"/>
      <c r="AF81" s="802"/>
      <c r="AG81" s="802"/>
      <c r="AH81" s="786"/>
      <c r="AI81" s="576">
        <f t="shared" si="6"/>
        <v>0</v>
      </c>
      <c r="AJ81" s="811"/>
      <c r="AK81" s="578"/>
      <c r="AM81" s="578"/>
    </row>
    <row r="82" spans="1:39" s="560" customFormat="1">
      <c r="A82" s="940" t="s">
        <v>2033</v>
      </c>
      <c r="B82" s="604" t="s">
        <v>2021</v>
      </c>
      <c r="C82" s="614" t="s">
        <v>1823</v>
      </c>
      <c r="D82" s="800"/>
      <c r="E82" s="1025"/>
      <c r="F82" s="800"/>
      <c r="G82" s="800"/>
      <c r="H82" s="800"/>
      <c r="I82" s="802"/>
      <c r="J82" s="802"/>
      <c r="K82" s="802"/>
      <c r="L82" s="802"/>
      <c r="M82" s="800"/>
      <c r="N82" s="802"/>
      <c r="O82" s="741"/>
      <c r="P82" s="802"/>
      <c r="Q82" s="741"/>
      <c r="R82" s="949"/>
      <c r="S82" s="1026"/>
      <c r="T82" s="800"/>
      <c r="U82" s="802"/>
      <c r="V82" s="802"/>
      <c r="W82" s="802"/>
      <c r="X82" s="802"/>
      <c r="Y82" s="802"/>
      <c r="Z82" s="802"/>
      <c r="AA82" s="800"/>
      <c r="AB82" s="802"/>
      <c r="AC82" s="802"/>
      <c r="AD82" s="802"/>
      <c r="AE82" s="802"/>
      <c r="AF82" s="802"/>
      <c r="AG82" s="802"/>
      <c r="AH82" s="786"/>
      <c r="AI82" s="576">
        <f t="shared" si="6"/>
        <v>0</v>
      </c>
      <c r="AJ82" s="811"/>
      <c r="AK82" s="578"/>
      <c r="AM82" s="578"/>
    </row>
    <row r="83" spans="1:39" s="560" customFormat="1">
      <c r="A83" s="940" t="s">
        <v>2074</v>
      </c>
      <c r="B83" s="607" t="s">
        <v>1225</v>
      </c>
      <c r="C83" s="614"/>
      <c r="D83" s="800"/>
      <c r="E83" s="1025"/>
      <c r="F83" s="801"/>
      <c r="G83" s="800"/>
      <c r="H83" s="800"/>
      <c r="I83" s="802"/>
      <c r="J83" s="802"/>
      <c r="K83" s="802"/>
      <c r="L83" s="802"/>
      <c r="M83" s="801"/>
      <c r="N83" s="802"/>
      <c r="O83" s="741"/>
      <c r="P83" s="802"/>
      <c r="Q83" s="741"/>
      <c r="R83" s="949"/>
      <c r="S83" s="1026"/>
      <c r="T83" s="801"/>
      <c r="U83" s="802"/>
      <c r="V83" s="802"/>
      <c r="W83" s="802"/>
      <c r="X83" s="802"/>
      <c r="Y83" s="802"/>
      <c r="Z83" s="802"/>
      <c r="AA83" s="801"/>
      <c r="AB83" s="826"/>
      <c r="AC83" s="802"/>
      <c r="AD83" s="802"/>
      <c r="AE83" s="802"/>
      <c r="AF83" s="802"/>
      <c r="AG83" s="802"/>
      <c r="AH83" s="786"/>
      <c r="AI83" s="576">
        <f t="shared" si="6"/>
        <v>0</v>
      </c>
      <c r="AJ83" s="811"/>
      <c r="AK83" s="578"/>
      <c r="AM83" s="578"/>
    </row>
    <row r="84" spans="1:39" s="560" customFormat="1">
      <c r="A84" s="940" t="s">
        <v>2075</v>
      </c>
      <c r="B84" s="604" t="s">
        <v>2073</v>
      </c>
      <c r="C84" s="614" t="s">
        <v>1982</v>
      </c>
      <c r="D84" s="800"/>
      <c r="E84" s="800"/>
      <c r="F84" s="801"/>
      <c r="G84" s="800"/>
      <c r="H84" s="800"/>
      <c r="I84" s="802"/>
      <c r="J84" s="802"/>
      <c r="K84" s="802"/>
      <c r="L84" s="802"/>
      <c r="M84" s="801"/>
      <c r="N84" s="802"/>
      <c r="O84" s="741"/>
      <c r="P84" s="802"/>
      <c r="Q84" s="741"/>
      <c r="R84" s="949"/>
      <c r="S84" s="802"/>
      <c r="T84" s="801"/>
      <c r="U84" s="802"/>
      <c r="V84" s="802"/>
      <c r="W84" s="802"/>
      <c r="X84" s="802"/>
      <c r="Y84" s="802"/>
      <c r="Z84" s="802"/>
      <c r="AA84" s="801"/>
      <c r="AB84" s="826"/>
      <c r="AC84" s="802"/>
      <c r="AD84" s="802"/>
      <c r="AE84" s="802"/>
      <c r="AF84" s="802"/>
      <c r="AG84" s="802"/>
      <c r="AH84" s="786"/>
      <c r="AI84" s="576">
        <f t="shared" si="6"/>
        <v>0</v>
      </c>
      <c r="AJ84" s="811"/>
      <c r="AK84" s="578"/>
      <c r="AM84" s="578"/>
    </row>
    <row r="85" spans="1:39" s="560" customFormat="1">
      <c r="A85" s="607" t="s">
        <v>513</v>
      </c>
      <c r="B85" s="607" t="s">
        <v>1222</v>
      </c>
      <c r="C85" s="614"/>
      <c r="D85" s="800"/>
      <c r="E85" s="800"/>
      <c r="F85" s="801"/>
      <c r="G85" s="800"/>
      <c r="H85" s="800"/>
      <c r="I85" s="802"/>
      <c r="J85" s="802"/>
      <c r="K85" s="802"/>
      <c r="L85" s="802"/>
      <c r="M85" s="801"/>
      <c r="N85" s="802"/>
      <c r="O85" s="741"/>
      <c r="P85" s="802"/>
      <c r="Q85" s="741"/>
      <c r="R85" s="949"/>
      <c r="S85" s="802"/>
      <c r="T85" s="801"/>
      <c r="U85" s="802"/>
      <c r="V85" s="802"/>
      <c r="W85" s="802"/>
      <c r="X85" s="802"/>
      <c r="Y85" s="802"/>
      <c r="Z85" s="802"/>
      <c r="AA85" s="801"/>
      <c r="AB85" s="826"/>
      <c r="AC85" s="802"/>
      <c r="AD85" s="802"/>
      <c r="AE85" s="802"/>
      <c r="AF85" s="802"/>
      <c r="AG85" s="802"/>
      <c r="AH85" s="802"/>
      <c r="AI85" s="576">
        <f t="shared" si="6"/>
        <v>0</v>
      </c>
      <c r="AJ85" s="811"/>
      <c r="AK85" s="578"/>
      <c r="AM85" s="578"/>
    </row>
    <row r="86" spans="1:39" s="560" customFormat="1">
      <c r="A86" s="604" t="s">
        <v>514</v>
      </c>
      <c r="B86" s="604" t="s">
        <v>2070</v>
      </c>
      <c r="C86" s="614" t="s">
        <v>36</v>
      </c>
      <c r="D86" s="800"/>
      <c r="E86" s="800"/>
      <c r="F86" s="801"/>
      <c r="G86" s="1103"/>
      <c r="H86" s="800"/>
      <c r="I86" s="802"/>
      <c r="J86" s="802"/>
      <c r="K86" s="802"/>
      <c r="L86" s="802"/>
      <c r="M86" s="801"/>
      <c r="N86" s="802"/>
      <c r="O86" s="741"/>
      <c r="P86" s="802"/>
      <c r="Q86" s="741"/>
      <c r="R86" s="949"/>
      <c r="S86" s="802"/>
      <c r="T86" s="801"/>
      <c r="U86" s="802"/>
      <c r="V86" s="802"/>
      <c r="W86" s="802"/>
      <c r="X86" s="802"/>
      <c r="Y86" s="802"/>
      <c r="Z86" s="802"/>
      <c r="AA86" s="801"/>
      <c r="AB86" s="826"/>
      <c r="AC86" s="802"/>
      <c r="AD86" s="802"/>
      <c r="AE86" s="802"/>
      <c r="AF86" s="802"/>
      <c r="AG86" s="802"/>
      <c r="AH86" s="802"/>
      <c r="AI86" s="576">
        <f t="shared" si="6"/>
        <v>0</v>
      </c>
      <c r="AJ86" s="811"/>
      <c r="AK86" s="578"/>
      <c r="AM86" s="578"/>
    </row>
    <row r="87" spans="1:39" s="560" customFormat="1">
      <c r="A87" s="1055" t="s">
        <v>1987</v>
      </c>
      <c r="B87" s="1056" t="s">
        <v>1979</v>
      </c>
      <c r="C87" s="614"/>
      <c r="D87" s="800"/>
      <c r="E87" s="800"/>
      <c r="F87" s="801"/>
      <c r="G87" s="1103"/>
      <c r="H87" s="800"/>
      <c r="I87" s="802"/>
      <c r="J87" s="802"/>
      <c r="K87" s="802"/>
      <c r="L87" s="802"/>
      <c r="M87" s="801"/>
      <c r="N87" s="802"/>
      <c r="O87" s="741"/>
      <c r="P87" s="802"/>
      <c r="Q87" s="741"/>
      <c r="R87" s="949"/>
      <c r="S87" s="802"/>
      <c r="T87" s="801"/>
      <c r="U87" s="802"/>
      <c r="V87" s="802"/>
      <c r="W87" s="802"/>
      <c r="X87" s="802"/>
      <c r="Y87" s="802"/>
      <c r="Z87" s="802"/>
      <c r="AA87" s="801"/>
      <c r="AB87" s="826"/>
      <c r="AC87" s="802"/>
      <c r="AD87" s="802"/>
      <c r="AE87" s="802"/>
      <c r="AF87" s="802"/>
      <c r="AG87" s="802"/>
      <c r="AH87" s="802"/>
      <c r="AI87" s="576">
        <f t="shared" si="6"/>
        <v>0</v>
      </c>
      <c r="AJ87" s="811"/>
      <c r="AK87" s="578"/>
      <c r="AM87" s="578"/>
    </row>
    <row r="88" spans="1:39" s="560" customFormat="1">
      <c r="A88" s="940" t="s">
        <v>1990</v>
      </c>
      <c r="B88" s="804" t="s">
        <v>1983</v>
      </c>
      <c r="C88" s="614" t="s">
        <v>57</v>
      </c>
      <c r="D88" s="800"/>
      <c r="E88" s="800"/>
      <c r="F88" s="801"/>
      <c r="G88" s="1103"/>
      <c r="H88" s="800"/>
      <c r="I88" s="802"/>
      <c r="J88" s="802"/>
      <c r="K88" s="802"/>
      <c r="L88" s="802"/>
      <c r="M88" s="801"/>
      <c r="N88" s="802"/>
      <c r="O88" s="741"/>
      <c r="P88" s="802"/>
      <c r="Q88" s="741"/>
      <c r="R88" s="949"/>
      <c r="S88" s="802"/>
      <c r="T88" s="801"/>
      <c r="U88" s="802"/>
      <c r="V88" s="802"/>
      <c r="W88" s="802"/>
      <c r="X88" s="802"/>
      <c r="Y88" s="802"/>
      <c r="Z88" s="802"/>
      <c r="AA88" s="801"/>
      <c r="AB88" s="826"/>
      <c r="AC88" s="802"/>
      <c r="AD88" s="802"/>
      <c r="AE88" s="802"/>
      <c r="AF88" s="802"/>
      <c r="AG88" s="802"/>
      <c r="AH88" s="802"/>
      <c r="AI88" s="576">
        <f t="shared" si="6"/>
        <v>0</v>
      </c>
      <c r="AJ88" s="811"/>
      <c r="AK88" s="578"/>
      <c r="AM88" s="578"/>
    </row>
    <row r="89" spans="1:39" s="560" customFormat="1">
      <c r="A89" s="1099" t="s">
        <v>2046</v>
      </c>
      <c r="B89" s="804" t="s">
        <v>2047</v>
      </c>
      <c r="C89" s="614" t="s">
        <v>57</v>
      </c>
      <c r="D89" s="800"/>
      <c r="E89" s="800"/>
      <c r="F89" s="801"/>
      <c r="G89" s="1103"/>
      <c r="H89" s="800"/>
      <c r="I89" s="802"/>
      <c r="J89" s="802"/>
      <c r="K89" s="802"/>
      <c r="L89" s="802"/>
      <c r="M89" s="801"/>
      <c r="N89" s="802"/>
      <c r="O89" s="741"/>
      <c r="P89" s="802"/>
      <c r="Q89" s="741"/>
      <c r="R89" s="949"/>
      <c r="S89" s="802"/>
      <c r="T89" s="801"/>
      <c r="U89" s="802"/>
      <c r="V89" s="802"/>
      <c r="W89" s="802"/>
      <c r="X89" s="802"/>
      <c r="Y89" s="802"/>
      <c r="Z89" s="802"/>
      <c r="AA89" s="801"/>
      <c r="AB89" s="826"/>
      <c r="AC89" s="802"/>
      <c r="AD89" s="802"/>
      <c r="AE89" s="802"/>
      <c r="AF89" s="802"/>
      <c r="AG89" s="802"/>
      <c r="AH89" s="802"/>
      <c r="AI89" s="576">
        <f t="shared" si="6"/>
        <v>0</v>
      </c>
      <c r="AJ89" s="811"/>
      <c r="AK89" s="578"/>
      <c r="AM89" s="578"/>
    </row>
    <row r="90" spans="1:39" s="560" customFormat="1">
      <c r="A90" s="1099" t="s">
        <v>2048</v>
      </c>
      <c r="B90" s="804" t="s">
        <v>2050</v>
      </c>
      <c r="C90" s="614" t="s">
        <v>57</v>
      </c>
      <c r="D90" s="800"/>
      <c r="E90" s="800"/>
      <c r="F90" s="801"/>
      <c r="G90" s="800"/>
      <c r="I90" s="802"/>
      <c r="J90" s="802"/>
      <c r="K90" s="802"/>
      <c r="L90" s="802"/>
      <c r="M90" s="801"/>
      <c r="N90" s="802"/>
      <c r="O90" s="741"/>
      <c r="P90" s="802"/>
      <c r="Q90" s="741"/>
      <c r="R90" s="949"/>
      <c r="S90" s="802"/>
      <c r="T90" s="801"/>
      <c r="U90" s="802"/>
      <c r="V90" s="802"/>
      <c r="W90" s="802"/>
      <c r="X90" s="802"/>
      <c r="Y90" s="802"/>
      <c r="Z90" s="802"/>
      <c r="AA90" s="801"/>
      <c r="AB90" s="826"/>
      <c r="AC90" s="802"/>
      <c r="AD90" s="802"/>
      <c r="AE90" s="802"/>
      <c r="AF90" s="802"/>
      <c r="AG90" s="802"/>
      <c r="AH90" s="786"/>
      <c r="AI90" s="576">
        <f t="shared" si="6"/>
        <v>0</v>
      </c>
      <c r="AJ90" s="811"/>
      <c r="AK90" s="578"/>
      <c r="AM90" s="578"/>
    </row>
    <row r="91" spans="1:39" s="560" customFormat="1">
      <c r="A91" s="1099" t="s">
        <v>2059</v>
      </c>
      <c r="B91" s="804" t="s">
        <v>2060</v>
      </c>
      <c r="C91" s="614" t="s">
        <v>57</v>
      </c>
      <c r="D91" s="800"/>
      <c r="E91" s="800"/>
      <c r="F91" s="801"/>
      <c r="G91" s="800"/>
      <c r="H91" s="800"/>
      <c r="I91" s="802"/>
      <c r="J91" s="802"/>
      <c r="K91" s="802"/>
      <c r="L91" s="802"/>
      <c r="M91" s="801"/>
      <c r="N91" s="802"/>
      <c r="O91" s="741"/>
      <c r="P91" s="802"/>
      <c r="Q91" s="741"/>
      <c r="R91" s="949"/>
      <c r="S91" s="802"/>
      <c r="T91" s="801"/>
      <c r="U91" s="802"/>
      <c r="V91" s="802"/>
      <c r="W91" s="802"/>
      <c r="X91" s="802"/>
      <c r="Y91" s="802"/>
      <c r="Z91" s="802"/>
      <c r="AA91" s="801"/>
      <c r="AB91" s="826"/>
      <c r="AC91" s="802"/>
      <c r="AD91" s="802"/>
      <c r="AE91" s="802"/>
      <c r="AF91" s="802"/>
      <c r="AG91" s="802"/>
      <c r="AH91" s="786"/>
      <c r="AI91" s="576">
        <f t="shared" si="6"/>
        <v>0</v>
      </c>
      <c r="AJ91" s="811"/>
      <c r="AK91" s="578"/>
      <c r="AM91" s="578"/>
    </row>
    <row r="92" spans="1:39" s="560" customFormat="1">
      <c r="A92" s="1099" t="s">
        <v>2068</v>
      </c>
      <c r="B92" s="804" t="s">
        <v>2069</v>
      </c>
      <c r="C92" s="614" t="s">
        <v>57</v>
      </c>
      <c r="D92" s="800"/>
      <c r="E92" s="800"/>
      <c r="F92" s="801"/>
      <c r="G92" s="800"/>
      <c r="H92" s="800"/>
      <c r="I92" s="802"/>
      <c r="J92" s="802"/>
      <c r="K92" s="802"/>
      <c r="L92" s="802"/>
      <c r="M92" s="801"/>
      <c r="N92" s="802"/>
      <c r="O92" s="741"/>
      <c r="P92" s="802"/>
      <c r="Q92" s="741"/>
      <c r="R92" s="949"/>
      <c r="S92" s="802"/>
      <c r="T92" s="801"/>
      <c r="U92" s="802"/>
      <c r="V92" s="802"/>
      <c r="W92" s="802"/>
      <c r="X92" s="802"/>
      <c r="Y92" s="802"/>
      <c r="Z92" s="802"/>
      <c r="AA92" s="801"/>
      <c r="AB92" s="826"/>
      <c r="AC92" s="802"/>
      <c r="AD92" s="802"/>
      <c r="AE92" s="802"/>
      <c r="AF92" s="802"/>
      <c r="AG92" s="802"/>
      <c r="AH92" s="786"/>
      <c r="AI92" s="576">
        <f t="shared" si="6"/>
        <v>0</v>
      </c>
      <c r="AJ92" s="811"/>
      <c r="AK92" s="578"/>
      <c r="AM92" s="578"/>
    </row>
    <row r="93" spans="1:39" s="560" customFormat="1">
      <c r="A93" s="1055" t="s">
        <v>1992</v>
      </c>
      <c r="B93" s="1056" t="s">
        <v>1141</v>
      </c>
      <c r="C93" s="614"/>
      <c r="D93" s="800"/>
      <c r="E93" s="800"/>
      <c r="F93" s="801"/>
      <c r="G93" s="800"/>
      <c r="H93" s="800"/>
      <c r="I93" s="802"/>
      <c r="J93" s="802"/>
      <c r="K93" s="802"/>
      <c r="L93" s="802"/>
      <c r="M93" s="801"/>
      <c r="N93" s="802"/>
      <c r="O93" s="741"/>
      <c r="P93" s="802"/>
      <c r="Q93" s="741"/>
      <c r="R93" s="949"/>
      <c r="S93" s="802"/>
      <c r="T93" s="801"/>
      <c r="U93" s="802"/>
      <c r="V93" s="802"/>
      <c r="W93" s="802"/>
      <c r="X93" s="802"/>
      <c r="Y93" s="802"/>
      <c r="Z93" s="802"/>
      <c r="AA93" s="801"/>
      <c r="AB93" s="826"/>
      <c r="AC93" s="802"/>
      <c r="AD93" s="802"/>
      <c r="AE93" s="802"/>
      <c r="AF93" s="802"/>
      <c r="AG93" s="802"/>
      <c r="AH93" s="786"/>
      <c r="AI93" s="576">
        <f t="shared" si="6"/>
        <v>0</v>
      </c>
      <c r="AJ93" s="811"/>
      <c r="AK93" s="578"/>
      <c r="AM93" s="578"/>
    </row>
    <row r="94" spans="1:39" s="560" customFormat="1">
      <c r="A94" s="940" t="s">
        <v>2022</v>
      </c>
      <c r="B94" s="804" t="s">
        <v>1876</v>
      </c>
      <c r="C94" s="614"/>
      <c r="D94" s="800"/>
      <c r="E94" s="800"/>
      <c r="F94" s="801"/>
      <c r="G94" s="800"/>
      <c r="H94" s="800"/>
      <c r="I94" s="802"/>
      <c r="J94" s="802"/>
      <c r="K94" s="802"/>
      <c r="L94" s="802"/>
      <c r="M94" s="801"/>
      <c r="N94" s="802"/>
      <c r="O94" s="741"/>
      <c r="P94" s="802"/>
      <c r="Q94" s="741"/>
      <c r="R94" s="949"/>
      <c r="S94" s="802"/>
      <c r="T94" s="801"/>
      <c r="U94" s="802"/>
      <c r="V94" s="802"/>
      <c r="W94" s="802"/>
      <c r="X94" s="802"/>
      <c r="Y94" s="802"/>
      <c r="Z94" s="802"/>
      <c r="AA94" s="801"/>
      <c r="AB94" s="826"/>
      <c r="AC94" s="802"/>
      <c r="AD94" s="802"/>
      <c r="AE94" s="802"/>
      <c r="AF94" s="802"/>
      <c r="AG94" s="802"/>
      <c r="AH94" s="786"/>
      <c r="AI94" s="576">
        <f t="shared" si="6"/>
        <v>0</v>
      </c>
      <c r="AJ94" s="811"/>
      <c r="AK94" s="578"/>
      <c r="AM94" s="578"/>
    </row>
    <row r="95" spans="1:39" s="560" customFormat="1">
      <c r="A95" s="940" t="s">
        <v>2023</v>
      </c>
      <c r="B95" s="804" t="s">
        <v>1877</v>
      </c>
      <c r="C95" s="614"/>
      <c r="D95" s="800"/>
      <c r="E95" s="800"/>
      <c r="F95" s="801"/>
      <c r="G95" s="800"/>
      <c r="H95" s="800"/>
      <c r="I95" s="802"/>
      <c r="J95" s="802"/>
      <c r="K95" s="802"/>
      <c r="L95" s="802"/>
      <c r="M95" s="801"/>
      <c r="N95" s="802"/>
      <c r="O95" s="741"/>
      <c r="P95" s="802"/>
      <c r="Q95" s="741"/>
      <c r="R95" s="949"/>
      <c r="S95" s="802"/>
      <c r="T95" s="801"/>
      <c r="U95" s="802"/>
      <c r="V95" s="802"/>
      <c r="W95" s="802"/>
      <c r="X95" s="802"/>
      <c r="Y95" s="802"/>
      <c r="Z95" s="802"/>
      <c r="AA95" s="801"/>
      <c r="AB95" s="826"/>
      <c r="AC95" s="802"/>
      <c r="AD95" s="802"/>
      <c r="AE95" s="802"/>
      <c r="AF95" s="802"/>
      <c r="AG95" s="802"/>
      <c r="AH95" s="786"/>
      <c r="AI95" s="576">
        <f t="shared" si="6"/>
        <v>0</v>
      </c>
      <c r="AJ95" s="811"/>
      <c r="AK95" s="578"/>
      <c r="AM95" s="578"/>
    </row>
    <row r="96" spans="1:39" s="560" customFormat="1">
      <c r="A96" s="940" t="s">
        <v>2024</v>
      </c>
      <c r="B96" s="804" t="s">
        <v>1878</v>
      </c>
      <c r="C96" s="614" t="s">
        <v>39</v>
      </c>
      <c r="D96" s="800"/>
      <c r="E96" s="800"/>
      <c r="F96" s="801"/>
      <c r="G96" s="800"/>
      <c r="H96" s="800"/>
      <c r="I96" s="802"/>
      <c r="J96" s="802"/>
      <c r="K96" s="802"/>
      <c r="L96" s="802"/>
      <c r="M96" s="801"/>
      <c r="N96" s="802"/>
      <c r="O96" s="741"/>
      <c r="P96" s="802"/>
      <c r="Q96" s="741"/>
      <c r="R96" s="949"/>
      <c r="S96" s="802"/>
      <c r="T96" s="801"/>
      <c r="U96" s="802"/>
      <c r="V96" s="802"/>
      <c r="W96" s="802"/>
      <c r="X96" s="802"/>
      <c r="Y96" s="802"/>
      <c r="Z96" s="802"/>
      <c r="AA96" s="801"/>
      <c r="AB96" s="826"/>
      <c r="AC96" s="802"/>
      <c r="AD96" s="802"/>
      <c r="AE96" s="802"/>
      <c r="AF96" s="802"/>
      <c r="AG96" s="802"/>
      <c r="AH96" s="786"/>
      <c r="AI96" s="576">
        <f t="shared" si="6"/>
        <v>0</v>
      </c>
      <c r="AJ96" s="811"/>
      <c r="AK96" s="578"/>
      <c r="AM96" s="578"/>
    </row>
    <row r="97" spans="1:39" s="560" customFormat="1">
      <c r="A97" s="940" t="s">
        <v>2025</v>
      </c>
      <c r="B97" s="804" t="s">
        <v>1879</v>
      </c>
      <c r="C97" s="614" t="s">
        <v>36</v>
      </c>
      <c r="D97" s="800"/>
      <c r="E97" s="800"/>
      <c r="F97" s="801"/>
      <c r="G97" s="800"/>
      <c r="H97" s="800"/>
      <c r="I97" s="802"/>
      <c r="J97" s="802"/>
      <c r="K97" s="802"/>
      <c r="L97" s="802"/>
      <c r="M97" s="801"/>
      <c r="N97" s="802"/>
      <c r="O97" s="741"/>
      <c r="P97" s="802"/>
      <c r="Q97" s="741"/>
      <c r="R97" s="949"/>
      <c r="S97" s="802"/>
      <c r="T97" s="801"/>
      <c r="U97" s="802"/>
      <c r="V97" s="802"/>
      <c r="W97" s="802"/>
      <c r="X97" s="802"/>
      <c r="Y97" s="802"/>
      <c r="Z97" s="802"/>
      <c r="AA97" s="801"/>
      <c r="AB97" s="826"/>
      <c r="AC97" s="802"/>
      <c r="AD97" s="802"/>
      <c r="AE97" s="802"/>
      <c r="AF97" s="802"/>
      <c r="AG97" s="802"/>
      <c r="AH97" s="786"/>
      <c r="AI97" s="576">
        <f t="shared" si="6"/>
        <v>0</v>
      </c>
      <c r="AJ97" s="811"/>
      <c r="AK97" s="578"/>
      <c r="AM97" s="578"/>
    </row>
    <row r="98" spans="1:39" s="560" customFormat="1">
      <c r="A98" s="940" t="s">
        <v>2026</v>
      </c>
      <c r="B98" s="804" t="s">
        <v>1880</v>
      </c>
      <c r="C98" s="614" t="s">
        <v>1823</v>
      </c>
      <c r="D98" s="800"/>
      <c r="E98" s="800"/>
      <c r="F98" s="801"/>
      <c r="G98" s="800"/>
      <c r="H98" s="800"/>
      <c r="I98" s="802"/>
      <c r="J98" s="802"/>
      <c r="K98" s="802"/>
      <c r="L98" s="802"/>
      <c r="M98" s="801"/>
      <c r="N98" s="802"/>
      <c r="O98" s="741"/>
      <c r="P98" s="802"/>
      <c r="Q98" s="741"/>
      <c r="R98" s="949"/>
      <c r="S98" s="802"/>
      <c r="T98" s="801"/>
      <c r="U98" s="802"/>
      <c r="V98" s="802"/>
      <c r="W98" s="802"/>
      <c r="X98" s="802"/>
      <c r="Y98" s="802"/>
      <c r="Z98" s="802"/>
      <c r="AA98" s="801"/>
      <c r="AB98" s="826"/>
      <c r="AC98" s="802"/>
      <c r="AD98" s="802"/>
      <c r="AE98" s="802"/>
      <c r="AF98" s="802"/>
      <c r="AG98" s="802"/>
      <c r="AH98" s="786"/>
      <c r="AI98" s="576">
        <f t="shared" si="6"/>
        <v>0</v>
      </c>
      <c r="AJ98" s="811"/>
      <c r="AK98" s="578"/>
      <c r="AM98" s="578"/>
    </row>
    <row r="99" spans="1:39" s="560" customFormat="1">
      <c r="A99" s="940" t="s">
        <v>1993</v>
      </c>
      <c r="B99" s="804" t="s">
        <v>1881</v>
      </c>
      <c r="C99" s="614"/>
      <c r="D99" s="800"/>
      <c r="E99" s="800"/>
      <c r="F99" s="801"/>
      <c r="G99" s="800"/>
      <c r="H99" s="800"/>
      <c r="I99" s="802"/>
      <c r="J99" s="802"/>
      <c r="K99" s="802"/>
      <c r="L99" s="802"/>
      <c r="M99" s="801"/>
      <c r="N99" s="802"/>
      <c r="O99" s="741"/>
      <c r="P99" s="802"/>
      <c r="Q99" s="741"/>
      <c r="R99" s="949"/>
      <c r="S99" s="802"/>
      <c r="T99" s="801"/>
      <c r="U99" s="802"/>
      <c r="V99" s="802"/>
      <c r="W99" s="802"/>
      <c r="X99" s="802"/>
      <c r="Y99" s="802"/>
      <c r="Z99" s="802"/>
      <c r="AA99" s="801"/>
      <c r="AB99" s="826"/>
      <c r="AC99" s="802"/>
      <c r="AD99" s="802"/>
      <c r="AE99" s="802"/>
      <c r="AF99" s="802"/>
      <c r="AG99" s="802"/>
      <c r="AH99" s="786"/>
      <c r="AI99" s="576">
        <f t="shared" si="6"/>
        <v>0</v>
      </c>
      <c r="AJ99" s="811"/>
      <c r="AK99" s="578"/>
      <c r="AM99" s="578"/>
    </row>
    <row r="100" spans="1:39" s="560" customFormat="1">
      <c r="A100" s="940" t="s">
        <v>1994</v>
      </c>
      <c r="B100" s="804" t="s">
        <v>1882</v>
      </c>
      <c r="C100" s="614" t="s">
        <v>39</v>
      </c>
      <c r="D100" s="800"/>
      <c r="E100" s="800"/>
      <c r="F100" s="801"/>
      <c r="G100" s="800"/>
      <c r="H100" s="800"/>
      <c r="I100" s="802"/>
      <c r="J100" s="802"/>
      <c r="K100" s="802"/>
      <c r="L100" s="802"/>
      <c r="M100" s="801"/>
      <c r="N100" s="802"/>
      <c r="O100" s="741"/>
      <c r="P100" s="802"/>
      <c r="Q100" s="741"/>
      <c r="R100" s="949"/>
      <c r="S100" s="802"/>
      <c r="T100" s="801"/>
      <c r="U100" s="802"/>
      <c r="V100" s="802"/>
      <c r="W100" s="802"/>
      <c r="X100" s="802"/>
      <c r="Y100" s="802"/>
      <c r="Z100" s="802"/>
      <c r="AA100" s="801"/>
      <c r="AB100" s="826"/>
      <c r="AC100" s="802"/>
      <c r="AD100" s="802"/>
      <c r="AE100" s="802"/>
      <c r="AF100" s="802"/>
      <c r="AG100" s="802"/>
      <c r="AH100" s="786"/>
      <c r="AI100" s="576">
        <f t="shared" si="6"/>
        <v>0</v>
      </c>
      <c r="AJ100" s="811"/>
      <c r="AK100" s="578"/>
      <c r="AM100" s="578"/>
    </row>
    <row r="101" spans="1:39" s="560" customFormat="1">
      <c r="A101" s="940" t="s">
        <v>1995</v>
      </c>
      <c r="B101" s="804" t="s">
        <v>1883</v>
      </c>
      <c r="C101" s="614" t="s">
        <v>36</v>
      </c>
      <c r="D101" s="800"/>
      <c r="E101" s="800"/>
      <c r="F101" s="801"/>
      <c r="G101" s="800"/>
      <c r="H101" s="800"/>
      <c r="I101" s="802"/>
      <c r="K101" s="802"/>
      <c r="L101" s="802"/>
      <c r="M101" s="801"/>
      <c r="N101" s="802"/>
      <c r="O101" s="741"/>
      <c r="P101" s="802"/>
      <c r="Q101" s="741"/>
      <c r="R101" s="949"/>
      <c r="S101" s="802"/>
      <c r="T101" s="801"/>
      <c r="V101" s="802"/>
      <c r="W101" s="802"/>
      <c r="X101" s="802"/>
      <c r="Y101" s="802"/>
      <c r="Z101" s="802"/>
      <c r="AA101" s="801"/>
      <c r="AB101" s="826"/>
      <c r="AC101" s="802"/>
      <c r="AD101" s="802"/>
      <c r="AE101" s="802"/>
      <c r="AF101" s="802"/>
      <c r="AG101" s="802"/>
      <c r="AH101" s="786"/>
      <c r="AI101" s="576">
        <f t="shared" si="6"/>
        <v>0</v>
      </c>
      <c r="AJ101" s="811"/>
      <c r="AK101" s="578"/>
      <c r="AM101" s="578"/>
    </row>
    <row r="102" spans="1:39" s="560" customFormat="1">
      <c r="A102" s="940" t="s">
        <v>1996</v>
      </c>
      <c r="B102" s="804" t="s">
        <v>1884</v>
      </c>
      <c r="C102" s="614" t="s">
        <v>1823</v>
      </c>
      <c r="D102" s="800"/>
      <c r="E102" s="1025"/>
      <c r="F102" s="801"/>
      <c r="G102" s="800"/>
      <c r="H102" s="800"/>
      <c r="J102" s="802"/>
      <c r="K102" s="802"/>
      <c r="L102" s="802"/>
      <c r="M102" s="801"/>
      <c r="N102" s="802"/>
      <c r="O102" s="741"/>
      <c r="P102" s="802"/>
      <c r="R102" s="949"/>
      <c r="S102" s="1026"/>
      <c r="T102" s="801"/>
      <c r="V102" s="802"/>
      <c r="W102" s="802"/>
      <c r="X102" s="802"/>
      <c r="Y102" s="802"/>
      <c r="AA102" s="801"/>
      <c r="AB102" s="826"/>
      <c r="AC102" s="802"/>
      <c r="AD102" s="802"/>
      <c r="AE102" s="802"/>
      <c r="AF102" s="802"/>
      <c r="AG102" s="802"/>
      <c r="AH102" s="786"/>
      <c r="AI102" s="576">
        <f t="shared" si="6"/>
        <v>0</v>
      </c>
      <c r="AJ102" s="811"/>
      <c r="AK102" s="578"/>
      <c r="AM102" s="578"/>
    </row>
    <row r="103" spans="1:39" s="560" customFormat="1">
      <c r="A103" s="1055" t="s">
        <v>2027</v>
      </c>
      <c r="B103" s="607" t="s">
        <v>1204</v>
      </c>
      <c r="C103" s="614"/>
      <c r="D103" s="800"/>
      <c r="E103" s="1025"/>
      <c r="F103" s="801"/>
      <c r="G103" s="800"/>
      <c r="H103" s="800"/>
      <c r="I103" s="802"/>
      <c r="J103" s="802"/>
      <c r="K103" s="802"/>
      <c r="L103" s="802"/>
      <c r="M103" s="801"/>
      <c r="N103" s="802"/>
      <c r="O103" s="741"/>
      <c r="P103" s="802"/>
      <c r="Q103" s="741"/>
      <c r="R103" s="949"/>
      <c r="S103" s="1026"/>
      <c r="T103" s="801"/>
      <c r="U103" s="802"/>
      <c r="V103" s="802"/>
      <c r="W103" s="802"/>
      <c r="X103" s="802"/>
      <c r="Y103" s="802"/>
      <c r="Z103" s="802"/>
      <c r="AA103" s="801"/>
      <c r="AB103" s="826"/>
      <c r="AC103" s="802"/>
      <c r="AD103" s="802"/>
      <c r="AE103" s="802"/>
      <c r="AF103" s="802"/>
      <c r="AG103" s="802"/>
      <c r="AH103" s="786"/>
      <c r="AI103" s="576">
        <f t="shared" si="6"/>
        <v>0</v>
      </c>
      <c r="AJ103" s="811"/>
      <c r="AK103" s="578"/>
      <c r="AM103" s="578"/>
    </row>
    <row r="104" spans="1:39" s="560" customFormat="1">
      <c r="A104" s="1055" t="s">
        <v>2038</v>
      </c>
      <c r="B104" s="1056" t="s">
        <v>1834</v>
      </c>
      <c r="C104" s="614"/>
      <c r="D104" s="800"/>
      <c r="F104" s="801"/>
      <c r="G104" s="800"/>
      <c r="H104" s="800"/>
      <c r="I104" s="802"/>
      <c r="J104" s="802"/>
      <c r="K104" s="802"/>
      <c r="L104" s="802"/>
      <c r="M104" s="801"/>
      <c r="N104" s="802"/>
      <c r="O104" s="741"/>
      <c r="P104" s="802"/>
      <c r="Q104" s="741"/>
      <c r="R104" s="949"/>
      <c r="S104" s="1026"/>
      <c r="T104" s="801"/>
      <c r="U104" s="802"/>
      <c r="V104" s="802"/>
      <c r="W104" s="802"/>
      <c r="X104" s="802"/>
      <c r="Y104" s="802"/>
      <c r="Z104" s="802"/>
      <c r="AA104" s="801"/>
      <c r="AB104" s="826"/>
      <c r="AC104" s="802"/>
      <c r="AD104" s="802"/>
      <c r="AE104" s="949"/>
      <c r="AF104" s="949"/>
      <c r="AH104" s="786"/>
      <c r="AI104" s="576">
        <f t="shared" si="6"/>
        <v>0</v>
      </c>
      <c r="AJ104" s="811"/>
      <c r="AK104" s="578"/>
      <c r="AM104" s="578"/>
    </row>
    <row r="105" spans="1:39" s="560" customFormat="1" ht="13.8">
      <c r="A105" s="1055" t="s">
        <v>2051</v>
      </c>
      <c r="B105" s="804" t="s">
        <v>1835</v>
      </c>
      <c r="C105" s="799" t="s">
        <v>39</v>
      </c>
      <c r="D105" s="800"/>
      <c r="E105" s="1025"/>
      <c r="F105" s="801"/>
      <c r="G105" s="800"/>
      <c r="H105" s="800"/>
      <c r="I105" s="802"/>
      <c r="J105" s="802"/>
      <c r="K105" s="802"/>
      <c r="L105" s="802"/>
      <c r="M105" s="801"/>
      <c r="N105" s="802"/>
      <c r="O105" s="741"/>
      <c r="P105" s="802"/>
      <c r="Q105" s="741"/>
      <c r="R105" s="949"/>
      <c r="S105" s="1026"/>
      <c r="T105" s="801"/>
      <c r="U105" s="802"/>
      <c r="V105" s="802"/>
      <c r="W105" s="802"/>
      <c r="X105" s="802"/>
      <c r="Y105" s="802"/>
      <c r="Z105" s="802"/>
      <c r="AA105" s="801"/>
      <c r="AB105" s="826"/>
      <c r="AC105" s="802"/>
      <c r="AE105" s="741"/>
      <c r="AF105" s="949"/>
      <c r="AH105" s="786"/>
      <c r="AI105" s="576">
        <f t="shared" si="6"/>
        <v>0</v>
      </c>
      <c r="AJ105" s="811"/>
      <c r="AK105" s="578"/>
      <c r="AM105" s="578"/>
    </row>
    <row r="106" spans="1:39" s="560" customFormat="1">
      <c r="A106" s="1055" t="s">
        <v>2052</v>
      </c>
      <c r="B106" s="604" t="s">
        <v>1189</v>
      </c>
      <c r="C106" s="614" t="s">
        <v>36</v>
      </c>
      <c r="D106" s="800"/>
      <c r="E106" s="1025"/>
      <c r="F106" s="801"/>
      <c r="G106" s="800"/>
      <c r="H106" s="800"/>
      <c r="I106" s="802"/>
      <c r="J106" s="802"/>
      <c r="K106" s="802"/>
      <c r="L106" s="802"/>
      <c r="M106" s="801"/>
      <c r="N106" s="802"/>
      <c r="O106" s="741"/>
      <c r="P106" s="802"/>
      <c r="Q106" s="741"/>
      <c r="R106" s="949"/>
      <c r="S106" s="1026"/>
      <c r="T106" s="801"/>
      <c r="V106" s="802"/>
      <c r="W106" s="802"/>
      <c r="X106" s="802"/>
      <c r="Y106" s="802"/>
      <c r="Z106" s="802"/>
      <c r="AA106" s="782"/>
      <c r="AB106" s="826"/>
      <c r="AC106" s="802"/>
      <c r="AD106" s="802"/>
      <c r="AE106" s="949"/>
      <c r="AF106" s="949"/>
      <c r="AG106" s="949"/>
      <c r="AH106" s="786"/>
      <c r="AI106" s="576">
        <f t="shared" si="6"/>
        <v>0</v>
      </c>
      <c r="AJ106" s="811"/>
      <c r="AK106" s="578"/>
      <c r="AM106" s="578"/>
    </row>
    <row r="107" spans="1:39" s="560" customFormat="1">
      <c r="A107" s="1055" t="s">
        <v>2028</v>
      </c>
      <c r="B107" s="1056" t="s">
        <v>1876</v>
      </c>
      <c r="C107" s="614"/>
      <c r="D107" s="800"/>
      <c r="E107" s="800"/>
      <c r="F107" s="801"/>
      <c r="G107" s="800"/>
      <c r="H107" s="800"/>
      <c r="I107" s="802"/>
      <c r="J107" s="802"/>
      <c r="K107" s="802"/>
      <c r="L107" s="802"/>
      <c r="M107" s="801"/>
      <c r="N107" s="802"/>
      <c r="O107" s="741"/>
      <c r="P107" s="802"/>
      <c r="Q107" s="741"/>
      <c r="R107" s="949"/>
      <c r="S107" s="802"/>
      <c r="T107" s="801"/>
      <c r="U107" s="802"/>
      <c r="V107" s="802"/>
      <c r="W107" s="802"/>
      <c r="X107" s="802"/>
      <c r="Y107" s="802"/>
      <c r="Z107" s="802"/>
      <c r="AA107" s="801"/>
      <c r="AB107" s="826"/>
      <c r="AC107" s="802"/>
      <c r="AD107" s="802"/>
      <c r="AE107" s="802"/>
      <c r="AF107" s="802"/>
      <c r="AG107" s="802"/>
      <c r="AH107" s="786"/>
      <c r="AI107" s="576">
        <f t="shared" si="6"/>
        <v>0</v>
      </c>
      <c r="AJ107" s="811"/>
      <c r="AK107" s="578"/>
      <c r="AM107" s="578"/>
    </row>
    <row r="108" spans="1:39" s="560" customFormat="1">
      <c r="A108" s="1055" t="s">
        <v>2053</v>
      </c>
      <c r="B108" s="604" t="s">
        <v>2019</v>
      </c>
      <c r="C108" s="614" t="s">
        <v>39</v>
      </c>
      <c r="D108" s="800"/>
      <c r="E108" s="800"/>
      <c r="F108" s="801"/>
      <c r="G108" s="800"/>
      <c r="H108" s="800"/>
      <c r="I108" s="802"/>
      <c r="J108" s="802"/>
      <c r="K108" s="802"/>
      <c r="L108" s="802"/>
      <c r="M108" s="801"/>
      <c r="N108" s="802"/>
      <c r="O108" s="741"/>
      <c r="P108" s="802"/>
      <c r="Q108" s="741"/>
      <c r="R108" s="949"/>
      <c r="S108" s="802"/>
      <c r="T108" s="801"/>
      <c r="U108" s="802"/>
      <c r="V108" s="802"/>
      <c r="W108" s="802"/>
      <c r="X108" s="802"/>
      <c r="Y108" s="802"/>
      <c r="Z108" s="802"/>
      <c r="AA108" s="801"/>
      <c r="AB108" s="826"/>
      <c r="AC108" s="802"/>
      <c r="AD108" s="802"/>
      <c r="AE108" s="802"/>
      <c r="AF108" s="802"/>
      <c r="AG108" s="802"/>
      <c r="AH108" s="786"/>
      <c r="AI108" s="576">
        <f t="shared" si="6"/>
        <v>0</v>
      </c>
      <c r="AJ108" s="811"/>
      <c r="AK108" s="578"/>
      <c r="AM108" s="578"/>
    </row>
    <row r="109" spans="1:39" s="560" customFormat="1">
      <c r="A109" s="1055" t="s">
        <v>2054</v>
      </c>
      <c r="B109" s="604" t="s">
        <v>2020</v>
      </c>
      <c r="C109" s="614" t="s">
        <v>36</v>
      </c>
      <c r="D109" s="800"/>
      <c r="E109" s="800"/>
      <c r="F109" s="801"/>
      <c r="G109" s="800"/>
      <c r="H109" s="800"/>
      <c r="I109" s="802"/>
      <c r="J109" s="802"/>
      <c r="K109" s="802"/>
      <c r="L109" s="802"/>
      <c r="M109" s="801"/>
      <c r="N109" s="802"/>
      <c r="O109" s="741"/>
      <c r="P109" s="802"/>
      <c r="Q109" s="741"/>
      <c r="R109" s="949"/>
      <c r="S109" s="802"/>
      <c r="T109" s="801"/>
      <c r="U109" s="802"/>
      <c r="V109" s="802"/>
      <c r="W109" s="802"/>
      <c r="X109" s="802"/>
      <c r="Y109" s="802"/>
      <c r="Z109" s="802"/>
      <c r="AA109" s="801"/>
      <c r="AB109" s="826"/>
      <c r="AC109" s="802"/>
      <c r="AD109" s="802"/>
      <c r="AE109" s="802"/>
      <c r="AF109" s="802"/>
      <c r="AG109" s="802"/>
      <c r="AH109" s="786"/>
      <c r="AI109" s="576">
        <f t="shared" si="6"/>
        <v>0</v>
      </c>
      <c r="AJ109" s="811"/>
      <c r="AK109" s="578"/>
      <c r="AM109" s="578"/>
    </row>
    <row r="110" spans="1:39" s="560" customFormat="1">
      <c r="A110" s="1055" t="s">
        <v>2055</v>
      </c>
      <c r="B110" s="604" t="s">
        <v>2021</v>
      </c>
      <c r="C110" s="614" t="s">
        <v>1823</v>
      </c>
      <c r="D110" s="800"/>
      <c r="E110" s="800"/>
      <c r="F110" s="800"/>
      <c r="G110" s="800"/>
      <c r="H110" s="800"/>
      <c r="I110" s="802"/>
      <c r="J110" s="802"/>
      <c r="K110" s="802"/>
      <c r="L110" s="802"/>
      <c r="M110" s="800"/>
      <c r="N110" s="802"/>
      <c r="O110" s="741"/>
      <c r="P110" s="802"/>
      <c r="Q110" s="741"/>
      <c r="R110" s="949"/>
      <c r="S110" s="802"/>
      <c r="T110" s="800"/>
      <c r="U110" s="802"/>
      <c r="V110" s="802"/>
      <c r="W110" s="802"/>
      <c r="X110" s="802"/>
      <c r="Y110" s="802"/>
      <c r="Z110" s="802"/>
      <c r="AA110" s="800"/>
      <c r="AB110" s="802"/>
      <c r="AC110" s="802"/>
      <c r="AD110" s="802"/>
      <c r="AE110" s="802"/>
      <c r="AF110" s="802"/>
      <c r="AG110" s="802"/>
      <c r="AH110" s="786"/>
      <c r="AI110" s="576">
        <f t="shared" si="6"/>
        <v>0</v>
      </c>
      <c r="AJ110" s="811"/>
      <c r="AK110" s="578"/>
      <c r="AM110" s="578"/>
    </row>
    <row r="111" spans="1:39" s="560" customFormat="1">
      <c r="A111" s="1055" t="s">
        <v>2029</v>
      </c>
      <c r="B111" s="607" t="s">
        <v>1225</v>
      </c>
      <c r="C111" s="614"/>
      <c r="D111" s="800"/>
      <c r="E111" s="800"/>
      <c r="F111" s="801"/>
      <c r="G111" s="1136"/>
      <c r="H111" s="1136"/>
      <c r="I111" s="1088"/>
      <c r="J111" s="802"/>
      <c r="K111" s="802"/>
      <c r="L111" s="802"/>
      <c r="M111" s="801"/>
      <c r="N111" s="802"/>
      <c r="O111" s="741"/>
      <c r="P111" s="802"/>
      <c r="Q111" s="741"/>
      <c r="R111" s="949"/>
      <c r="S111" s="802"/>
      <c r="T111" s="801"/>
      <c r="U111" s="802"/>
      <c r="V111" s="802"/>
      <c r="W111" s="802"/>
      <c r="X111" s="802"/>
      <c r="Y111" s="802"/>
      <c r="Z111" s="802"/>
      <c r="AA111" s="801"/>
      <c r="AB111" s="826"/>
      <c r="AC111" s="802"/>
      <c r="AD111" s="802"/>
      <c r="AE111" s="802"/>
      <c r="AF111" s="802"/>
      <c r="AG111" s="802"/>
      <c r="AH111" s="786"/>
      <c r="AI111" s="576">
        <f t="shared" si="6"/>
        <v>0</v>
      </c>
      <c r="AJ111" s="811"/>
      <c r="AK111" s="578"/>
      <c r="AM111" s="578"/>
    </row>
    <row r="112" spans="1:39" s="560" customFormat="1">
      <c r="A112" s="1055" t="s">
        <v>2076</v>
      </c>
      <c r="B112" s="604" t="s">
        <v>2087</v>
      </c>
      <c r="C112" s="614" t="s">
        <v>1982</v>
      </c>
      <c r="D112" s="800"/>
      <c r="E112" s="800"/>
      <c r="F112" s="801"/>
      <c r="G112" s="1136"/>
      <c r="H112" s="1136"/>
      <c r="I112" s="1088"/>
      <c r="J112" s="802"/>
      <c r="K112" s="802"/>
      <c r="L112" s="802"/>
      <c r="M112" s="801"/>
      <c r="N112" s="1096">
        <f>8.7*2.9195</f>
        <v>25.399650000000001</v>
      </c>
      <c r="O112" s="1096">
        <f>4*2.85</f>
        <v>11.4</v>
      </c>
      <c r="P112" s="1088">
        <f>5*0.28+3.2*2.15+5.5*0.2+1.8*5+5*0.3+3.25*2.2+4.25*0.28+2.2*0.28+5.6*0.2</f>
        <v>29.956000000000003</v>
      </c>
      <c r="Q112" s="1150">
        <f>2.67*2.9</f>
        <v>7.7429999999999994</v>
      </c>
      <c r="R112" s="1151">
        <f>5*4.1+1.7*2.7+1.7*1.55+3.2*0.28+3.8*0.3+1.6*0.7+5.2*0.28</f>
        <v>32.337000000000003</v>
      </c>
      <c r="S112" s="802"/>
      <c r="T112" s="801"/>
      <c r="U112" s="802"/>
      <c r="V112" s="802"/>
      <c r="W112" s="802"/>
      <c r="X112" s="802"/>
      <c r="Y112" s="802"/>
      <c r="Z112" s="802"/>
      <c r="AA112" s="801"/>
      <c r="AB112" s="826"/>
      <c r="AC112" s="802"/>
      <c r="AD112" s="802"/>
      <c r="AE112" s="802"/>
      <c r="AF112" s="802"/>
      <c r="AG112" s="802"/>
      <c r="AH112" s="786"/>
      <c r="AI112" s="1061">
        <f t="shared" si="6"/>
        <v>106.83565</v>
      </c>
      <c r="AJ112" s="811"/>
      <c r="AK112" s="578"/>
      <c r="AM112" s="578"/>
    </row>
    <row r="113" spans="1:39" s="560" customFormat="1">
      <c r="A113" s="1055" t="s">
        <v>2030</v>
      </c>
      <c r="B113" s="607" t="s">
        <v>1292</v>
      </c>
      <c r="C113" s="614"/>
      <c r="D113" s="800"/>
      <c r="E113" s="800"/>
      <c r="F113" s="801"/>
      <c r="G113" s="800"/>
      <c r="H113" s="800"/>
      <c r="I113" s="802"/>
      <c r="J113" s="802"/>
      <c r="K113" s="802"/>
      <c r="L113" s="802"/>
      <c r="M113" s="801"/>
      <c r="N113" s="802"/>
      <c r="O113" s="741"/>
      <c r="P113" s="802"/>
      <c r="Q113" s="741"/>
      <c r="R113" s="949"/>
      <c r="S113" s="802"/>
      <c r="T113" s="801"/>
      <c r="U113" s="802"/>
      <c r="V113" s="802"/>
      <c r="W113" s="802"/>
      <c r="X113" s="802"/>
      <c r="Y113" s="802"/>
      <c r="Z113" s="802"/>
      <c r="AA113" s="801"/>
      <c r="AB113" s="826"/>
      <c r="AC113" s="802"/>
      <c r="AD113" s="802"/>
      <c r="AE113" s="802"/>
      <c r="AF113" s="802"/>
      <c r="AG113" s="802"/>
      <c r="AH113" s="786"/>
      <c r="AI113" s="576">
        <f t="shared" si="6"/>
        <v>0</v>
      </c>
      <c r="AJ113" s="811"/>
      <c r="AK113" s="578"/>
      <c r="AM113" s="578"/>
    </row>
    <row r="114" spans="1:39" s="560" customFormat="1">
      <c r="A114" s="1055" t="s">
        <v>2095</v>
      </c>
      <c r="B114" s="604" t="s">
        <v>1292</v>
      </c>
      <c r="C114" s="614" t="s">
        <v>1982</v>
      </c>
      <c r="D114" s="800"/>
      <c r="E114" s="800"/>
      <c r="F114" s="801"/>
      <c r="G114" s="800"/>
      <c r="H114" s="800"/>
      <c r="I114" s="802"/>
      <c r="J114" s="802"/>
      <c r="K114" s="802"/>
      <c r="L114" s="802"/>
      <c r="M114" s="801"/>
      <c r="N114" s="802"/>
      <c r="O114" s="741"/>
      <c r="P114" s="802"/>
      <c r="Q114" s="741"/>
      <c r="R114" s="949"/>
      <c r="S114" s="802"/>
      <c r="T114" s="801"/>
      <c r="U114" s="802"/>
      <c r="V114" s="802"/>
      <c r="W114" s="802"/>
      <c r="X114" s="802"/>
      <c r="Y114" s="802"/>
      <c r="Z114" s="802"/>
      <c r="AA114" s="801"/>
      <c r="AB114" s="826"/>
      <c r="AC114" s="802"/>
      <c r="AD114" s="802"/>
      <c r="AE114" s="802"/>
      <c r="AF114" s="802"/>
      <c r="AG114" s="802"/>
      <c r="AH114" s="786"/>
      <c r="AI114" s="576">
        <f t="shared" si="6"/>
        <v>0</v>
      </c>
      <c r="AJ114" s="811"/>
      <c r="AK114" s="578"/>
      <c r="AM114" s="578"/>
    </row>
    <row r="115" spans="1:39" s="560" customFormat="1">
      <c r="A115" s="1055" t="s">
        <v>1997</v>
      </c>
      <c r="B115" s="1056" t="s">
        <v>1196</v>
      </c>
      <c r="C115" s="614"/>
      <c r="D115" s="800"/>
      <c r="E115" s="800"/>
      <c r="F115" s="801"/>
      <c r="G115" s="800"/>
      <c r="H115" s="800"/>
      <c r="I115" s="802"/>
      <c r="J115" s="802"/>
      <c r="K115" s="802"/>
      <c r="L115" s="802"/>
      <c r="M115" s="801"/>
      <c r="N115" s="802"/>
      <c r="O115" s="741"/>
      <c r="P115" s="802"/>
      <c r="Q115" s="741"/>
      <c r="R115" s="949"/>
      <c r="S115" s="802"/>
      <c r="T115" s="801"/>
      <c r="U115" s="802"/>
      <c r="V115" s="802"/>
      <c r="W115" s="802"/>
      <c r="X115" s="802"/>
      <c r="Y115" s="802"/>
      <c r="Z115" s="802"/>
      <c r="AA115" s="801"/>
      <c r="AB115" s="826"/>
      <c r="AC115" s="802"/>
      <c r="AD115" s="802"/>
      <c r="AE115" s="802"/>
      <c r="AF115" s="802"/>
      <c r="AG115" s="802"/>
      <c r="AH115" s="786"/>
      <c r="AI115" s="576">
        <f t="shared" si="6"/>
        <v>0</v>
      </c>
      <c r="AJ115" s="811"/>
      <c r="AK115" s="578"/>
      <c r="AM115" s="578"/>
    </row>
    <row r="116" spans="1:39" s="560" customFormat="1">
      <c r="A116" s="940" t="s">
        <v>2005</v>
      </c>
      <c r="B116" s="804" t="s">
        <v>1876</v>
      </c>
      <c r="C116" s="614"/>
      <c r="D116" s="800"/>
      <c r="E116" s="800"/>
      <c r="F116" s="801"/>
      <c r="G116" s="800"/>
      <c r="H116" s="800"/>
      <c r="I116" s="802"/>
      <c r="J116" s="802"/>
      <c r="K116" s="802"/>
      <c r="L116" s="802"/>
      <c r="M116" s="801"/>
      <c r="N116" s="802"/>
      <c r="O116" s="741"/>
      <c r="P116" s="802"/>
      <c r="Q116" s="741"/>
      <c r="R116" s="949"/>
      <c r="S116" s="802"/>
      <c r="T116" s="801"/>
      <c r="U116" s="802"/>
      <c r="V116" s="802"/>
      <c r="W116" s="802"/>
      <c r="X116" s="802"/>
      <c r="Y116" s="802"/>
      <c r="Z116" s="802"/>
      <c r="AA116" s="801"/>
      <c r="AB116" s="826"/>
      <c r="AC116" s="802"/>
      <c r="AD116" s="802"/>
      <c r="AE116" s="802"/>
      <c r="AF116" s="802"/>
      <c r="AG116" s="802"/>
      <c r="AH116" s="786"/>
      <c r="AI116" s="576">
        <f t="shared" si="6"/>
        <v>0</v>
      </c>
      <c r="AJ116" s="811"/>
      <c r="AK116" s="578"/>
      <c r="AM116" s="578"/>
    </row>
    <row r="117" spans="1:39" s="560" customFormat="1">
      <c r="A117" s="940" t="s">
        <v>2006</v>
      </c>
      <c r="B117" s="804" t="s">
        <v>1877</v>
      </c>
      <c r="C117" s="614"/>
      <c r="D117" s="800"/>
      <c r="E117" s="800"/>
      <c r="F117" s="801"/>
      <c r="G117" s="800"/>
      <c r="H117" s="800"/>
      <c r="I117" s="802"/>
      <c r="J117" s="802"/>
      <c r="K117" s="802"/>
      <c r="L117" s="802"/>
      <c r="M117" s="801"/>
      <c r="N117" s="802"/>
      <c r="O117" s="741"/>
      <c r="P117" s="802"/>
      <c r="Q117" s="741"/>
      <c r="R117" s="949"/>
      <c r="S117" s="802"/>
      <c r="T117" s="801"/>
      <c r="U117" s="802"/>
      <c r="V117" s="802"/>
      <c r="W117" s="802"/>
      <c r="X117" s="802"/>
      <c r="Y117" s="802"/>
      <c r="Z117" s="802"/>
      <c r="AA117" s="801"/>
      <c r="AB117" s="826"/>
      <c r="AC117" s="802"/>
      <c r="AD117" s="802"/>
      <c r="AE117" s="802"/>
      <c r="AF117" s="802"/>
      <c r="AG117" s="802"/>
      <c r="AH117" s="786"/>
      <c r="AI117" s="576">
        <f t="shared" si="6"/>
        <v>0</v>
      </c>
      <c r="AJ117" s="811"/>
      <c r="AK117" s="578"/>
      <c r="AM117" s="578"/>
    </row>
    <row r="118" spans="1:39" s="560" customFormat="1">
      <c r="A118" s="940" t="s">
        <v>2007</v>
      </c>
      <c r="B118" s="804" t="s">
        <v>1878</v>
      </c>
      <c r="C118" s="614" t="s">
        <v>39</v>
      </c>
      <c r="D118" s="800"/>
      <c r="E118" s="800"/>
      <c r="F118" s="801"/>
      <c r="G118" s="800"/>
      <c r="H118" s="800"/>
      <c r="I118" s="802"/>
      <c r="J118" s="802"/>
      <c r="K118" s="802"/>
      <c r="L118" s="802"/>
      <c r="M118" s="801"/>
      <c r="N118" s="802"/>
      <c r="O118" s="741"/>
      <c r="P118" s="802"/>
      <c r="Q118" s="741"/>
      <c r="R118" s="949"/>
      <c r="S118" s="802"/>
      <c r="T118" s="801"/>
      <c r="U118" s="802"/>
      <c r="V118" s="802"/>
      <c r="W118" s="802"/>
      <c r="X118" s="802"/>
      <c r="Y118" s="802"/>
      <c r="Z118" s="802"/>
      <c r="AA118" s="801"/>
      <c r="AB118" s="826"/>
      <c r="AC118" s="802"/>
      <c r="AD118" s="802"/>
      <c r="AE118" s="802"/>
      <c r="AF118" s="802"/>
      <c r="AG118" s="802"/>
      <c r="AH118" s="786"/>
      <c r="AI118" s="576">
        <f t="shared" si="6"/>
        <v>0</v>
      </c>
      <c r="AJ118" s="811"/>
      <c r="AK118" s="578"/>
      <c r="AM118" s="578"/>
    </row>
    <row r="119" spans="1:39" s="560" customFormat="1">
      <c r="A119" s="940" t="s">
        <v>2008</v>
      </c>
      <c r="B119" s="804" t="s">
        <v>1879</v>
      </c>
      <c r="C119" s="614" t="s">
        <v>36</v>
      </c>
      <c r="D119" s="800"/>
      <c r="E119" s="800"/>
      <c r="F119" s="801"/>
      <c r="G119" s="800"/>
      <c r="H119" s="800"/>
      <c r="I119" s="802"/>
      <c r="J119" s="802"/>
      <c r="K119" s="802"/>
      <c r="L119" s="802"/>
      <c r="M119" s="801"/>
      <c r="N119" s="802"/>
      <c r="O119" s="741"/>
      <c r="P119" s="802"/>
      <c r="Q119" s="741"/>
      <c r="R119" s="949"/>
      <c r="S119" s="802"/>
      <c r="T119" s="801"/>
      <c r="U119" s="802"/>
      <c r="V119" s="802"/>
      <c r="W119" s="802"/>
      <c r="X119" s="802"/>
      <c r="Y119" s="802"/>
      <c r="Z119" s="802"/>
      <c r="AA119" s="801"/>
      <c r="AB119" s="826"/>
      <c r="AC119" s="802"/>
      <c r="AD119" s="802"/>
      <c r="AE119" s="802"/>
      <c r="AF119" s="802"/>
      <c r="AG119" s="802"/>
      <c r="AH119" s="786"/>
      <c r="AI119" s="576">
        <f t="shared" si="6"/>
        <v>0</v>
      </c>
      <c r="AJ119" s="811"/>
      <c r="AK119" s="578"/>
      <c r="AM119" s="578"/>
    </row>
    <row r="120" spans="1:39" s="560" customFormat="1">
      <c r="A120" s="940" t="s">
        <v>2009</v>
      </c>
      <c r="B120" s="804" t="s">
        <v>1880</v>
      </c>
      <c r="C120" s="614" t="s">
        <v>1823</v>
      </c>
      <c r="D120" s="800"/>
      <c r="E120" s="800"/>
      <c r="F120" s="801"/>
      <c r="G120" s="800"/>
      <c r="H120" s="800"/>
      <c r="I120" s="802"/>
      <c r="J120" s="802"/>
      <c r="K120" s="802"/>
      <c r="L120" s="802"/>
      <c r="M120" s="801"/>
      <c r="N120" s="802"/>
      <c r="O120" s="741"/>
      <c r="P120" s="802"/>
      <c r="Q120" s="741"/>
      <c r="R120" s="949"/>
      <c r="S120" s="802"/>
      <c r="T120" s="801"/>
      <c r="U120" s="802"/>
      <c r="V120" s="802"/>
      <c r="W120" s="802"/>
      <c r="X120" s="802"/>
      <c r="Y120" s="802"/>
      <c r="Z120" s="802"/>
      <c r="AA120" s="801"/>
      <c r="AB120" s="826"/>
      <c r="AC120" s="802"/>
      <c r="AD120" s="802"/>
      <c r="AE120" s="802"/>
      <c r="AF120" s="802"/>
      <c r="AG120" s="802"/>
      <c r="AH120" s="786"/>
      <c r="AI120" s="576">
        <f t="shared" si="6"/>
        <v>0</v>
      </c>
      <c r="AJ120" s="811"/>
      <c r="AK120" s="578"/>
      <c r="AM120" s="578"/>
    </row>
    <row r="121" spans="1:39" s="560" customFormat="1">
      <c r="A121" s="940" t="s">
        <v>2010</v>
      </c>
      <c r="B121" s="804" t="s">
        <v>1881</v>
      </c>
      <c r="C121" s="614"/>
      <c r="D121" s="800"/>
      <c r="E121" s="800"/>
      <c r="F121" s="801"/>
      <c r="G121" s="800"/>
      <c r="H121" s="800"/>
      <c r="I121" s="802"/>
      <c r="J121" s="802"/>
      <c r="K121" s="802"/>
      <c r="L121" s="802"/>
      <c r="M121" s="801"/>
      <c r="N121" s="802"/>
      <c r="O121" s="741"/>
      <c r="P121" s="802"/>
      <c r="Q121" s="741"/>
      <c r="R121" s="949"/>
      <c r="S121" s="802"/>
      <c r="T121" s="801"/>
      <c r="U121" s="802"/>
      <c r="V121" s="802"/>
      <c r="W121" s="802"/>
      <c r="X121" s="802"/>
      <c r="Y121" s="802"/>
      <c r="Z121" s="802"/>
      <c r="AA121" s="801"/>
      <c r="AB121" s="826"/>
      <c r="AC121" s="802"/>
      <c r="AD121" s="802"/>
      <c r="AE121" s="802"/>
      <c r="AF121" s="802"/>
      <c r="AG121" s="802"/>
      <c r="AH121" s="786"/>
      <c r="AI121" s="576">
        <f t="shared" si="6"/>
        <v>0</v>
      </c>
      <c r="AJ121" s="811"/>
      <c r="AK121" s="578"/>
      <c r="AM121" s="578"/>
    </row>
    <row r="122" spans="1:39" s="560" customFormat="1">
      <c r="A122" s="940" t="s">
        <v>2011</v>
      </c>
      <c r="B122" s="804" t="s">
        <v>1882</v>
      </c>
      <c r="C122" s="614" t="s">
        <v>39</v>
      </c>
      <c r="D122" s="800"/>
      <c r="E122" s="800"/>
      <c r="F122" s="801"/>
      <c r="G122" s="800"/>
      <c r="H122" s="800"/>
      <c r="I122" s="802"/>
      <c r="J122" s="802"/>
      <c r="K122" s="802"/>
      <c r="L122" s="802"/>
      <c r="M122" s="801"/>
      <c r="N122" s="802"/>
      <c r="O122" s="741"/>
      <c r="P122" s="802"/>
      <c r="Q122" s="741"/>
      <c r="R122" s="949"/>
      <c r="S122" s="802"/>
      <c r="T122" s="801"/>
      <c r="U122" s="802"/>
      <c r="V122" s="802"/>
      <c r="W122" s="802"/>
      <c r="X122" s="802"/>
      <c r="Y122" s="802"/>
      <c r="Z122" s="802"/>
      <c r="AA122" s="801"/>
      <c r="AB122" s="826"/>
      <c r="AC122" s="802"/>
      <c r="AD122" s="802"/>
      <c r="AE122" s="802"/>
      <c r="AF122" s="802"/>
      <c r="AG122" s="802"/>
      <c r="AH122" s="786"/>
      <c r="AI122" s="576">
        <f t="shared" si="6"/>
        <v>0</v>
      </c>
      <c r="AJ122" s="811"/>
      <c r="AK122" s="578"/>
      <c r="AM122" s="578"/>
    </row>
    <row r="123" spans="1:39" s="560" customFormat="1">
      <c r="A123" s="940" t="s">
        <v>2012</v>
      </c>
      <c r="B123" s="804" t="s">
        <v>1883</v>
      </c>
      <c r="C123" s="614" t="s">
        <v>36</v>
      </c>
      <c r="D123" s="800"/>
      <c r="E123" s="800"/>
      <c r="F123" s="801"/>
      <c r="G123" s="800"/>
      <c r="H123" s="800"/>
      <c r="I123" s="802"/>
      <c r="J123" s="802"/>
      <c r="K123" s="802"/>
      <c r="L123" s="802"/>
      <c r="M123" s="801"/>
      <c r="N123" s="802"/>
      <c r="O123" s="741"/>
      <c r="P123" s="802"/>
      <c r="Q123" s="741"/>
      <c r="R123" s="949"/>
      <c r="S123" s="802"/>
      <c r="T123" s="801"/>
      <c r="U123" s="802"/>
      <c r="V123" s="802"/>
      <c r="W123" s="802"/>
      <c r="X123" s="802"/>
      <c r="Y123" s="802"/>
      <c r="Z123" s="802"/>
      <c r="AA123" s="801"/>
      <c r="AB123" s="826"/>
      <c r="AC123" s="802"/>
      <c r="AD123" s="802"/>
      <c r="AE123" s="802"/>
      <c r="AF123" s="802"/>
      <c r="AG123" s="802"/>
      <c r="AH123" s="786"/>
      <c r="AI123" s="576">
        <f t="shared" si="6"/>
        <v>0</v>
      </c>
      <c r="AJ123" s="811"/>
      <c r="AK123" s="578"/>
      <c r="AM123" s="578"/>
    </row>
    <row r="124" spans="1:39" s="560" customFormat="1">
      <c r="A124" s="940" t="s">
        <v>2013</v>
      </c>
      <c r="B124" s="804" t="s">
        <v>1884</v>
      </c>
      <c r="C124" s="614" t="s">
        <v>1823</v>
      </c>
      <c r="D124" s="800"/>
      <c r="E124" s="800"/>
      <c r="F124" s="801"/>
      <c r="G124" s="800"/>
      <c r="H124" s="800"/>
      <c r="I124" s="802"/>
      <c r="J124" s="802"/>
      <c r="K124" s="802"/>
      <c r="L124" s="802"/>
      <c r="M124" s="801"/>
      <c r="N124" s="802"/>
      <c r="O124" s="741"/>
      <c r="P124" s="802"/>
      <c r="Q124" s="741"/>
      <c r="R124" s="949"/>
      <c r="S124" s="802"/>
      <c r="T124" s="801"/>
      <c r="U124" s="802"/>
      <c r="V124" s="802"/>
      <c r="W124" s="802"/>
      <c r="X124" s="802"/>
      <c r="Y124" s="802"/>
      <c r="Z124" s="802"/>
      <c r="AA124" s="801"/>
      <c r="AB124" s="826"/>
      <c r="AC124" s="802"/>
      <c r="AD124" s="802"/>
      <c r="AE124" s="802"/>
      <c r="AF124" s="802"/>
      <c r="AG124" s="802"/>
      <c r="AH124" s="786"/>
      <c r="AI124" s="576">
        <f t="shared" si="6"/>
        <v>0</v>
      </c>
      <c r="AJ124" s="811"/>
      <c r="AK124" s="578"/>
      <c r="AM124" s="578"/>
    </row>
    <row r="125" spans="1:39" s="560" customFormat="1">
      <c r="A125" s="608" t="s">
        <v>2066</v>
      </c>
      <c r="B125" s="608" t="s">
        <v>1337</v>
      </c>
      <c r="C125" s="614"/>
      <c r="D125" s="800"/>
      <c r="E125" s="800"/>
      <c r="F125" s="801"/>
      <c r="G125" s="800"/>
      <c r="H125" s="800"/>
      <c r="I125" s="802"/>
      <c r="J125" s="802"/>
      <c r="K125" s="802"/>
      <c r="L125" s="802"/>
      <c r="M125" s="801"/>
      <c r="N125" s="802"/>
      <c r="O125" s="741"/>
      <c r="P125" s="802"/>
      <c r="Q125" s="741"/>
      <c r="R125" s="949"/>
      <c r="S125" s="802"/>
      <c r="T125" s="801"/>
      <c r="U125" s="802"/>
      <c r="V125" s="802"/>
      <c r="W125" s="802"/>
      <c r="X125" s="802"/>
      <c r="Y125" s="802"/>
      <c r="Z125" s="802"/>
      <c r="AA125" s="801"/>
      <c r="AB125" s="826"/>
      <c r="AC125" s="802"/>
      <c r="AD125" s="802"/>
      <c r="AE125" s="802"/>
      <c r="AF125" s="802"/>
      <c r="AG125" s="802"/>
      <c r="AH125" s="786"/>
      <c r="AI125" s="576">
        <f t="shared" si="6"/>
        <v>0</v>
      </c>
      <c r="AJ125" s="811"/>
      <c r="AK125" s="578"/>
      <c r="AM125" s="578"/>
    </row>
    <row r="126" spans="1:39" s="560" customFormat="1">
      <c r="A126" s="608" t="s">
        <v>2067</v>
      </c>
      <c r="B126" s="607" t="s">
        <v>2071</v>
      </c>
      <c r="C126" s="1041" t="s">
        <v>35</v>
      </c>
      <c r="D126" s="800"/>
      <c r="E126" s="800"/>
      <c r="F126" s="801"/>
      <c r="G126" s="1136">
        <v>1</v>
      </c>
      <c r="H126" s="800"/>
      <c r="I126" s="802"/>
      <c r="J126" s="802"/>
      <c r="K126" s="802"/>
      <c r="L126" s="802"/>
      <c r="M126" s="801"/>
      <c r="N126" s="802"/>
      <c r="O126" s="741"/>
      <c r="P126" s="802"/>
      <c r="Q126" s="741"/>
      <c r="R126" s="949"/>
      <c r="S126" s="802"/>
      <c r="T126" s="801"/>
      <c r="U126" s="802"/>
      <c r="V126" s="802"/>
      <c r="W126" s="802"/>
      <c r="X126" s="802"/>
      <c r="Y126" s="802"/>
      <c r="Z126" s="802"/>
      <c r="AA126" s="801"/>
      <c r="AB126" s="826"/>
      <c r="AC126" s="802"/>
      <c r="AD126" s="802"/>
      <c r="AE126" s="802"/>
      <c r="AF126" s="802"/>
      <c r="AG126" s="802"/>
      <c r="AH126" s="786"/>
      <c r="AI126" s="1061">
        <f t="shared" si="6"/>
        <v>1</v>
      </c>
      <c r="AJ126" s="811"/>
      <c r="AK126" s="578"/>
      <c r="AM126" s="578"/>
    </row>
    <row r="127" spans="1:39" s="560" customFormat="1">
      <c r="A127" s="1138" t="s">
        <v>2079</v>
      </c>
      <c r="B127" s="1138" t="s">
        <v>1342</v>
      </c>
      <c r="C127" s="1041"/>
      <c r="D127" s="800"/>
      <c r="E127" s="800"/>
      <c r="F127" s="801"/>
      <c r="G127" s="800"/>
      <c r="H127" s="800"/>
      <c r="I127" s="802"/>
      <c r="J127" s="802"/>
      <c r="K127" s="802"/>
      <c r="L127" s="802"/>
      <c r="M127" s="801"/>
      <c r="N127" s="802"/>
      <c r="O127" s="741"/>
      <c r="P127" s="802"/>
      <c r="Q127" s="741"/>
      <c r="R127" s="949"/>
      <c r="S127" s="802"/>
      <c r="T127" s="801"/>
      <c r="U127" s="802"/>
      <c r="V127" s="802"/>
      <c r="W127" s="802"/>
      <c r="X127" s="802"/>
      <c r="Y127" s="802"/>
      <c r="Z127" s="802"/>
      <c r="AA127" s="801"/>
      <c r="AB127" s="826"/>
      <c r="AC127" s="802"/>
      <c r="AD127" s="802"/>
      <c r="AE127" s="802"/>
      <c r="AF127" s="802"/>
      <c r="AG127" s="802"/>
      <c r="AH127" s="786"/>
      <c r="AI127" s="576">
        <f t="shared" si="6"/>
        <v>0</v>
      </c>
      <c r="AJ127" s="811"/>
      <c r="AK127" s="578"/>
      <c r="AM127" s="578"/>
    </row>
    <row r="128" spans="1:39" s="560" customFormat="1">
      <c r="A128" s="1139" t="s">
        <v>2080</v>
      </c>
      <c r="B128" s="1139" t="s">
        <v>1338</v>
      </c>
      <c r="C128" s="1041" t="s">
        <v>39</v>
      </c>
      <c r="D128" s="800"/>
      <c r="E128" s="800"/>
      <c r="F128" s="801"/>
      <c r="G128" s="1136">
        <f>1*1*1.2</f>
        <v>1.2</v>
      </c>
      <c r="H128" s="800"/>
      <c r="I128" s="802"/>
      <c r="J128" s="802"/>
      <c r="K128" s="802"/>
      <c r="L128" s="802"/>
      <c r="M128" s="801"/>
      <c r="N128" s="802"/>
      <c r="O128" s="741"/>
      <c r="P128" s="802"/>
      <c r="Q128" s="741"/>
      <c r="R128" s="949"/>
      <c r="S128" s="802"/>
      <c r="T128" s="801"/>
      <c r="U128" s="802"/>
      <c r="V128" s="802"/>
      <c r="W128" s="802"/>
      <c r="X128" s="802"/>
      <c r="Y128" s="802"/>
      <c r="Z128" s="802"/>
      <c r="AA128" s="801"/>
      <c r="AB128" s="826"/>
      <c r="AC128" s="802"/>
      <c r="AD128" s="802"/>
      <c r="AE128" s="802"/>
      <c r="AF128" s="802"/>
      <c r="AG128" s="802"/>
      <c r="AH128" s="786"/>
      <c r="AI128" s="1061">
        <f t="shared" si="6"/>
        <v>1.2</v>
      </c>
      <c r="AJ128" s="811"/>
      <c r="AK128" s="578"/>
      <c r="AM128" s="578"/>
    </row>
    <row r="129" spans="1:39" s="560" customFormat="1">
      <c r="A129" s="1139" t="s">
        <v>2081</v>
      </c>
      <c r="B129" s="1139" t="s">
        <v>1339</v>
      </c>
      <c r="C129" s="1041" t="s">
        <v>39</v>
      </c>
      <c r="D129" s="800"/>
      <c r="E129" s="800"/>
      <c r="F129" s="801"/>
      <c r="G129" s="1136">
        <f>1.5*1.8*2</f>
        <v>5.4</v>
      </c>
      <c r="H129" s="1136">
        <f>1*1.8*2</f>
        <v>3.6</v>
      </c>
      <c r="I129" s="802"/>
      <c r="J129" s="802"/>
      <c r="K129" s="802"/>
      <c r="L129" s="802"/>
      <c r="M129" s="801"/>
      <c r="N129" s="802"/>
      <c r="O129" s="741"/>
      <c r="P129" s="802"/>
      <c r="Q129" s="741"/>
      <c r="R129" s="949"/>
      <c r="S129" s="802"/>
      <c r="T129" s="801"/>
      <c r="U129" s="802"/>
      <c r="V129" s="802"/>
      <c r="W129" s="802"/>
      <c r="X129" s="802"/>
      <c r="Y129" s="802"/>
      <c r="Z129" s="802"/>
      <c r="AA129" s="801"/>
      <c r="AB129" s="826"/>
      <c r="AC129" s="802"/>
      <c r="AD129" s="802"/>
      <c r="AE129" s="802"/>
      <c r="AF129" s="802"/>
      <c r="AG129" s="802"/>
      <c r="AH129" s="786"/>
      <c r="AI129" s="1061">
        <f t="shared" si="6"/>
        <v>9</v>
      </c>
      <c r="AJ129" s="811"/>
      <c r="AK129" s="578"/>
      <c r="AM129" s="578"/>
    </row>
    <row r="130" spans="1:39" s="560" customFormat="1">
      <c r="A130" s="1139" t="s">
        <v>2082</v>
      </c>
      <c r="B130" s="1139" t="s">
        <v>1343</v>
      </c>
      <c r="C130" s="1041" t="s">
        <v>39</v>
      </c>
      <c r="D130" s="800"/>
      <c r="E130" s="800"/>
      <c r="F130" s="801"/>
      <c r="G130" s="800"/>
      <c r="H130" s="800"/>
      <c r="I130" s="802"/>
      <c r="J130" s="1088">
        <f>1.6*1.4*0.15</f>
        <v>0.33599999999999997</v>
      </c>
      <c r="K130" s="802"/>
      <c r="L130" s="802"/>
      <c r="M130" s="801"/>
      <c r="N130" s="802"/>
      <c r="O130" s="741"/>
      <c r="P130" s="802"/>
      <c r="Q130" s="741"/>
      <c r="R130" s="949"/>
      <c r="S130" s="802"/>
      <c r="T130" s="801"/>
      <c r="U130" s="1088">
        <f>1*1.2*0.5</f>
        <v>0.6</v>
      </c>
      <c r="V130" s="802"/>
      <c r="W130" s="802"/>
      <c r="X130" s="802"/>
      <c r="Y130" s="802"/>
      <c r="Z130" s="802"/>
      <c r="AA130" s="801"/>
      <c r="AB130" s="826"/>
      <c r="AC130" s="802"/>
      <c r="AD130" s="802"/>
      <c r="AE130" s="802"/>
      <c r="AF130" s="802"/>
      <c r="AG130" s="802"/>
      <c r="AH130" s="786"/>
      <c r="AI130" s="1061">
        <f t="shared" si="6"/>
        <v>0.93599999999999994</v>
      </c>
      <c r="AJ130" s="811"/>
      <c r="AK130" s="578"/>
      <c r="AM130" s="578"/>
    </row>
    <row r="131" spans="1:39" s="560" customFormat="1">
      <c r="A131" s="1139" t="s">
        <v>2083</v>
      </c>
      <c r="B131" s="1139" t="s">
        <v>2077</v>
      </c>
      <c r="C131" s="1041" t="s">
        <v>36</v>
      </c>
      <c r="D131" s="800"/>
      <c r="E131" s="800"/>
      <c r="F131" s="801"/>
      <c r="G131" s="800"/>
      <c r="H131" s="800"/>
      <c r="I131" s="802"/>
      <c r="J131" s="802"/>
      <c r="K131" s="802"/>
      <c r="L131" s="802"/>
      <c r="M131" s="801"/>
      <c r="N131" s="802"/>
      <c r="O131" s="741"/>
      <c r="P131" s="802"/>
      <c r="Q131" s="741"/>
      <c r="R131" s="1092">
        <f>1*1.8*2</f>
        <v>3.6</v>
      </c>
      <c r="S131" s="802"/>
      <c r="T131" s="801"/>
      <c r="U131" s="1088">
        <f>1.5*1.8*2</f>
        <v>5.4</v>
      </c>
      <c r="V131" s="802"/>
      <c r="W131" s="802"/>
      <c r="X131" s="802"/>
      <c r="Y131" s="802"/>
      <c r="Z131" s="802"/>
      <c r="AA131" s="801"/>
      <c r="AB131" s="826"/>
      <c r="AC131" s="802"/>
      <c r="AD131" s="802"/>
      <c r="AE131" s="802"/>
      <c r="AF131" s="802"/>
      <c r="AG131" s="802"/>
      <c r="AH131" s="786"/>
      <c r="AI131" s="1061">
        <f t="shared" si="6"/>
        <v>9</v>
      </c>
      <c r="AJ131" s="811"/>
      <c r="AK131" s="578"/>
      <c r="AM131" s="578"/>
    </row>
    <row r="132" spans="1:39" s="560" customFormat="1" ht="13.8" thickBot="1">
      <c r="A132" s="1139" t="s">
        <v>2084</v>
      </c>
      <c r="B132" s="1139" t="s">
        <v>2078</v>
      </c>
      <c r="C132" s="1041" t="s">
        <v>39</v>
      </c>
      <c r="D132" s="800"/>
      <c r="E132" s="800"/>
      <c r="F132" s="801"/>
      <c r="G132" s="1136">
        <f>0.66*3.8</f>
        <v>2.508</v>
      </c>
      <c r="H132" s="800"/>
      <c r="I132" s="802"/>
      <c r="J132" s="802"/>
      <c r="K132" s="802"/>
      <c r="L132" s="802"/>
      <c r="M132" s="801"/>
      <c r="N132" s="802"/>
      <c r="O132" s="741"/>
      <c r="P132" s="802"/>
      <c r="Q132" s="741"/>
      <c r="R132" s="949"/>
      <c r="S132" s="802"/>
      <c r="T132" s="801"/>
      <c r="U132" s="802"/>
      <c r="V132" s="802"/>
      <c r="W132" s="802"/>
      <c r="X132" s="802"/>
      <c r="Y132" s="802"/>
      <c r="Z132" s="802"/>
      <c r="AA132" s="801"/>
      <c r="AB132" s="826"/>
      <c r="AC132" s="802"/>
      <c r="AD132" s="802"/>
      <c r="AE132" s="802"/>
      <c r="AF132" s="802"/>
      <c r="AG132" s="802"/>
      <c r="AH132" s="786"/>
      <c r="AI132" s="1061">
        <f t="shared" si="6"/>
        <v>2.508</v>
      </c>
      <c r="AJ132" s="811"/>
      <c r="AK132" s="578"/>
      <c r="AM132" s="578"/>
    </row>
    <row r="133" spans="1:39" ht="13.8" thickBot="1">
      <c r="A133" s="1138" t="s">
        <v>2085</v>
      </c>
      <c r="B133" s="1138" t="s">
        <v>1356</v>
      </c>
      <c r="C133" s="1041"/>
      <c r="D133" s="745"/>
      <c r="E133" s="745"/>
      <c r="F133" s="859"/>
      <c r="G133" s="745"/>
      <c r="H133" s="745"/>
      <c r="I133" s="745"/>
      <c r="J133" s="745"/>
      <c r="K133" s="745"/>
      <c r="L133" s="745"/>
      <c r="M133" s="859"/>
      <c r="N133" s="745"/>
      <c r="O133" s="745"/>
      <c r="P133" s="1152">
        <f>4*0.5</f>
        <v>2</v>
      </c>
      <c r="Q133" s="745"/>
      <c r="R133" s="745"/>
      <c r="S133" s="745"/>
      <c r="T133" s="859"/>
      <c r="U133" s="745"/>
      <c r="V133" s="745"/>
      <c r="W133" s="745"/>
      <c r="X133" s="745"/>
      <c r="Y133" s="745"/>
      <c r="Z133" s="745"/>
      <c r="AA133" s="859"/>
      <c r="AB133" s="1121"/>
      <c r="AC133" s="745"/>
      <c r="AD133" s="754"/>
      <c r="AE133" s="754"/>
      <c r="AF133" s="754"/>
      <c r="AG133" s="1027"/>
      <c r="AH133" s="593"/>
      <c r="AI133" s="1061">
        <f t="shared" si="6"/>
        <v>2</v>
      </c>
      <c r="AJ133" s="595"/>
      <c r="AL133" s="557">
        <f>AK133/10</f>
        <v>0</v>
      </c>
    </row>
    <row r="134" spans="1:39">
      <c r="A134" s="1139" t="s">
        <v>2086</v>
      </c>
      <c r="B134" s="1139" t="s">
        <v>1366</v>
      </c>
      <c r="C134" s="1041" t="s">
        <v>36</v>
      </c>
      <c r="D134" s="745"/>
      <c r="E134" s="745"/>
      <c r="F134" s="859"/>
      <c r="G134" s="745"/>
      <c r="H134" s="745"/>
      <c r="I134" s="745"/>
      <c r="J134" s="745"/>
      <c r="K134" s="745"/>
      <c r="L134" s="745"/>
      <c r="M134" s="859"/>
      <c r="N134" s="745"/>
      <c r="O134" s="745"/>
      <c r="P134" s="745"/>
      <c r="Q134" s="745"/>
      <c r="R134" s="745"/>
      <c r="S134" s="745"/>
      <c r="T134" s="859"/>
      <c r="U134" s="745"/>
      <c r="V134" s="745"/>
      <c r="W134" s="745"/>
      <c r="X134" s="745"/>
      <c r="Y134" s="745"/>
      <c r="Z134" s="745"/>
      <c r="AA134" s="859"/>
      <c r="AB134" s="1121"/>
      <c r="AC134" s="745"/>
      <c r="AD134" s="754"/>
      <c r="AE134" s="754"/>
      <c r="AF134" s="754"/>
      <c r="AG134" s="1153"/>
      <c r="AH134" s="1154"/>
      <c r="AI134" s="576">
        <f t="shared" si="6"/>
        <v>0</v>
      </c>
      <c r="AJ134" s="1155"/>
    </row>
    <row r="135" spans="1:39">
      <c r="A135" s="1139" t="s">
        <v>2096</v>
      </c>
      <c r="B135" s="804" t="s">
        <v>2097</v>
      </c>
      <c r="C135" s="1041" t="s">
        <v>36</v>
      </c>
      <c r="D135" s="745"/>
      <c r="E135" s="745"/>
      <c r="F135" s="859"/>
      <c r="G135" s="745"/>
      <c r="H135" s="745"/>
      <c r="I135" s="745"/>
      <c r="J135" s="745"/>
      <c r="K135" s="745"/>
      <c r="L135" s="745"/>
      <c r="M135" s="859"/>
      <c r="N135" s="745"/>
      <c r="O135" s="745"/>
      <c r="P135" s="745"/>
      <c r="Q135" s="745"/>
      <c r="R135" s="1152">
        <v>1</v>
      </c>
      <c r="S135" s="745"/>
      <c r="T135" s="859"/>
      <c r="U135" s="745"/>
      <c r="V135" s="745"/>
      <c r="W135" s="745"/>
      <c r="X135" s="745"/>
      <c r="Y135" s="745"/>
      <c r="Z135" s="745"/>
      <c r="AA135" s="859"/>
      <c r="AB135" s="1121"/>
      <c r="AC135" s="745"/>
      <c r="AD135" s="754"/>
      <c r="AE135" s="754"/>
      <c r="AF135" s="754"/>
      <c r="AG135" s="1153"/>
      <c r="AH135" s="1154"/>
      <c r="AI135" s="1061">
        <f t="shared" si="6"/>
        <v>1</v>
      </c>
      <c r="AJ135" s="1155"/>
    </row>
    <row r="136" spans="1:39">
      <c r="A136" s="1138"/>
      <c r="B136" s="804" t="s">
        <v>2098</v>
      </c>
      <c r="C136" s="1041"/>
      <c r="D136" s="745"/>
      <c r="E136" s="745"/>
      <c r="F136" s="859"/>
      <c r="G136" s="745"/>
      <c r="H136" s="745"/>
      <c r="I136" s="745"/>
      <c r="J136" s="745"/>
      <c r="K136" s="745"/>
      <c r="L136" s="745"/>
      <c r="M136" s="859"/>
      <c r="N136" s="745"/>
      <c r="O136" s="745"/>
      <c r="P136" s="745"/>
      <c r="Q136" s="745"/>
      <c r="R136" s="745"/>
      <c r="S136" s="745"/>
      <c r="T136" s="859"/>
      <c r="U136" s="745"/>
      <c r="V136" s="745"/>
      <c r="W136" s="745"/>
      <c r="X136" s="745"/>
      <c r="Y136" s="745"/>
      <c r="Z136" s="745"/>
      <c r="AA136" s="859"/>
      <c r="AB136" s="1121"/>
      <c r="AC136" s="745"/>
      <c r="AD136" s="754"/>
      <c r="AE136" s="754"/>
      <c r="AF136" s="754"/>
      <c r="AG136" s="1153"/>
      <c r="AH136" s="1154"/>
      <c r="AI136" s="576">
        <f t="shared" si="6"/>
        <v>0</v>
      </c>
      <c r="AJ136" s="1155"/>
    </row>
    <row r="137" spans="1:39">
      <c r="A137" s="1139"/>
      <c r="B137" s="804" t="s">
        <v>2099</v>
      </c>
      <c r="C137" s="1041" t="s">
        <v>72</v>
      </c>
      <c r="D137" s="745"/>
      <c r="E137" s="745"/>
      <c r="F137" s="859"/>
      <c r="G137" s="745"/>
      <c r="H137" s="745"/>
      <c r="I137" s="745"/>
      <c r="J137" s="745"/>
      <c r="K137" s="745"/>
      <c r="L137" s="745"/>
      <c r="M137" s="859"/>
      <c r="N137" s="745"/>
      <c r="O137" s="745"/>
      <c r="P137" s="745"/>
      <c r="Q137" s="566"/>
      <c r="R137" s="566"/>
      <c r="S137" s="566"/>
      <c r="T137" s="860"/>
      <c r="U137" s="566"/>
      <c r="V137" s="745"/>
      <c r="W137" s="745"/>
      <c r="X137" s="745"/>
      <c r="Y137" s="745"/>
      <c r="Z137" s="745"/>
      <c r="AA137" s="859"/>
      <c r="AB137" s="1121"/>
      <c r="AC137" s="745"/>
      <c r="AD137" s="754"/>
      <c r="AE137" s="754"/>
      <c r="AF137" s="754"/>
      <c r="AG137" s="1153"/>
      <c r="AH137" s="1154"/>
      <c r="AI137" s="576">
        <f t="shared" si="6"/>
        <v>0</v>
      </c>
      <c r="AJ137" s="1155"/>
    </row>
    <row r="138" spans="1:39">
      <c r="A138" s="1139"/>
      <c r="B138" s="804" t="s">
        <v>2100</v>
      </c>
      <c r="C138" s="1041"/>
      <c r="D138" s="745"/>
      <c r="E138" s="745"/>
      <c r="F138" s="859"/>
      <c r="G138" s="745"/>
      <c r="H138" s="745"/>
      <c r="I138" s="745"/>
      <c r="J138" s="745"/>
      <c r="K138" s="745"/>
      <c r="L138" s="745"/>
      <c r="M138" s="859"/>
      <c r="N138" s="745"/>
      <c r="O138" s="745"/>
      <c r="P138" s="745"/>
      <c r="Q138" s="745"/>
      <c r="R138" s="745"/>
      <c r="S138" s="745"/>
      <c r="T138" s="859"/>
      <c r="U138" s="745"/>
      <c r="V138" s="745"/>
      <c r="W138" s="745"/>
      <c r="X138" s="745"/>
      <c r="Y138" s="745"/>
      <c r="Z138" s="745"/>
      <c r="AA138" s="859"/>
      <c r="AB138" s="1121"/>
      <c r="AC138" s="745"/>
      <c r="AD138" s="754"/>
      <c r="AE138" s="754"/>
      <c r="AF138" s="754"/>
      <c r="AG138" s="1153"/>
      <c r="AH138" s="1154"/>
      <c r="AI138" s="576">
        <f t="shared" si="6"/>
        <v>0</v>
      </c>
      <c r="AJ138" s="1155"/>
    </row>
    <row r="139" spans="1:39">
      <c r="A139" s="1139"/>
      <c r="B139" s="804" t="s">
        <v>2101</v>
      </c>
      <c r="C139" s="1041" t="s">
        <v>39</v>
      </c>
      <c r="D139" s="745"/>
      <c r="E139" s="745"/>
      <c r="F139" s="859"/>
      <c r="G139" s="745"/>
      <c r="H139" s="745"/>
      <c r="I139" s="745"/>
      <c r="J139" s="745"/>
      <c r="K139" s="745"/>
      <c r="L139" s="745"/>
      <c r="M139" s="859"/>
      <c r="N139" s="745"/>
      <c r="O139" s="745"/>
      <c r="P139" s="745"/>
      <c r="Q139" s="1152">
        <v>4</v>
      </c>
      <c r="R139" s="1152">
        <v>4</v>
      </c>
      <c r="S139" s="745"/>
      <c r="T139" s="859"/>
      <c r="U139" s="1152">
        <v>4</v>
      </c>
      <c r="V139" s="745"/>
      <c r="W139" s="745"/>
      <c r="X139" s="745"/>
      <c r="Y139" s="745"/>
      <c r="Z139" s="745"/>
      <c r="AA139" s="859"/>
      <c r="AB139" s="1121"/>
      <c r="AC139" s="745"/>
      <c r="AD139" s="754"/>
      <c r="AE139" s="754"/>
      <c r="AF139" s="754"/>
      <c r="AG139" s="1153"/>
      <c r="AH139" s="1154"/>
      <c r="AI139" s="1061">
        <f t="shared" si="6"/>
        <v>12</v>
      </c>
      <c r="AJ139" s="1155"/>
    </row>
    <row r="140" spans="1:39">
      <c r="A140" s="1139"/>
      <c r="B140" s="804" t="s">
        <v>2102</v>
      </c>
      <c r="C140" s="1041" t="s">
        <v>72</v>
      </c>
      <c r="D140" s="745"/>
      <c r="E140" s="745"/>
      <c r="F140" s="859"/>
      <c r="G140" s="745"/>
      <c r="H140" s="745"/>
      <c r="I140" s="745"/>
      <c r="J140" s="745"/>
      <c r="K140" s="745"/>
      <c r="L140" s="745"/>
      <c r="M140" s="859"/>
      <c r="N140" s="745"/>
      <c r="O140" s="745"/>
      <c r="P140" s="745"/>
      <c r="Q140" s="745"/>
      <c r="R140" s="745"/>
      <c r="S140" s="745"/>
      <c r="T140" s="859"/>
      <c r="U140" s="745"/>
      <c r="V140" s="745"/>
      <c r="W140" s="745"/>
      <c r="X140" s="745"/>
      <c r="Y140" s="745"/>
      <c r="Z140" s="745"/>
      <c r="AA140" s="859"/>
      <c r="AB140" s="1121"/>
      <c r="AC140" s="1152">
        <v>1</v>
      </c>
      <c r="AD140" s="754"/>
      <c r="AE140" s="754"/>
      <c r="AF140" s="754"/>
      <c r="AG140" s="1153"/>
      <c r="AH140" s="1154"/>
      <c r="AI140" s="1061">
        <f t="shared" si="6"/>
        <v>1</v>
      </c>
      <c r="AJ140" s="1155"/>
    </row>
    <row r="141" spans="1:39">
      <c r="A141" s="1139"/>
      <c r="B141" s="804" t="s">
        <v>2103</v>
      </c>
      <c r="C141" s="1041"/>
      <c r="D141" s="566"/>
      <c r="E141" s="566"/>
      <c r="F141" s="860"/>
      <c r="G141" s="566"/>
      <c r="H141" s="566"/>
      <c r="I141" s="566"/>
      <c r="J141" s="566"/>
      <c r="K141" s="566"/>
      <c r="L141" s="566"/>
      <c r="M141" s="860"/>
      <c r="N141" s="566"/>
      <c r="O141" s="566"/>
      <c r="P141" s="566"/>
      <c r="Q141" s="566"/>
      <c r="R141" s="566"/>
      <c r="S141" s="566"/>
      <c r="T141" s="860"/>
      <c r="U141" s="566"/>
      <c r="V141" s="566"/>
      <c r="W141" s="566"/>
      <c r="X141" s="566"/>
      <c r="Y141" s="566"/>
      <c r="Z141" s="566"/>
      <c r="AA141" s="860"/>
      <c r="AB141" s="1121"/>
      <c r="AC141" s="745"/>
      <c r="AD141" s="754"/>
      <c r="AE141" s="754"/>
      <c r="AF141" s="754"/>
      <c r="AI141" s="576">
        <f t="shared" si="6"/>
        <v>0</v>
      </c>
    </row>
    <row r="142" spans="1:39">
      <c r="A142" s="1139"/>
      <c r="B142" s="804" t="s">
        <v>2103</v>
      </c>
      <c r="C142" s="1041" t="s">
        <v>275</v>
      </c>
      <c r="D142" s="566"/>
      <c r="E142" s="566"/>
      <c r="F142" s="860"/>
      <c r="G142" s="566"/>
      <c r="H142" s="566"/>
      <c r="I142" s="566"/>
      <c r="J142" s="566"/>
      <c r="K142" s="566"/>
      <c r="L142" s="566"/>
      <c r="M142" s="860"/>
      <c r="N142" s="566"/>
      <c r="O142" s="566"/>
      <c r="P142" s="566"/>
      <c r="Q142" s="1157">
        <v>143.6</v>
      </c>
      <c r="R142" s="566"/>
      <c r="S142" s="566"/>
      <c r="T142" s="860"/>
      <c r="U142" s="1157">
        <v>217.9</v>
      </c>
      <c r="V142" s="566"/>
      <c r="W142" s="566"/>
      <c r="X142" s="1157">
        <v>278.60000000000002</v>
      </c>
      <c r="Y142" s="566"/>
      <c r="Z142" s="566"/>
      <c r="AA142" s="860"/>
      <c r="AB142" s="1121"/>
      <c r="AC142" s="1152">
        <v>159.6</v>
      </c>
      <c r="AD142" s="754"/>
      <c r="AE142" s="754"/>
      <c r="AF142" s="754"/>
      <c r="AI142" s="1061">
        <f t="shared" ref="AI142" si="7">SUM(D142:AH142)</f>
        <v>799.7</v>
      </c>
    </row>
    <row r="143" spans="1:39">
      <c r="A143" s="940"/>
      <c r="B143" s="804"/>
      <c r="C143" s="614"/>
    </row>
    <row r="144" spans="1:39">
      <c r="A144" s="751"/>
      <c r="B144" s="805" t="s">
        <v>1</v>
      </c>
      <c r="C144" s="614"/>
      <c r="O144" s="600"/>
      <c r="AL144" s="560">
        <v>1204.5</v>
      </c>
    </row>
    <row r="145" spans="1:18">
      <c r="A145" s="618" t="s">
        <v>287</v>
      </c>
    </row>
    <row r="146" spans="1:18">
      <c r="Q146" s="557" t="s">
        <v>2104</v>
      </c>
      <c r="R146" s="557">
        <v>143.6</v>
      </c>
    </row>
    <row r="147" spans="1:18">
      <c r="B147" s="624" t="s">
        <v>1787</v>
      </c>
      <c r="C147" s="596"/>
      <c r="Q147" s="557" t="s">
        <v>2105</v>
      </c>
      <c r="R147" s="557">
        <v>217.93</v>
      </c>
    </row>
    <row r="148" spans="1:18">
      <c r="B148" s="624" t="s">
        <v>288</v>
      </c>
      <c r="C148" s="596"/>
      <c r="Q148" s="557" t="s">
        <v>2106</v>
      </c>
      <c r="R148" s="557">
        <v>278.55</v>
      </c>
    </row>
    <row r="149" spans="1:18">
      <c r="B149" s="624"/>
      <c r="C149" s="596"/>
      <c r="Q149" s="557" t="s">
        <v>2107</v>
      </c>
      <c r="R149" s="557">
        <v>159.63999999999999</v>
      </c>
    </row>
    <row r="150" spans="1:18">
      <c r="B150" s="624"/>
      <c r="C150" s="596"/>
    </row>
    <row r="151" spans="1:18">
      <c r="B151" s="624"/>
      <c r="C151" s="596"/>
    </row>
    <row r="161" spans="1:37" s="559" customFormat="1">
      <c r="A161" s="618"/>
      <c r="B161" s="616"/>
      <c r="D161" s="557"/>
      <c r="E161" s="557"/>
      <c r="F161" s="787"/>
      <c r="G161" s="557"/>
      <c r="H161" s="557"/>
      <c r="I161" s="557"/>
      <c r="J161" s="557"/>
      <c r="K161" s="557"/>
      <c r="L161" s="557"/>
      <c r="M161" s="787"/>
      <c r="N161" s="557"/>
      <c r="O161" s="557"/>
      <c r="P161" s="557"/>
      <c r="Q161" s="557"/>
      <c r="R161" s="557"/>
      <c r="S161" s="557"/>
      <c r="T161" s="787"/>
      <c r="U161" s="557"/>
      <c r="V161" s="557"/>
      <c r="W161" s="557"/>
      <c r="X161" s="557"/>
      <c r="Y161" s="557"/>
      <c r="Z161" s="557"/>
      <c r="AA161" s="787"/>
      <c r="AB161" s="1120"/>
      <c r="AC161" s="557"/>
      <c r="AD161" s="558"/>
      <c r="AE161" s="558"/>
      <c r="AF161" s="558"/>
      <c r="AG161" s="558"/>
      <c r="AH161" s="558"/>
      <c r="AI161" s="557"/>
      <c r="AJ161" s="557"/>
      <c r="AK161" s="557"/>
    </row>
    <row r="165" spans="1:37">
      <c r="B165" s="618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30" orientation="portrait" r:id="rId1"/>
  <colBreaks count="1" manualBreakCount="1">
    <brk id="35" max="1048575" man="1"/>
  </col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BN54"/>
  <sheetViews>
    <sheetView topLeftCell="A32" workbookViewId="0"/>
  </sheetViews>
  <sheetFormatPr baseColWidth="10" defaultRowHeight="10.199999999999999"/>
  <cols>
    <col min="1" max="1" width="3.44140625" style="18" customWidth="1"/>
    <col min="2" max="2" width="5.44140625" style="18" bestFit="1" customWidth="1"/>
    <col min="3" max="3" width="43.44140625" style="18" customWidth="1"/>
    <col min="4" max="4" width="7.88671875" style="18" customWidth="1"/>
    <col min="5" max="5" width="14.44140625" style="18" customWidth="1"/>
    <col min="6" max="6" width="12.109375" style="26" customWidth="1"/>
    <col min="7" max="7" width="13" style="26" customWidth="1"/>
    <col min="8" max="8" width="11.6640625" style="26" customWidth="1"/>
    <col min="9" max="9" width="11.109375" style="49" customWidth="1"/>
    <col min="10" max="10" width="14" style="49" customWidth="1"/>
    <col min="11" max="11" width="8.44140625" style="18" customWidth="1"/>
    <col min="12" max="12" width="7.33203125" style="18" bestFit="1" customWidth="1"/>
    <col min="13" max="13" width="5.5546875" style="18" customWidth="1"/>
    <col min="14" max="14" width="19.109375" style="18" bestFit="1" customWidth="1"/>
    <col min="15" max="256" width="11.5546875" style="18"/>
    <col min="257" max="257" width="3.44140625" style="18" customWidth="1"/>
    <col min="258" max="258" width="5.44140625" style="18" bestFit="1" customWidth="1"/>
    <col min="259" max="259" width="43.44140625" style="18" customWidth="1"/>
    <col min="260" max="260" width="7.88671875" style="18" customWidth="1"/>
    <col min="261" max="261" width="14.44140625" style="18" customWidth="1"/>
    <col min="262" max="262" width="12.109375" style="18" customWidth="1"/>
    <col min="263" max="263" width="13" style="18" customWidth="1"/>
    <col min="264" max="264" width="11.6640625" style="18" customWidth="1"/>
    <col min="265" max="265" width="11.109375" style="18" customWidth="1"/>
    <col min="266" max="266" width="14" style="18" customWidth="1"/>
    <col min="267" max="267" width="8.44140625" style="18" customWidth="1"/>
    <col min="268" max="268" width="7.33203125" style="18" bestFit="1" customWidth="1"/>
    <col min="269" max="269" width="5.5546875" style="18" customWidth="1"/>
    <col min="270" max="270" width="19.109375" style="18" bestFit="1" customWidth="1"/>
    <col min="271" max="512" width="11.5546875" style="18"/>
    <col min="513" max="513" width="3.44140625" style="18" customWidth="1"/>
    <col min="514" max="514" width="5.44140625" style="18" bestFit="1" customWidth="1"/>
    <col min="515" max="515" width="43.44140625" style="18" customWidth="1"/>
    <col min="516" max="516" width="7.88671875" style="18" customWidth="1"/>
    <col min="517" max="517" width="14.44140625" style="18" customWidth="1"/>
    <col min="518" max="518" width="12.109375" style="18" customWidth="1"/>
    <col min="519" max="519" width="13" style="18" customWidth="1"/>
    <col min="520" max="520" width="11.6640625" style="18" customWidth="1"/>
    <col min="521" max="521" width="11.109375" style="18" customWidth="1"/>
    <col min="522" max="522" width="14" style="18" customWidth="1"/>
    <col min="523" max="523" width="8.44140625" style="18" customWidth="1"/>
    <col min="524" max="524" width="7.33203125" style="18" bestFit="1" customWidth="1"/>
    <col min="525" max="525" width="5.5546875" style="18" customWidth="1"/>
    <col min="526" max="526" width="19.109375" style="18" bestFit="1" customWidth="1"/>
    <col min="527" max="768" width="11.5546875" style="18"/>
    <col min="769" max="769" width="3.44140625" style="18" customWidth="1"/>
    <col min="770" max="770" width="5.44140625" style="18" bestFit="1" customWidth="1"/>
    <col min="771" max="771" width="43.44140625" style="18" customWidth="1"/>
    <col min="772" max="772" width="7.88671875" style="18" customWidth="1"/>
    <col min="773" max="773" width="14.44140625" style="18" customWidth="1"/>
    <col min="774" max="774" width="12.109375" style="18" customWidth="1"/>
    <col min="775" max="775" width="13" style="18" customWidth="1"/>
    <col min="776" max="776" width="11.6640625" style="18" customWidth="1"/>
    <col min="777" max="777" width="11.109375" style="18" customWidth="1"/>
    <col min="778" max="778" width="14" style="18" customWidth="1"/>
    <col min="779" max="779" width="8.44140625" style="18" customWidth="1"/>
    <col min="780" max="780" width="7.33203125" style="18" bestFit="1" customWidth="1"/>
    <col min="781" max="781" width="5.5546875" style="18" customWidth="1"/>
    <col min="782" max="782" width="19.109375" style="18" bestFit="1" customWidth="1"/>
    <col min="783" max="1024" width="11.5546875" style="18"/>
    <col min="1025" max="1025" width="3.44140625" style="18" customWidth="1"/>
    <col min="1026" max="1026" width="5.44140625" style="18" bestFit="1" customWidth="1"/>
    <col min="1027" max="1027" width="43.44140625" style="18" customWidth="1"/>
    <col min="1028" max="1028" width="7.88671875" style="18" customWidth="1"/>
    <col min="1029" max="1029" width="14.44140625" style="18" customWidth="1"/>
    <col min="1030" max="1030" width="12.109375" style="18" customWidth="1"/>
    <col min="1031" max="1031" width="13" style="18" customWidth="1"/>
    <col min="1032" max="1032" width="11.6640625" style="18" customWidth="1"/>
    <col min="1033" max="1033" width="11.109375" style="18" customWidth="1"/>
    <col min="1034" max="1034" width="14" style="18" customWidth="1"/>
    <col min="1035" max="1035" width="8.44140625" style="18" customWidth="1"/>
    <col min="1036" max="1036" width="7.33203125" style="18" bestFit="1" customWidth="1"/>
    <col min="1037" max="1037" width="5.5546875" style="18" customWidth="1"/>
    <col min="1038" max="1038" width="19.109375" style="18" bestFit="1" customWidth="1"/>
    <col min="1039" max="1280" width="11.5546875" style="18"/>
    <col min="1281" max="1281" width="3.44140625" style="18" customWidth="1"/>
    <col min="1282" max="1282" width="5.44140625" style="18" bestFit="1" customWidth="1"/>
    <col min="1283" max="1283" width="43.44140625" style="18" customWidth="1"/>
    <col min="1284" max="1284" width="7.88671875" style="18" customWidth="1"/>
    <col min="1285" max="1285" width="14.44140625" style="18" customWidth="1"/>
    <col min="1286" max="1286" width="12.109375" style="18" customWidth="1"/>
    <col min="1287" max="1287" width="13" style="18" customWidth="1"/>
    <col min="1288" max="1288" width="11.6640625" style="18" customWidth="1"/>
    <col min="1289" max="1289" width="11.109375" style="18" customWidth="1"/>
    <col min="1290" max="1290" width="14" style="18" customWidth="1"/>
    <col min="1291" max="1291" width="8.44140625" style="18" customWidth="1"/>
    <col min="1292" max="1292" width="7.33203125" style="18" bestFit="1" customWidth="1"/>
    <col min="1293" max="1293" width="5.5546875" style="18" customWidth="1"/>
    <col min="1294" max="1294" width="19.109375" style="18" bestFit="1" customWidth="1"/>
    <col min="1295" max="1536" width="11.5546875" style="18"/>
    <col min="1537" max="1537" width="3.44140625" style="18" customWidth="1"/>
    <col min="1538" max="1538" width="5.44140625" style="18" bestFit="1" customWidth="1"/>
    <col min="1539" max="1539" width="43.44140625" style="18" customWidth="1"/>
    <col min="1540" max="1540" width="7.88671875" style="18" customWidth="1"/>
    <col min="1541" max="1541" width="14.44140625" style="18" customWidth="1"/>
    <col min="1542" max="1542" width="12.109375" style="18" customWidth="1"/>
    <col min="1543" max="1543" width="13" style="18" customWidth="1"/>
    <col min="1544" max="1544" width="11.6640625" style="18" customWidth="1"/>
    <col min="1545" max="1545" width="11.109375" style="18" customWidth="1"/>
    <col min="1546" max="1546" width="14" style="18" customWidth="1"/>
    <col min="1547" max="1547" width="8.44140625" style="18" customWidth="1"/>
    <col min="1548" max="1548" width="7.33203125" style="18" bestFit="1" customWidth="1"/>
    <col min="1549" max="1549" width="5.5546875" style="18" customWidth="1"/>
    <col min="1550" max="1550" width="19.109375" style="18" bestFit="1" customWidth="1"/>
    <col min="1551" max="1792" width="11.5546875" style="18"/>
    <col min="1793" max="1793" width="3.44140625" style="18" customWidth="1"/>
    <col min="1794" max="1794" width="5.44140625" style="18" bestFit="1" customWidth="1"/>
    <col min="1795" max="1795" width="43.44140625" style="18" customWidth="1"/>
    <col min="1796" max="1796" width="7.88671875" style="18" customWidth="1"/>
    <col min="1797" max="1797" width="14.44140625" style="18" customWidth="1"/>
    <col min="1798" max="1798" width="12.109375" style="18" customWidth="1"/>
    <col min="1799" max="1799" width="13" style="18" customWidth="1"/>
    <col min="1800" max="1800" width="11.6640625" style="18" customWidth="1"/>
    <col min="1801" max="1801" width="11.109375" style="18" customWidth="1"/>
    <col min="1802" max="1802" width="14" style="18" customWidth="1"/>
    <col min="1803" max="1803" width="8.44140625" style="18" customWidth="1"/>
    <col min="1804" max="1804" width="7.33203125" style="18" bestFit="1" customWidth="1"/>
    <col min="1805" max="1805" width="5.5546875" style="18" customWidth="1"/>
    <col min="1806" max="1806" width="19.109375" style="18" bestFit="1" customWidth="1"/>
    <col min="1807" max="2048" width="11.5546875" style="18"/>
    <col min="2049" max="2049" width="3.44140625" style="18" customWidth="1"/>
    <col min="2050" max="2050" width="5.44140625" style="18" bestFit="1" customWidth="1"/>
    <col min="2051" max="2051" width="43.44140625" style="18" customWidth="1"/>
    <col min="2052" max="2052" width="7.88671875" style="18" customWidth="1"/>
    <col min="2053" max="2053" width="14.44140625" style="18" customWidth="1"/>
    <col min="2054" max="2054" width="12.109375" style="18" customWidth="1"/>
    <col min="2055" max="2055" width="13" style="18" customWidth="1"/>
    <col min="2056" max="2056" width="11.6640625" style="18" customWidth="1"/>
    <col min="2057" max="2057" width="11.109375" style="18" customWidth="1"/>
    <col min="2058" max="2058" width="14" style="18" customWidth="1"/>
    <col min="2059" max="2059" width="8.44140625" style="18" customWidth="1"/>
    <col min="2060" max="2060" width="7.33203125" style="18" bestFit="1" customWidth="1"/>
    <col min="2061" max="2061" width="5.5546875" style="18" customWidth="1"/>
    <col min="2062" max="2062" width="19.109375" style="18" bestFit="1" customWidth="1"/>
    <col min="2063" max="2304" width="11.5546875" style="18"/>
    <col min="2305" max="2305" width="3.44140625" style="18" customWidth="1"/>
    <col min="2306" max="2306" width="5.44140625" style="18" bestFit="1" customWidth="1"/>
    <col min="2307" max="2307" width="43.44140625" style="18" customWidth="1"/>
    <col min="2308" max="2308" width="7.88671875" style="18" customWidth="1"/>
    <col min="2309" max="2309" width="14.44140625" style="18" customWidth="1"/>
    <col min="2310" max="2310" width="12.109375" style="18" customWidth="1"/>
    <col min="2311" max="2311" width="13" style="18" customWidth="1"/>
    <col min="2312" max="2312" width="11.6640625" style="18" customWidth="1"/>
    <col min="2313" max="2313" width="11.109375" style="18" customWidth="1"/>
    <col min="2314" max="2314" width="14" style="18" customWidth="1"/>
    <col min="2315" max="2315" width="8.44140625" style="18" customWidth="1"/>
    <col min="2316" max="2316" width="7.33203125" style="18" bestFit="1" customWidth="1"/>
    <col min="2317" max="2317" width="5.5546875" style="18" customWidth="1"/>
    <col min="2318" max="2318" width="19.109375" style="18" bestFit="1" customWidth="1"/>
    <col min="2319" max="2560" width="11.5546875" style="18"/>
    <col min="2561" max="2561" width="3.44140625" style="18" customWidth="1"/>
    <col min="2562" max="2562" width="5.44140625" style="18" bestFit="1" customWidth="1"/>
    <col min="2563" max="2563" width="43.44140625" style="18" customWidth="1"/>
    <col min="2564" max="2564" width="7.88671875" style="18" customWidth="1"/>
    <col min="2565" max="2565" width="14.44140625" style="18" customWidth="1"/>
    <col min="2566" max="2566" width="12.109375" style="18" customWidth="1"/>
    <col min="2567" max="2567" width="13" style="18" customWidth="1"/>
    <col min="2568" max="2568" width="11.6640625" style="18" customWidth="1"/>
    <col min="2569" max="2569" width="11.109375" style="18" customWidth="1"/>
    <col min="2570" max="2570" width="14" style="18" customWidth="1"/>
    <col min="2571" max="2571" width="8.44140625" style="18" customWidth="1"/>
    <col min="2572" max="2572" width="7.33203125" style="18" bestFit="1" customWidth="1"/>
    <col min="2573" max="2573" width="5.5546875" style="18" customWidth="1"/>
    <col min="2574" max="2574" width="19.109375" style="18" bestFit="1" customWidth="1"/>
    <col min="2575" max="2816" width="11.5546875" style="18"/>
    <col min="2817" max="2817" width="3.44140625" style="18" customWidth="1"/>
    <col min="2818" max="2818" width="5.44140625" style="18" bestFit="1" customWidth="1"/>
    <col min="2819" max="2819" width="43.44140625" style="18" customWidth="1"/>
    <col min="2820" max="2820" width="7.88671875" style="18" customWidth="1"/>
    <col min="2821" max="2821" width="14.44140625" style="18" customWidth="1"/>
    <col min="2822" max="2822" width="12.109375" style="18" customWidth="1"/>
    <col min="2823" max="2823" width="13" style="18" customWidth="1"/>
    <col min="2824" max="2824" width="11.6640625" style="18" customWidth="1"/>
    <col min="2825" max="2825" width="11.109375" style="18" customWidth="1"/>
    <col min="2826" max="2826" width="14" style="18" customWidth="1"/>
    <col min="2827" max="2827" width="8.44140625" style="18" customWidth="1"/>
    <col min="2828" max="2828" width="7.33203125" style="18" bestFit="1" customWidth="1"/>
    <col min="2829" max="2829" width="5.5546875" style="18" customWidth="1"/>
    <col min="2830" max="2830" width="19.109375" style="18" bestFit="1" customWidth="1"/>
    <col min="2831" max="3072" width="11.5546875" style="18"/>
    <col min="3073" max="3073" width="3.44140625" style="18" customWidth="1"/>
    <col min="3074" max="3074" width="5.44140625" style="18" bestFit="1" customWidth="1"/>
    <col min="3075" max="3075" width="43.44140625" style="18" customWidth="1"/>
    <col min="3076" max="3076" width="7.88671875" style="18" customWidth="1"/>
    <col min="3077" max="3077" width="14.44140625" style="18" customWidth="1"/>
    <col min="3078" max="3078" width="12.109375" style="18" customWidth="1"/>
    <col min="3079" max="3079" width="13" style="18" customWidth="1"/>
    <col min="3080" max="3080" width="11.6640625" style="18" customWidth="1"/>
    <col min="3081" max="3081" width="11.109375" style="18" customWidth="1"/>
    <col min="3082" max="3082" width="14" style="18" customWidth="1"/>
    <col min="3083" max="3083" width="8.44140625" style="18" customWidth="1"/>
    <col min="3084" max="3084" width="7.33203125" style="18" bestFit="1" customWidth="1"/>
    <col min="3085" max="3085" width="5.5546875" style="18" customWidth="1"/>
    <col min="3086" max="3086" width="19.109375" style="18" bestFit="1" customWidth="1"/>
    <col min="3087" max="3328" width="11.5546875" style="18"/>
    <col min="3329" max="3329" width="3.44140625" style="18" customWidth="1"/>
    <col min="3330" max="3330" width="5.44140625" style="18" bestFit="1" customWidth="1"/>
    <col min="3331" max="3331" width="43.44140625" style="18" customWidth="1"/>
    <col min="3332" max="3332" width="7.88671875" style="18" customWidth="1"/>
    <col min="3333" max="3333" width="14.44140625" style="18" customWidth="1"/>
    <col min="3334" max="3334" width="12.109375" style="18" customWidth="1"/>
    <col min="3335" max="3335" width="13" style="18" customWidth="1"/>
    <col min="3336" max="3336" width="11.6640625" style="18" customWidth="1"/>
    <col min="3337" max="3337" width="11.109375" style="18" customWidth="1"/>
    <col min="3338" max="3338" width="14" style="18" customWidth="1"/>
    <col min="3339" max="3339" width="8.44140625" style="18" customWidth="1"/>
    <col min="3340" max="3340" width="7.33203125" style="18" bestFit="1" customWidth="1"/>
    <col min="3341" max="3341" width="5.5546875" style="18" customWidth="1"/>
    <col min="3342" max="3342" width="19.109375" style="18" bestFit="1" customWidth="1"/>
    <col min="3343" max="3584" width="11.5546875" style="18"/>
    <col min="3585" max="3585" width="3.44140625" style="18" customWidth="1"/>
    <col min="3586" max="3586" width="5.44140625" style="18" bestFit="1" customWidth="1"/>
    <col min="3587" max="3587" width="43.44140625" style="18" customWidth="1"/>
    <col min="3588" max="3588" width="7.88671875" style="18" customWidth="1"/>
    <col min="3589" max="3589" width="14.44140625" style="18" customWidth="1"/>
    <col min="3590" max="3590" width="12.109375" style="18" customWidth="1"/>
    <col min="3591" max="3591" width="13" style="18" customWidth="1"/>
    <col min="3592" max="3592" width="11.6640625" style="18" customWidth="1"/>
    <col min="3593" max="3593" width="11.109375" style="18" customWidth="1"/>
    <col min="3594" max="3594" width="14" style="18" customWidth="1"/>
    <col min="3595" max="3595" width="8.44140625" style="18" customWidth="1"/>
    <col min="3596" max="3596" width="7.33203125" style="18" bestFit="1" customWidth="1"/>
    <col min="3597" max="3597" width="5.5546875" style="18" customWidth="1"/>
    <col min="3598" max="3598" width="19.109375" style="18" bestFit="1" customWidth="1"/>
    <col min="3599" max="3840" width="11.5546875" style="18"/>
    <col min="3841" max="3841" width="3.44140625" style="18" customWidth="1"/>
    <col min="3842" max="3842" width="5.44140625" style="18" bestFit="1" customWidth="1"/>
    <col min="3843" max="3843" width="43.44140625" style="18" customWidth="1"/>
    <col min="3844" max="3844" width="7.88671875" style="18" customWidth="1"/>
    <col min="3845" max="3845" width="14.44140625" style="18" customWidth="1"/>
    <col min="3846" max="3846" width="12.109375" style="18" customWidth="1"/>
    <col min="3847" max="3847" width="13" style="18" customWidth="1"/>
    <col min="3848" max="3848" width="11.6640625" style="18" customWidth="1"/>
    <col min="3849" max="3849" width="11.109375" style="18" customWidth="1"/>
    <col min="3850" max="3850" width="14" style="18" customWidth="1"/>
    <col min="3851" max="3851" width="8.44140625" style="18" customWidth="1"/>
    <col min="3852" max="3852" width="7.33203125" style="18" bestFit="1" customWidth="1"/>
    <col min="3853" max="3853" width="5.5546875" style="18" customWidth="1"/>
    <col min="3854" max="3854" width="19.109375" style="18" bestFit="1" customWidth="1"/>
    <col min="3855" max="4096" width="11.5546875" style="18"/>
    <col min="4097" max="4097" width="3.44140625" style="18" customWidth="1"/>
    <col min="4098" max="4098" width="5.44140625" style="18" bestFit="1" customWidth="1"/>
    <col min="4099" max="4099" width="43.44140625" style="18" customWidth="1"/>
    <col min="4100" max="4100" width="7.88671875" style="18" customWidth="1"/>
    <col min="4101" max="4101" width="14.44140625" style="18" customWidth="1"/>
    <col min="4102" max="4102" width="12.109375" style="18" customWidth="1"/>
    <col min="4103" max="4103" width="13" style="18" customWidth="1"/>
    <col min="4104" max="4104" width="11.6640625" style="18" customWidth="1"/>
    <col min="4105" max="4105" width="11.109375" style="18" customWidth="1"/>
    <col min="4106" max="4106" width="14" style="18" customWidth="1"/>
    <col min="4107" max="4107" width="8.44140625" style="18" customWidth="1"/>
    <col min="4108" max="4108" width="7.33203125" style="18" bestFit="1" customWidth="1"/>
    <col min="4109" max="4109" width="5.5546875" style="18" customWidth="1"/>
    <col min="4110" max="4110" width="19.109375" style="18" bestFit="1" customWidth="1"/>
    <col min="4111" max="4352" width="11.5546875" style="18"/>
    <col min="4353" max="4353" width="3.44140625" style="18" customWidth="1"/>
    <col min="4354" max="4354" width="5.44140625" style="18" bestFit="1" customWidth="1"/>
    <col min="4355" max="4355" width="43.44140625" style="18" customWidth="1"/>
    <col min="4356" max="4356" width="7.88671875" style="18" customWidth="1"/>
    <col min="4357" max="4357" width="14.44140625" style="18" customWidth="1"/>
    <col min="4358" max="4358" width="12.109375" style="18" customWidth="1"/>
    <col min="4359" max="4359" width="13" style="18" customWidth="1"/>
    <col min="4360" max="4360" width="11.6640625" style="18" customWidth="1"/>
    <col min="4361" max="4361" width="11.109375" style="18" customWidth="1"/>
    <col min="4362" max="4362" width="14" style="18" customWidth="1"/>
    <col min="4363" max="4363" width="8.44140625" style="18" customWidth="1"/>
    <col min="4364" max="4364" width="7.33203125" style="18" bestFit="1" customWidth="1"/>
    <col min="4365" max="4365" width="5.5546875" style="18" customWidth="1"/>
    <col min="4366" max="4366" width="19.109375" style="18" bestFit="1" customWidth="1"/>
    <col min="4367" max="4608" width="11.5546875" style="18"/>
    <col min="4609" max="4609" width="3.44140625" style="18" customWidth="1"/>
    <col min="4610" max="4610" width="5.44140625" style="18" bestFit="1" customWidth="1"/>
    <col min="4611" max="4611" width="43.44140625" style="18" customWidth="1"/>
    <col min="4612" max="4612" width="7.88671875" style="18" customWidth="1"/>
    <col min="4613" max="4613" width="14.44140625" style="18" customWidth="1"/>
    <col min="4614" max="4614" width="12.109375" style="18" customWidth="1"/>
    <col min="4615" max="4615" width="13" style="18" customWidth="1"/>
    <col min="4616" max="4616" width="11.6640625" style="18" customWidth="1"/>
    <col min="4617" max="4617" width="11.109375" style="18" customWidth="1"/>
    <col min="4618" max="4618" width="14" style="18" customWidth="1"/>
    <col min="4619" max="4619" width="8.44140625" style="18" customWidth="1"/>
    <col min="4620" max="4620" width="7.33203125" style="18" bestFit="1" customWidth="1"/>
    <col min="4621" max="4621" width="5.5546875" style="18" customWidth="1"/>
    <col min="4622" max="4622" width="19.109375" style="18" bestFit="1" customWidth="1"/>
    <col min="4623" max="4864" width="11.5546875" style="18"/>
    <col min="4865" max="4865" width="3.44140625" style="18" customWidth="1"/>
    <col min="4866" max="4866" width="5.44140625" style="18" bestFit="1" customWidth="1"/>
    <col min="4867" max="4867" width="43.44140625" style="18" customWidth="1"/>
    <col min="4868" max="4868" width="7.88671875" style="18" customWidth="1"/>
    <col min="4869" max="4869" width="14.44140625" style="18" customWidth="1"/>
    <col min="4870" max="4870" width="12.109375" style="18" customWidth="1"/>
    <col min="4871" max="4871" width="13" style="18" customWidth="1"/>
    <col min="4872" max="4872" width="11.6640625" style="18" customWidth="1"/>
    <col min="4873" max="4873" width="11.109375" style="18" customWidth="1"/>
    <col min="4874" max="4874" width="14" style="18" customWidth="1"/>
    <col min="4875" max="4875" width="8.44140625" style="18" customWidth="1"/>
    <col min="4876" max="4876" width="7.33203125" style="18" bestFit="1" customWidth="1"/>
    <col min="4877" max="4877" width="5.5546875" style="18" customWidth="1"/>
    <col min="4878" max="4878" width="19.109375" style="18" bestFit="1" customWidth="1"/>
    <col min="4879" max="5120" width="11.5546875" style="18"/>
    <col min="5121" max="5121" width="3.44140625" style="18" customWidth="1"/>
    <col min="5122" max="5122" width="5.44140625" style="18" bestFit="1" customWidth="1"/>
    <col min="5123" max="5123" width="43.44140625" style="18" customWidth="1"/>
    <col min="5124" max="5124" width="7.88671875" style="18" customWidth="1"/>
    <col min="5125" max="5125" width="14.44140625" style="18" customWidth="1"/>
    <col min="5126" max="5126" width="12.109375" style="18" customWidth="1"/>
    <col min="5127" max="5127" width="13" style="18" customWidth="1"/>
    <col min="5128" max="5128" width="11.6640625" style="18" customWidth="1"/>
    <col min="5129" max="5129" width="11.109375" style="18" customWidth="1"/>
    <col min="5130" max="5130" width="14" style="18" customWidth="1"/>
    <col min="5131" max="5131" width="8.44140625" style="18" customWidth="1"/>
    <col min="5132" max="5132" width="7.33203125" style="18" bestFit="1" customWidth="1"/>
    <col min="5133" max="5133" width="5.5546875" style="18" customWidth="1"/>
    <col min="5134" max="5134" width="19.109375" style="18" bestFit="1" customWidth="1"/>
    <col min="5135" max="5376" width="11.5546875" style="18"/>
    <col min="5377" max="5377" width="3.44140625" style="18" customWidth="1"/>
    <col min="5378" max="5378" width="5.44140625" style="18" bestFit="1" customWidth="1"/>
    <col min="5379" max="5379" width="43.44140625" style="18" customWidth="1"/>
    <col min="5380" max="5380" width="7.88671875" style="18" customWidth="1"/>
    <col min="5381" max="5381" width="14.44140625" style="18" customWidth="1"/>
    <col min="5382" max="5382" width="12.109375" style="18" customWidth="1"/>
    <col min="5383" max="5383" width="13" style="18" customWidth="1"/>
    <col min="5384" max="5384" width="11.6640625" style="18" customWidth="1"/>
    <col min="5385" max="5385" width="11.109375" style="18" customWidth="1"/>
    <col min="5386" max="5386" width="14" style="18" customWidth="1"/>
    <col min="5387" max="5387" width="8.44140625" style="18" customWidth="1"/>
    <col min="5388" max="5388" width="7.33203125" style="18" bestFit="1" customWidth="1"/>
    <col min="5389" max="5389" width="5.5546875" style="18" customWidth="1"/>
    <col min="5390" max="5390" width="19.109375" style="18" bestFit="1" customWidth="1"/>
    <col min="5391" max="5632" width="11.5546875" style="18"/>
    <col min="5633" max="5633" width="3.44140625" style="18" customWidth="1"/>
    <col min="5634" max="5634" width="5.44140625" style="18" bestFit="1" customWidth="1"/>
    <col min="5635" max="5635" width="43.44140625" style="18" customWidth="1"/>
    <col min="5636" max="5636" width="7.88671875" style="18" customWidth="1"/>
    <col min="5637" max="5637" width="14.44140625" style="18" customWidth="1"/>
    <col min="5638" max="5638" width="12.109375" style="18" customWidth="1"/>
    <col min="5639" max="5639" width="13" style="18" customWidth="1"/>
    <col min="5640" max="5640" width="11.6640625" style="18" customWidth="1"/>
    <col min="5641" max="5641" width="11.109375" style="18" customWidth="1"/>
    <col min="5642" max="5642" width="14" style="18" customWidth="1"/>
    <col min="5643" max="5643" width="8.44140625" style="18" customWidth="1"/>
    <col min="5644" max="5644" width="7.33203125" style="18" bestFit="1" customWidth="1"/>
    <col min="5645" max="5645" width="5.5546875" style="18" customWidth="1"/>
    <col min="5646" max="5646" width="19.109375" style="18" bestFit="1" customWidth="1"/>
    <col min="5647" max="5888" width="11.5546875" style="18"/>
    <col min="5889" max="5889" width="3.44140625" style="18" customWidth="1"/>
    <col min="5890" max="5890" width="5.44140625" style="18" bestFit="1" customWidth="1"/>
    <col min="5891" max="5891" width="43.44140625" style="18" customWidth="1"/>
    <col min="5892" max="5892" width="7.88671875" style="18" customWidth="1"/>
    <col min="5893" max="5893" width="14.44140625" style="18" customWidth="1"/>
    <col min="5894" max="5894" width="12.109375" style="18" customWidth="1"/>
    <col min="5895" max="5895" width="13" style="18" customWidth="1"/>
    <col min="5896" max="5896" width="11.6640625" style="18" customWidth="1"/>
    <col min="5897" max="5897" width="11.109375" style="18" customWidth="1"/>
    <col min="5898" max="5898" width="14" style="18" customWidth="1"/>
    <col min="5899" max="5899" width="8.44140625" style="18" customWidth="1"/>
    <col min="5900" max="5900" width="7.33203125" style="18" bestFit="1" customWidth="1"/>
    <col min="5901" max="5901" width="5.5546875" style="18" customWidth="1"/>
    <col min="5902" max="5902" width="19.109375" style="18" bestFit="1" customWidth="1"/>
    <col min="5903" max="6144" width="11.5546875" style="18"/>
    <col min="6145" max="6145" width="3.44140625" style="18" customWidth="1"/>
    <col min="6146" max="6146" width="5.44140625" style="18" bestFit="1" customWidth="1"/>
    <col min="6147" max="6147" width="43.44140625" style="18" customWidth="1"/>
    <col min="6148" max="6148" width="7.88671875" style="18" customWidth="1"/>
    <col min="6149" max="6149" width="14.44140625" style="18" customWidth="1"/>
    <col min="6150" max="6150" width="12.109375" style="18" customWidth="1"/>
    <col min="6151" max="6151" width="13" style="18" customWidth="1"/>
    <col min="6152" max="6152" width="11.6640625" style="18" customWidth="1"/>
    <col min="6153" max="6153" width="11.109375" style="18" customWidth="1"/>
    <col min="6154" max="6154" width="14" style="18" customWidth="1"/>
    <col min="6155" max="6155" width="8.44140625" style="18" customWidth="1"/>
    <col min="6156" max="6156" width="7.33203125" style="18" bestFit="1" customWidth="1"/>
    <col min="6157" max="6157" width="5.5546875" style="18" customWidth="1"/>
    <col min="6158" max="6158" width="19.109375" style="18" bestFit="1" customWidth="1"/>
    <col min="6159" max="6400" width="11.5546875" style="18"/>
    <col min="6401" max="6401" width="3.44140625" style="18" customWidth="1"/>
    <col min="6402" max="6402" width="5.44140625" style="18" bestFit="1" customWidth="1"/>
    <col min="6403" max="6403" width="43.44140625" style="18" customWidth="1"/>
    <col min="6404" max="6404" width="7.88671875" style="18" customWidth="1"/>
    <col min="6405" max="6405" width="14.44140625" style="18" customWidth="1"/>
    <col min="6406" max="6406" width="12.109375" style="18" customWidth="1"/>
    <col min="6407" max="6407" width="13" style="18" customWidth="1"/>
    <col min="6408" max="6408" width="11.6640625" style="18" customWidth="1"/>
    <col min="6409" max="6409" width="11.109375" style="18" customWidth="1"/>
    <col min="6410" max="6410" width="14" style="18" customWidth="1"/>
    <col min="6411" max="6411" width="8.44140625" style="18" customWidth="1"/>
    <col min="6412" max="6412" width="7.33203125" style="18" bestFit="1" customWidth="1"/>
    <col min="6413" max="6413" width="5.5546875" style="18" customWidth="1"/>
    <col min="6414" max="6414" width="19.109375" style="18" bestFit="1" customWidth="1"/>
    <col min="6415" max="6656" width="11.5546875" style="18"/>
    <col min="6657" max="6657" width="3.44140625" style="18" customWidth="1"/>
    <col min="6658" max="6658" width="5.44140625" style="18" bestFit="1" customWidth="1"/>
    <col min="6659" max="6659" width="43.44140625" style="18" customWidth="1"/>
    <col min="6660" max="6660" width="7.88671875" style="18" customWidth="1"/>
    <col min="6661" max="6661" width="14.44140625" style="18" customWidth="1"/>
    <col min="6662" max="6662" width="12.109375" style="18" customWidth="1"/>
    <col min="6663" max="6663" width="13" style="18" customWidth="1"/>
    <col min="6664" max="6664" width="11.6640625" style="18" customWidth="1"/>
    <col min="6665" max="6665" width="11.109375" style="18" customWidth="1"/>
    <col min="6666" max="6666" width="14" style="18" customWidth="1"/>
    <col min="6667" max="6667" width="8.44140625" style="18" customWidth="1"/>
    <col min="6668" max="6668" width="7.33203125" style="18" bestFit="1" customWidth="1"/>
    <col min="6669" max="6669" width="5.5546875" style="18" customWidth="1"/>
    <col min="6670" max="6670" width="19.109375" style="18" bestFit="1" customWidth="1"/>
    <col min="6671" max="6912" width="11.5546875" style="18"/>
    <col min="6913" max="6913" width="3.44140625" style="18" customWidth="1"/>
    <col min="6914" max="6914" width="5.44140625" style="18" bestFit="1" customWidth="1"/>
    <col min="6915" max="6915" width="43.44140625" style="18" customWidth="1"/>
    <col min="6916" max="6916" width="7.88671875" style="18" customWidth="1"/>
    <col min="6917" max="6917" width="14.44140625" style="18" customWidth="1"/>
    <col min="6918" max="6918" width="12.109375" style="18" customWidth="1"/>
    <col min="6919" max="6919" width="13" style="18" customWidth="1"/>
    <col min="6920" max="6920" width="11.6640625" style="18" customWidth="1"/>
    <col min="6921" max="6921" width="11.109375" style="18" customWidth="1"/>
    <col min="6922" max="6922" width="14" style="18" customWidth="1"/>
    <col min="6923" max="6923" width="8.44140625" style="18" customWidth="1"/>
    <col min="6924" max="6924" width="7.33203125" style="18" bestFit="1" customWidth="1"/>
    <col min="6925" max="6925" width="5.5546875" style="18" customWidth="1"/>
    <col min="6926" max="6926" width="19.109375" style="18" bestFit="1" customWidth="1"/>
    <col min="6927" max="7168" width="11.5546875" style="18"/>
    <col min="7169" max="7169" width="3.44140625" style="18" customWidth="1"/>
    <col min="7170" max="7170" width="5.44140625" style="18" bestFit="1" customWidth="1"/>
    <col min="7171" max="7171" width="43.44140625" style="18" customWidth="1"/>
    <col min="7172" max="7172" width="7.88671875" style="18" customWidth="1"/>
    <col min="7173" max="7173" width="14.44140625" style="18" customWidth="1"/>
    <col min="7174" max="7174" width="12.109375" style="18" customWidth="1"/>
    <col min="7175" max="7175" width="13" style="18" customWidth="1"/>
    <col min="7176" max="7176" width="11.6640625" style="18" customWidth="1"/>
    <col min="7177" max="7177" width="11.109375" style="18" customWidth="1"/>
    <col min="7178" max="7178" width="14" style="18" customWidth="1"/>
    <col min="7179" max="7179" width="8.44140625" style="18" customWidth="1"/>
    <col min="7180" max="7180" width="7.33203125" style="18" bestFit="1" customWidth="1"/>
    <col min="7181" max="7181" width="5.5546875" style="18" customWidth="1"/>
    <col min="7182" max="7182" width="19.109375" style="18" bestFit="1" customWidth="1"/>
    <col min="7183" max="7424" width="11.5546875" style="18"/>
    <col min="7425" max="7425" width="3.44140625" style="18" customWidth="1"/>
    <col min="7426" max="7426" width="5.44140625" style="18" bestFit="1" customWidth="1"/>
    <col min="7427" max="7427" width="43.44140625" style="18" customWidth="1"/>
    <col min="7428" max="7428" width="7.88671875" style="18" customWidth="1"/>
    <col min="7429" max="7429" width="14.44140625" style="18" customWidth="1"/>
    <col min="7430" max="7430" width="12.109375" style="18" customWidth="1"/>
    <col min="7431" max="7431" width="13" style="18" customWidth="1"/>
    <col min="7432" max="7432" width="11.6640625" style="18" customWidth="1"/>
    <col min="7433" max="7433" width="11.109375" style="18" customWidth="1"/>
    <col min="7434" max="7434" width="14" style="18" customWidth="1"/>
    <col min="7435" max="7435" width="8.44140625" style="18" customWidth="1"/>
    <col min="7436" max="7436" width="7.33203125" style="18" bestFit="1" customWidth="1"/>
    <col min="7437" max="7437" width="5.5546875" style="18" customWidth="1"/>
    <col min="7438" max="7438" width="19.109375" style="18" bestFit="1" customWidth="1"/>
    <col min="7439" max="7680" width="11.5546875" style="18"/>
    <col min="7681" max="7681" width="3.44140625" style="18" customWidth="1"/>
    <col min="7682" max="7682" width="5.44140625" style="18" bestFit="1" customWidth="1"/>
    <col min="7683" max="7683" width="43.44140625" style="18" customWidth="1"/>
    <col min="7684" max="7684" width="7.88671875" style="18" customWidth="1"/>
    <col min="7685" max="7685" width="14.44140625" style="18" customWidth="1"/>
    <col min="7686" max="7686" width="12.109375" style="18" customWidth="1"/>
    <col min="7687" max="7687" width="13" style="18" customWidth="1"/>
    <col min="7688" max="7688" width="11.6640625" style="18" customWidth="1"/>
    <col min="7689" max="7689" width="11.109375" style="18" customWidth="1"/>
    <col min="7690" max="7690" width="14" style="18" customWidth="1"/>
    <col min="7691" max="7691" width="8.44140625" style="18" customWidth="1"/>
    <col min="7692" max="7692" width="7.33203125" style="18" bestFit="1" customWidth="1"/>
    <col min="7693" max="7693" width="5.5546875" style="18" customWidth="1"/>
    <col min="7694" max="7694" width="19.109375" style="18" bestFit="1" customWidth="1"/>
    <col min="7695" max="7936" width="11.5546875" style="18"/>
    <col min="7937" max="7937" width="3.44140625" style="18" customWidth="1"/>
    <col min="7938" max="7938" width="5.44140625" style="18" bestFit="1" customWidth="1"/>
    <col min="7939" max="7939" width="43.44140625" style="18" customWidth="1"/>
    <col min="7940" max="7940" width="7.88671875" style="18" customWidth="1"/>
    <col min="7941" max="7941" width="14.44140625" style="18" customWidth="1"/>
    <col min="7942" max="7942" width="12.109375" style="18" customWidth="1"/>
    <col min="7943" max="7943" width="13" style="18" customWidth="1"/>
    <col min="7944" max="7944" width="11.6640625" style="18" customWidth="1"/>
    <col min="7945" max="7945" width="11.109375" style="18" customWidth="1"/>
    <col min="7946" max="7946" width="14" style="18" customWidth="1"/>
    <col min="7947" max="7947" width="8.44140625" style="18" customWidth="1"/>
    <col min="7948" max="7948" width="7.33203125" style="18" bestFit="1" customWidth="1"/>
    <col min="7949" max="7949" width="5.5546875" style="18" customWidth="1"/>
    <col min="7950" max="7950" width="19.109375" style="18" bestFit="1" customWidth="1"/>
    <col min="7951" max="8192" width="11.5546875" style="18"/>
    <col min="8193" max="8193" width="3.44140625" style="18" customWidth="1"/>
    <col min="8194" max="8194" width="5.44140625" style="18" bestFit="1" customWidth="1"/>
    <col min="8195" max="8195" width="43.44140625" style="18" customWidth="1"/>
    <col min="8196" max="8196" width="7.88671875" style="18" customWidth="1"/>
    <col min="8197" max="8197" width="14.44140625" style="18" customWidth="1"/>
    <col min="8198" max="8198" width="12.109375" style="18" customWidth="1"/>
    <col min="8199" max="8199" width="13" style="18" customWidth="1"/>
    <col min="8200" max="8200" width="11.6640625" style="18" customWidth="1"/>
    <col min="8201" max="8201" width="11.109375" style="18" customWidth="1"/>
    <col min="8202" max="8202" width="14" style="18" customWidth="1"/>
    <col min="8203" max="8203" width="8.44140625" style="18" customWidth="1"/>
    <col min="8204" max="8204" width="7.33203125" style="18" bestFit="1" customWidth="1"/>
    <col min="8205" max="8205" width="5.5546875" style="18" customWidth="1"/>
    <col min="8206" max="8206" width="19.109375" style="18" bestFit="1" customWidth="1"/>
    <col min="8207" max="8448" width="11.5546875" style="18"/>
    <col min="8449" max="8449" width="3.44140625" style="18" customWidth="1"/>
    <col min="8450" max="8450" width="5.44140625" style="18" bestFit="1" customWidth="1"/>
    <col min="8451" max="8451" width="43.44140625" style="18" customWidth="1"/>
    <col min="8452" max="8452" width="7.88671875" style="18" customWidth="1"/>
    <col min="8453" max="8453" width="14.44140625" style="18" customWidth="1"/>
    <col min="8454" max="8454" width="12.109375" style="18" customWidth="1"/>
    <col min="8455" max="8455" width="13" style="18" customWidth="1"/>
    <col min="8456" max="8456" width="11.6640625" style="18" customWidth="1"/>
    <col min="8457" max="8457" width="11.109375" style="18" customWidth="1"/>
    <col min="8458" max="8458" width="14" style="18" customWidth="1"/>
    <col min="8459" max="8459" width="8.44140625" style="18" customWidth="1"/>
    <col min="8460" max="8460" width="7.33203125" style="18" bestFit="1" customWidth="1"/>
    <col min="8461" max="8461" width="5.5546875" style="18" customWidth="1"/>
    <col min="8462" max="8462" width="19.109375" style="18" bestFit="1" customWidth="1"/>
    <col min="8463" max="8704" width="11.5546875" style="18"/>
    <col min="8705" max="8705" width="3.44140625" style="18" customWidth="1"/>
    <col min="8706" max="8706" width="5.44140625" style="18" bestFit="1" customWidth="1"/>
    <col min="8707" max="8707" width="43.44140625" style="18" customWidth="1"/>
    <col min="8708" max="8708" width="7.88671875" style="18" customWidth="1"/>
    <col min="8709" max="8709" width="14.44140625" style="18" customWidth="1"/>
    <col min="8710" max="8710" width="12.109375" style="18" customWidth="1"/>
    <col min="8711" max="8711" width="13" style="18" customWidth="1"/>
    <col min="8712" max="8712" width="11.6640625" style="18" customWidth="1"/>
    <col min="8713" max="8713" width="11.109375" style="18" customWidth="1"/>
    <col min="8714" max="8714" width="14" style="18" customWidth="1"/>
    <col min="8715" max="8715" width="8.44140625" style="18" customWidth="1"/>
    <col min="8716" max="8716" width="7.33203125" style="18" bestFit="1" customWidth="1"/>
    <col min="8717" max="8717" width="5.5546875" style="18" customWidth="1"/>
    <col min="8718" max="8718" width="19.109375" style="18" bestFit="1" customWidth="1"/>
    <col min="8719" max="8960" width="11.5546875" style="18"/>
    <col min="8961" max="8961" width="3.44140625" style="18" customWidth="1"/>
    <col min="8962" max="8962" width="5.44140625" style="18" bestFit="1" customWidth="1"/>
    <col min="8963" max="8963" width="43.44140625" style="18" customWidth="1"/>
    <col min="8964" max="8964" width="7.88671875" style="18" customWidth="1"/>
    <col min="8965" max="8965" width="14.44140625" style="18" customWidth="1"/>
    <col min="8966" max="8966" width="12.109375" style="18" customWidth="1"/>
    <col min="8967" max="8967" width="13" style="18" customWidth="1"/>
    <col min="8968" max="8968" width="11.6640625" style="18" customWidth="1"/>
    <col min="8969" max="8969" width="11.109375" style="18" customWidth="1"/>
    <col min="8970" max="8970" width="14" style="18" customWidth="1"/>
    <col min="8971" max="8971" width="8.44140625" style="18" customWidth="1"/>
    <col min="8972" max="8972" width="7.33203125" style="18" bestFit="1" customWidth="1"/>
    <col min="8973" max="8973" width="5.5546875" style="18" customWidth="1"/>
    <col min="8974" max="8974" width="19.109375" style="18" bestFit="1" customWidth="1"/>
    <col min="8975" max="9216" width="11.5546875" style="18"/>
    <col min="9217" max="9217" width="3.44140625" style="18" customWidth="1"/>
    <col min="9218" max="9218" width="5.44140625" style="18" bestFit="1" customWidth="1"/>
    <col min="9219" max="9219" width="43.44140625" style="18" customWidth="1"/>
    <col min="9220" max="9220" width="7.88671875" style="18" customWidth="1"/>
    <col min="9221" max="9221" width="14.44140625" style="18" customWidth="1"/>
    <col min="9222" max="9222" width="12.109375" style="18" customWidth="1"/>
    <col min="9223" max="9223" width="13" style="18" customWidth="1"/>
    <col min="9224" max="9224" width="11.6640625" style="18" customWidth="1"/>
    <col min="9225" max="9225" width="11.109375" style="18" customWidth="1"/>
    <col min="9226" max="9226" width="14" style="18" customWidth="1"/>
    <col min="9227" max="9227" width="8.44140625" style="18" customWidth="1"/>
    <col min="9228" max="9228" width="7.33203125" style="18" bestFit="1" customWidth="1"/>
    <col min="9229" max="9229" width="5.5546875" style="18" customWidth="1"/>
    <col min="9230" max="9230" width="19.109375" style="18" bestFit="1" customWidth="1"/>
    <col min="9231" max="9472" width="11.5546875" style="18"/>
    <col min="9473" max="9473" width="3.44140625" style="18" customWidth="1"/>
    <col min="9474" max="9474" width="5.44140625" style="18" bestFit="1" customWidth="1"/>
    <col min="9475" max="9475" width="43.44140625" style="18" customWidth="1"/>
    <col min="9476" max="9476" width="7.88671875" style="18" customWidth="1"/>
    <col min="9477" max="9477" width="14.44140625" style="18" customWidth="1"/>
    <col min="9478" max="9478" width="12.109375" style="18" customWidth="1"/>
    <col min="9479" max="9479" width="13" style="18" customWidth="1"/>
    <col min="9480" max="9480" width="11.6640625" style="18" customWidth="1"/>
    <col min="9481" max="9481" width="11.109375" style="18" customWidth="1"/>
    <col min="9482" max="9482" width="14" style="18" customWidth="1"/>
    <col min="9483" max="9483" width="8.44140625" style="18" customWidth="1"/>
    <col min="9484" max="9484" width="7.33203125" style="18" bestFit="1" customWidth="1"/>
    <col min="9485" max="9485" width="5.5546875" style="18" customWidth="1"/>
    <col min="9486" max="9486" width="19.109375" style="18" bestFit="1" customWidth="1"/>
    <col min="9487" max="9728" width="11.5546875" style="18"/>
    <col min="9729" max="9729" width="3.44140625" style="18" customWidth="1"/>
    <col min="9730" max="9730" width="5.44140625" style="18" bestFit="1" customWidth="1"/>
    <col min="9731" max="9731" width="43.44140625" style="18" customWidth="1"/>
    <col min="9732" max="9732" width="7.88671875" style="18" customWidth="1"/>
    <col min="9733" max="9733" width="14.44140625" style="18" customWidth="1"/>
    <col min="9734" max="9734" width="12.109375" style="18" customWidth="1"/>
    <col min="9735" max="9735" width="13" style="18" customWidth="1"/>
    <col min="9736" max="9736" width="11.6640625" style="18" customWidth="1"/>
    <col min="9737" max="9737" width="11.109375" style="18" customWidth="1"/>
    <col min="9738" max="9738" width="14" style="18" customWidth="1"/>
    <col min="9739" max="9739" width="8.44140625" style="18" customWidth="1"/>
    <col min="9740" max="9740" width="7.33203125" style="18" bestFit="1" customWidth="1"/>
    <col min="9741" max="9741" width="5.5546875" style="18" customWidth="1"/>
    <col min="9742" max="9742" width="19.109375" style="18" bestFit="1" customWidth="1"/>
    <col min="9743" max="9984" width="11.5546875" style="18"/>
    <col min="9985" max="9985" width="3.44140625" style="18" customWidth="1"/>
    <col min="9986" max="9986" width="5.44140625" style="18" bestFit="1" customWidth="1"/>
    <col min="9987" max="9987" width="43.44140625" style="18" customWidth="1"/>
    <col min="9988" max="9988" width="7.88671875" style="18" customWidth="1"/>
    <col min="9989" max="9989" width="14.44140625" style="18" customWidth="1"/>
    <col min="9990" max="9990" width="12.109375" style="18" customWidth="1"/>
    <col min="9991" max="9991" width="13" style="18" customWidth="1"/>
    <col min="9992" max="9992" width="11.6640625" style="18" customWidth="1"/>
    <col min="9993" max="9993" width="11.109375" style="18" customWidth="1"/>
    <col min="9994" max="9994" width="14" style="18" customWidth="1"/>
    <col min="9995" max="9995" width="8.44140625" style="18" customWidth="1"/>
    <col min="9996" max="9996" width="7.33203125" style="18" bestFit="1" customWidth="1"/>
    <col min="9997" max="9997" width="5.5546875" style="18" customWidth="1"/>
    <col min="9998" max="9998" width="19.109375" style="18" bestFit="1" customWidth="1"/>
    <col min="9999" max="10240" width="11.5546875" style="18"/>
    <col min="10241" max="10241" width="3.44140625" style="18" customWidth="1"/>
    <col min="10242" max="10242" width="5.44140625" style="18" bestFit="1" customWidth="1"/>
    <col min="10243" max="10243" width="43.44140625" style="18" customWidth="1"/>
    <col min="10244" max="10244" width="7.88671875" style="18" customWidth="1"/>
    <col min="10245" max="10245" width="14.44140625" style="18" customWidth="1"/>
    <col min="10246" max="10246" width="12.109375" style="18" customWidth="1"/>
    <col min="10247" max="10247" width="13" style="18" customWidth="1"/>
    <col min="10248" max="10248" width="11.6640625" style="18" customWidth="1"/>
    <col min="10249" max="10249" width="11.109375" style="18" customWidth="1"/>
    <col min="10250" max="10250" width="14" style="18" customWidth="1"/>
    <col min="10251" max="10251" width="8.44140625" style="18" customWidth="1"/>
    <col min="10252" max="10252" width="7.33203125" style="18" bestFit="1" customWidth="1"/>
    <col min="10253" max="10253" width="5.5546875" style="18" customWidth="1"/>
    <col min="10254" max="10254" width="19.109375" style="18" bestFit="1" customWidth="1"/>
    <col min="10255" max="10496" width="11.5546875" style="18"/>
    <col min="10497" max="10497" width="3.44140625" style="18" customWidth="1"/>
    <col min="10498" max="10498" width="5.44140625" style="18" bestFit="1" customWidth="1"/>
    <col min="10499" max="10499" width="43.44140625" style="18" customWidth="1"/>
    <col min="10500" max="10500" width="7.88671875" style="18" customWidth="1"/>
    <col min="10501" max="10501" width="14.44140625" style="18" customWidth="1"/>
    <col min="10502" max="10502" width="12.109375" style="18" customWidth="1"/>
    <col min="10503" max="10503" width="13" style="18" customWidth="1"/>
    <col min="10504" max="10504" width="11.6640625" style="18" customWidth="1"/>
    <col min="10505" max="10505" width="11.109375" style="18" customWidth="1"/>
    <col min="10506" max="10506" width="14" style="18" customWidth="1"/>
    <col min="10507" max="10507" width="8.44140625" style="18" customWidth="1"/>
    <col min="10508" max="10508" width="7.33203125" style="18" bestFit="1" customWidth="1"/>
    <col min="10509" max="10509" width="5.5546875" style="18" customWidth="1"/>
    <col min="10510" max="10510" width="19.109375" style="18" bestFit="1" customWidth="1"/>
    <col min="10511" max="10752" width="11.5546875" style="18"/>
    <col min="10753" max="10753" width="3.44140625" style="18" customWidth="1"/>
    <col min="10754" max="10754" width="5.44140625" style="18" bestFit="1" customWidth="1"/>
    <col min="10755" max="10755" width="43.44140625" style="18" customWidth="1"/>
    <col min="10756" max="10756" width="7.88671875" style="18" customWidth="1"/>
    <col min="10757" max="10757" width="14.44140625" style="18" customWidth="1"/>
    <col min="10758" max="10758" width="12.109375" style="18" customWidth="1"/>
    <col min="10759" max="10759" width="13" style="18" customWidth="1"/>
    <col min="10760" max="10760" width="11.6640625" style="18" customWidth="1"/>
    <col min="10761" max="10761" width="11.109375" style="18" customWidth="1"/>
    <col min="10762" max="10762" width="14" style="18" customWidth="1"/>
    <col min="10763" max="10763" width="8.44140625" style="18" customWidth="1"/>
    <col min="10764" max="10764" width="7.33203125" style="18" bestFit="1" customWidth="1"/>
    <col min="10765" max="10765" width="5.5546875" style="18" customWidth="1"/>
    <col min="10766" max="10766" width="19.109375" style="18" bestFit="1" customWidth="1"/>
    <col min="10767" max="11008" width="11.5546875" style="18"/>
    <col min="11009" max="11009" width="3.44140625" style="18" customWidth="1"/>
    <col min="11010" max="11010" width="5.44140625" style="18" bestFit="1" customWidth="1"/>
    <col min="11011" max="11011" width="43.44140625" style="18" customWidth="1"/>
    <col min="11012" max="11012" width="7.88671875" style="18" customWidth="1"/>
    <col min="11013" max="11013" width="14.44140625" style="18" customWidth="1"/>
    <col min="11014" max="11014" width="12.109375" style="18" customWidth="1"/>
    <col min="11015" max="11015" width="13" style="18" customWidth="1"/>
    <col min="11016" max="11016" width="11.6640625" style="18" customWidth="1"/>
    <col min="11017" max="11017" width="11.109375" style="18" customWidth="1"/>
    <col min="11018" max="11018" width="14" style="18" customWidth="1"/>
    <col min="11019" max="11019" width="8.44140625" style="18" customWidth="1"/>
    <col min="11020" max="11020" width="7.33203125" style="18" bestFit="1" customWidth="1"/>
    <col min="11021" max="11021" width="5.5546875" style="18" customWidth="1"/>
    <col min="11022" max="11022" width="19.109375" style="18" bestFit="1" customWidth="1"/>
    <col min="11023" max="11264" width="11.5546875" style="18"/>
    <col min="11265" max="11265" width="3.44140625" style="18" customWidth="1"/>
    <col min="11266" max="11266" width="5.44140625" style="18" bestFit="1" customWidth="1"/>
    <col min="11267" max="11267" width="43.44140625" style="18" customWidth="1"/>
    <col min="11268" max="11268" width="7.88671875" style="18" customWidth="1"/>
    <col min="11269" max="11269" width="14.44140625" style="18" customWidth="1"/>
    <col min="11270" max="11270" width="12.109375" style="18" customWidth="1"/>
    <col min="11271" max="11271" width="13" style="18" customWidth="1"/>
    <col min="11272" max="11272" width="11.6640625" style="18" customWidth="1"/>
    <col min="11273" max="11273" width="11.109375" style="18" customWidth="1"/>
    <col min="11274" max="11274" width="14" style="18" customWidth="1"/>
    <col min="11275" max="11275" width="8.44140625" style="18" customWidth="1"/>
    <col min="11276" max="11276" width="7.33203125" style="18" bestFit="1" customWidth="1"/>
    <col min="11277" max="11277" width="5.5546875" style="18" customWidth="1"/>
    <col min="11278" max="11278" width="19.109375" style="18" bestFit="1" customWidth="1"/>
    <col min="11279" max="11520" width="11.5546875" style="18"/>
    <col min="11521" max="11521" width="3.44140625" style="18" customWidth="1"/>
    <col min="11522" max="11522" width="5.44140625" style="18" bestFit="1" customWidth="1"/>
    <col min="11523" max="11523" width="43.44140625" style="18" customWidth="1"/>
    <col min="11524" max="11524" width="7.88671875" style="18" customWidth="1"/>
    <col min="11525" max="11525" width="14.44140625" style="18" customWidth="1"/>
    <col min="11526" max="11526" width="12.109375" style="18" customWidth="1"/>
    <col min="11527" max="11527" width="13" style="18" customWidth="1"/>
    <col min="11528" max="11528" width="11.6640625" style="18" customWidth="1"/>
    <col min="11529" max="11529" width="11.109375" style="18" customWidth="1"/>
    <col min="11530" max="11530" width="14" style="18" customWidth="1"/>
    <col min="11531" max="11531" width="8.44140625" style="18" customWidth="1"/>
    <col min="11532" max="11532" width="7.33203125" style="18" bestFit="1" customWidth="1"/>
    <col min="11533" max="11533" width="5.5546875" style="18" customWidth="1"/>
    <col min="11534" max="11534" width="19.109375" style="18" bestFit="1" customWidth="1"/>
    <col min="11535" max="11776" width="11.5546875" style="18"/>
    <col min="11777" max="11777" width="3.44140625" style="18" customWidth="1"/>
    <col min="11778" max="11778" width="5.44140625" style="18" bestFit="1" customWidth="1"/>
    <col min="11779" max="11779" width="43.44140625" style="18" customWidth="1"/>
    <col min="11780" max="11780" width="7.88671875" style="18" customWidth="1"/>
    <col min="11781" max="11781" width="14.44140625" style="18" customWidth="1"/>
    <col min="11782" max="11782" width="12.109375" style="18" customWidth="1"/>
    <col min="11783" max="11783" width="13" style="18" customWidth="1"/>
    <col min="11784" max="11784" width="11.6640625" style="18" customWidth="1"/>
    <col min="11785" max="11785" width="11.109375" style="18" customWidth="1"/>
    <col min="11786" max="11786" width="14" style="18" customWidth="1"/>
    <col min="11787" max="11787" width="8.44140625" style="18" customWidth="1"/>
    <col min="11788" max="11788" width="7.33203125" style="18" bestFit="1" customWidth="1"/>
    <col min="11789" max="11789" width="5.5546875" style="18" customWidth="1"/>
    <col min="11790" max="11790" width="19.109375" style="18" bestFit="1" customWidth="1"/>
    <col min="11791" max="12032" width="11.5546875" style="18"/>
    <col min="12033" max="12033" width="3.44140625" style="18" customWidth="1"/>
    <col min="12034" max="12034" width="5.44140625" style="18" bestFit="1" customWidth="1"/>
    <col min="12035" max="12035" width="43.44140625" style="18" customWidth="1"/>
    <col min="12036" max="12036" width="7.88671875" style="18" customWidth="1"/>
    <col min="12037" max="12037" width="14.44140625" style="18" customWidth="1"/>
    <col min="12038" max="12038" width="12.109375" style="18" customWidth="1"/>
    <col min="12039" max="12039" width="13" style="18" customWidth="1"/>
    <col min="12040" max="12040" width="11.6640625" style="18" customWidth="1"/>
    <col min="12041" max="12041" width="11.109375" style="18" customWidth="1"/>
    <col min="12042" max="12042" width="14" style="18" customWidth="1"/>
    <col min="12043" max="12043" width="8.44140625" style="18" customWidth="1"/>
    <col min="12044" max="12044" width="7.33203125" style="18" bestFit="1" customWidth="1"/>
    <col min="12045" max="12045" width="5.5546875" style="18" customWidth="1"/>
    <col min="12046" max="12046" width="19.109375" style="18" bestFit="1" customWidth="1"/>
    <col min="12047" max="12288" width="11.5546875" style="18"/>
    <col min="12289" max="12289" width="3.44140625" style="18" customWidth="1"/>
    <col min="12290" max="12290" width="5.44140625" style="18" bestFit="1" customWidth="1"/>
    <col min="12291" max="12291" width="43.44140625" style="18" customWidth="1"/>
    <col min="12292" max="12292" width="7.88671875" style="18" customWidth="1"/>
    <col min="12293" max="12293" width="14.44140625" style="18" customWidth="1"/>
    <col min="12294" max="12294" width="12.109375" style="18" customWidth="1"/>
    <col min="12295" max="12295" width="13" style="18" customWidth="1"/>
    <col min="12296" max="12296" width="11.6640625" style="18" customWidth="1"/>
    <col min="12297" max="12297" width="11.109375" style="18" customWidth="1"/>
    <col min="12298" max="12298" width="14" style="18" customWidth="1"/>
    <col min="12299" max="12299" width="8.44140625" style="18" customWidth="1"/>
    <col min="12300" max="12300" width="7.33203125" style="18" bestFit="1" customWidth="1"/>
    <col min="12301" max="12301" width="5.5546875" style="18" customWidth="1"/>
    <col min="12302" max="12302" width="19.109375" style="18" bestFit="1" customWidth="1"/>
    <col min="12303" max="12544" width="11.5546875" style="18"/>
    <col min="12545" max="12545" width="3.44140625" style="18" customWidth="1"/>
    <col min="12546" max="12546" width="5.44140625" style="18" bestFit="1" customWidth="1"/>
    <col min="12547" max="12547" width="43.44140625" style="18" customWidth="1"/>
    <col min="12548" max="12548" width="7.88671875" style="18" customWidth="1"/>
    <col min="12549" max="12549" width="14.44140625" style="18" customWidth="1"/>
    <col min="12550" max="12550" width="12.109375" style="18" customWidth="1"/>
    <col min="12551" max="12551" width="13" style="18" customWidth="1"/>
    <col min="12552" max="12552" width="11.6640625" style="18" customWidth="1"/>
    <col min="12553" max="12553" width="11.109375" style="18" customWidth="1"/>
    <col min="12554" max="12554" width="14" style="18" customWidth="1"/>
    <col min="12555" max="12555" width="8.44140625" style="18" customWidth="1"/>
    <col min="12556" max="12556" width="7.33203125" style="18" bestFit="1" customWidth="1"/>
    <col min="12557" max="12557" width="5.5546875" style="18" customWidth="1"/>
    <col min="12558" max="12558" width="19.109375" style="18" bestFit="1" customWidth="1"/>
    <col min="12559" max="12800" width="11.5546875" style="18"/>
    <col min="12801" max="12801" width="3.44140625" style="18" customWidth="1"/>
    <col min="12802" max="12802" width="5.44140625" style="18" bestFit="1" customWidth="1"/>
    <col min="12803" max="12803" width="43.44140625" style="18" customWidth="1"/>
    <col min="12804" max="12804" width="7.88671875" style="18" customWidth="1"/>
    <col min="12805" max="12805" width="14.44140625" style="18" customWidth="1"/>
    <col min="12806" max="12806" width="12.109375" style="18" customWidth="1"/>
    <col min="12807" max="12807" width="13" style="18" customWidth="1"/>
    <col min="12808" max="12808" width="11.6640625" style="18" customWidth="1"/>
    <col min="12809" max="12809" width="11.109375" style="18" customWidth="1"/>
    <col min="12810" max="12810" width="14" style="18" customWidth="1"/>
    <col min="12811" max="12811" width="8.44140625" style="18" customWidth="1"/>
    <col min="12812" max="12812" width="7.33203125" style="18" bestFit="1" customWidth="1"/>
    <col min="12813" max="12813" width="5.5546875" style="18" customWidth="1"/>
    <col min="12814" max="12814" width="19.109375" style="18" bestFit="1" customWidth="1"/>
    <col min="12815" max="13056" width="11.5546875" style="18"/>
    <col min="13057" max="13057" width="3.44140625" style="18" customWidth="1"/>
    <col min="13058" max="13058" width="5.44140625" style="18" bestFit="1" customWidth="1"/>
    <col min="13059" max="13059" width="43.44140625" style="18" customWidth="1"/>
    <col min="13060" max="13060" width="7.88671875" style="18" customWidth="1"/>
    <col min="13061" max="13061" width="14.44140625" style="18" customWidth="1"/>
    <col min="13062" max="13062" width="12.109375" style="18" customWidth="1"/>
    <col min="13063" max="13063" width="13" style="18" customWidth="1"/>
    <col min="13064" max="13064" width="11.6640625" style="18" customWidth="1"/>
    <col min="13065" max="13065" width="11.109375" style="18" customWidth="1"/>
    <col min="13066" max="13066" width="14" style="18" customWidth="1"/>
    <col min="13067" max="13067" width="8.44140625" style="18" customWidth="1"/>
    <col min="13068" max="13068" width="7.33203125" style="18" bestFit="1" customWidth="1"/>
    <col min="13069" max="13069" width="5.5546875" style="18" customWidth="1"/>
    <col min="13070" max="13070" width="19.109375" style="18" bestFit="1" customWidth="1"/>
    <col min="13071" max="13312" width="11.5546875" style="18"/>
    <col min="13313" max="13313" width="3.44140625" style="18" customWidth="1"/>
    <col min="13314" max="13314" width="5.44140625" style="18" bestFit="1" customWidth="1"/>
    <col min="13315" max="13315" width="43.44140625" style="18" customWidth="1"/>
    <col min="13316" max="13316" width="7.88671875" style="18" customWidth="1"/>
    <col min="13317" max="13317" width="14.44140625" style="18" customWidth="1"/>
    <col min="13318" max="13318" width="12.109375" style="18" customWidth="1"/>
    <col min="13319" max="13319" width="13" style="18" customWidth="1"/>
    <col min="13320" max="13320" width="11.6640625" style="18" customWidth="1"/>
    <col min="13321" max="13321" width="11.109375" style="18" customWidth="1"/>
    <col min="13322" max="13322" width="14" style="18" customWidth="1"/>
    <col min="13323" max="13323" width="8.44140625" style="18" customWidth="1"/>
    <col min="13324" max="13324" width="7.33203125" style="18" bestFit="1" customWidth="1"/>
    <col min="13325" max="13325" width="5.5546875" style="18" customWidth="1"/>
    <col min="13326" max="13326" width="19.109375" style="18" bestFit="1" customWidth="1"/>
    <col min="13327" max="13568" width="11.5546875" style="18"/>
    <col min="13569" max="13569" width="3.44140625" style="18" customWidth="1"/>
    <col min="13570" max="13570" width="5.44140625" style="18" bestFit="1" customWidth="1"/>
    <col min="13571" max="13571" width="43.44140625" style="18" customWidth="1"/>
    <col min="13572" max="13572" width="7.88671875" style="18" customWidth="1"/>
    <col min="13573" max="13573" width="14.44140625" style="18" customWidth="1"/>
    <col min="13574" max="13574" width="12.109375" style="18" customWidth="1"/>
    <col min="13575" max="13575" width="13" style="18" customWidth="1"/>
    <col min="13576" max="13576" width="11.6640625" style="18" customWidth="1"/>
    <col min="13577" max="13577" width="11.109375" style="18" customWidth="1"/>
    <col min="13578" max="13578" width="14" style="18" customWidth="1"/>
    <col min="13579" max="13579" width="8.44140625" style="18" customWidth="1"/>
    <col min="13580" max="13580" width="7.33203125" style="18" bestFit="1" customWidth="1"/>
    <col min="13581" max="13581" width="5.5546875" style="18" customWidth="1"/>
    <col min="13582" max="13582" width="19.109375" style="18" bestFit="1" customWidth="1"/>
    <col min="13583" max="13824" width="11.5546875" style="18"/>
    <col min="13825" max="13825" width="3.44140625" style="18" customWidth="1"/>
    <col min="13826" max="13826" width="5.44140625" style="18" bestFit="1" customWidth="1"/>
    <col min="13827" max="13827" width="43.44140625" style="18" customWidth="1"/>
    <col min="13828" max="13828" width="7.88671875" style="18" customWidth="1"/>
    <col min="13829" max="13829" width="14.44140625" style="18" customWidth="1"/>
    <col min="13830" max="13830" width="12.109375" style="18" customWidth="1"/>
    <col min="13831" max="13831" width="13" style="18" customWidth="1"/>
    <col min="13832" max="13832" width="11.6640625" style="18" customWidth="1"/>
    <col min="13833" max="13833" width="11.109375" style="18" customWidth="1"/>
    <col min="13834" max="13834" width="14" style="18" customWidth="1"/>
    <col min="13835" max="13835" width="8.44140625" style="18" customWidth="1"/>
    <col min="13836" max="13836" width="7.33203125" style="18" bestFit="1" customWidth="1"/>
    <col min="13837" max="13837" width="5.5546875" style="18" customWidth="1"/>
    <col min="13838" max="13838" width="19.109375" style="18" bestFit="1" customWidth="1"/>
    <col min="13839" max="14080" width="11.5546875" style="18"/>
    <col min="14081" max="14081" width="3.44140625" style="18" customWidth="1"/>
    <col min="14082" max="14082" width="5.44140625" style="18" bestFit="1" customWidth="1"/>
    <col min="14083" max="14083" width="43.44140625" style="18" customWidth="1"/>
    <col min="14084" max="14084" width="7.88671875" style="18" customWidth="1"/>
    <col min="14085" max="14085" width="14.44140625" style="18" customWidth="1"/>
    <col min="14086" max="14086" width="12.109375" style="18" customWidth="1"/>
    <col min="14087" max="14087" width="13" style="18" customWidth="1"/>
    <col min="14088" max="14088" width="11.6640625" style="18" customWidth="1"/>
    <col min="14089" max="14089" width="11.109375" style="18" customWidth="1"/>
    <col min="14090" max="14090" width="14" style="18" customWidth="1"/>
    <col min="14091" max="14091" width="8.44140625" style="18" customWidth="1"/>
    <col min="14092" max="14092" width="7.33203125" style="18" bestFit="1" customWidth="1"/>
    <col min="14093" max="14093" width="5.5546875" style="18" customWidth="1"/>
    <col min="14094" max="14094" width="19.109375" style="18" bestFit="1" customWidth="1"/>
    <col min="14095" max="14336" width="11.5546875" style="18"/>
    <col min="14337" max="14337" width="3.44140625" style="18" customWidth="1"/>
    <col min="14338" max="14338" width="5.44140625" style="18" bestFit="1" customWidth="1"/>
    <col min="14339" max="14339" width="43.44140625" style="18" customWidth="1"/>
    <col min="14340" max="14340" width="7.88671875" style="18" customWidth="1"/>
    <col min="14341" max="14341" width="14.44140625" style="18" customWidth="1"/>
    <col min="14342" max="14342" width="12.109375" style="18" customWidth="1"/>
    <col min="14343" max="14343" width="13" style="18" customWidth="1"/>
    <col min="14344" max="14344" width="11.6640625" style="18" customWidth="1"/>
    <col min="14345" max="14345" width="11.109375" style="18" customWidth="1"/>
    <col min="14346" max="14346" width="14" style="18" customWidth="1"/>
    <col min="14347" max="14347" width="8.44140625" style="18" customWidth="1"/>
    <col min="14348" max="14348" width="7.33203125" style="18" bestFit="1" customWidth="1"/>
    <col min="14349" max="14349" width="5.5546875" style="18" customWidth="1"/>
    <col min="14350" max="14350" width="19.109375" style="18" bestFit="1" customWidth="1"/>
    <col min="14351" max="14592" width="11.5546875" style="18"/>
    <col min="14593" max="14593" width="3.44140625" style="18" customWidth="1"/>
    <col min="14594" max="14594" width="5.44140625" style="18" bestFit="1" customWidth="1"/>
    <col min="14595" max="14595" width="43.44140625" style="18" customWidth="1"/>
    <col min="14596" max="14596" width="7.88671875" style="18" customWidth="1"/>
    <col min="14597" max="14597" width="14.44140625" style="18" customWidth="1"/>
    <col min="14598" max="14598" width="12.109375" style="18" customWidth="1"/>
    <col min="14599" max="14599" width="13" style="18" customWidth="1"/>
    <col min="14600" max="14600" width="11.6640625" style="18" customWidth="1"/>
    <col min="14601" max="14601" width="11.109375" style="18" customWidth="1"/>
    <col min="14602" max="14602" width="14" style="18" customWidth="1"/>
    <col min="14603" max="14603" width="8.44140625" style="18" customWidth="1"/>
    <col min="14604" max="14604" width="7.33203125" style="18" bestFit="1" customWidth="1"/>
    <col min="14605" max="14605" width="5.5546875" style="18" customWidth="1"/>
    <col min="14606" max="14606" width="19.109375" style="18" bestFit="1" customWidth="1"/>
    <col min="14607" max="14848" width="11.5546875" style="18"/>
    <col min="14849" max="14849" width="3.44140625" style="18" customWidth="1"/>
    <col min="14850" max="14850" width="5.44140625" style="18" bestFit="1" customWidth="1"/>
    <col min="14851" max="14851" width="43.44140625" style="18" customWidth="1"/>
    <col min="14852" max="14852" width="7.88671875" style="18" customWidth="1"/>
    <col min="14853" max="14853" width="14.44140625" style="18" customWidth="1"/>
    <col min="14854" max="14854" width="12.109375" style="18" customWidth="1"/>
    <col min="14855" max="14855" width="13" style="18" customWidth="1"/>
    <col min="14856" max="14856" width="11.6640625" style="18" customWidth="1"/>
    <col min="14857" max="14857" width="11.109375" style="18" customWidth="1"/>
    <col min="14858" max="14858" width="14" style="18" customWidth="1"/>
    <col min="14859" max="14859" width="8.44140625" style="18" customWidth="1"/>
    <col min="14860" max="14860" width="7.33203125" style="18" bestFit="1" customWidth="1"/>
    <col min="14861" max="14861" width="5.5546875" style="18" customWidth="1"/>
    <col min="14862" max="14862" width="19.109375" style="18" bestFit="1" customWidth="1"/>
    <col min="14863" max="15104" width="11.5546875" style="18"/>
    <col min="15105" max="15105" width="3.44140625" style="18" customWidth="1"/>
    <col min="15106" max="15106" width="5.44140625" style="18" bestFit="1" customWidth="1"/>
    <col min="15107" max="15107" width="43.44140625" style="18" customWidth="1"/>
    <col min="15108" max="15108" width="7.88671875" style="18" customWidth="1"/>
    <col min="15109" max="15109" width="14.44140625" style="18" customWidth="1"/>
    <col min="15110" max="15110" width="12.109375" style="18" customWidth="1"/>
    <col min="15111" max="15111" width="13" style="18" customWidth="1"/>
    <col min="15112" max="15112" width="11.6640625" style="18" customWidth="1"/>
    <col min="15113" max="15113" width="11.109375" style="18" customWidth="1"/>
    <col min="15114" max="15114" width="14" style="18" customWidth="1"/>
    <col min="15115" max="15115" width="8.44140625" style="18" customWidth="1"/>
    <col min="15116" max="15116" width="7.33203125" style="18" bestFit="1" customWidth="1"/>
    <col min="15117" max="15117" width="5.5546875" style="18" customWidth="1"/>
    <col min="15118" max="15118" width="19.109375" style="18" bestFit="1" customWidth="1"/>
    <col min="15119" max="15360" width="11.5546875" style="18"/>
    <col min="15361" max="15361" width="3.44140625" style="18" customWidth="1"/>
    <col min="15362" max="15362" width="5.44140625" style="18" bestFit="1" customWidth="1"/>
    <col min="15363" max="15363" width="43.44140625" style="18" customWidth="1"/>
    <col min="15364" max="15364" width="7.88671875" style="18" customWidth="1"/>
    <col min="15365" max="15365" width="14.44140625" style="18" customWidth="1"/>
    <col min="15366" max="15366" width="12.109375" style="18" customWidth="1"/>
    <col min="15367" max="15367" width="13" style="18" customWidth="1"/>
    <col min="15368" max="15368" width="11.6640625" style="18" customWidth="1"/>
    <col min="15369" max="15369" width="11.109375" style="18" customWidth="1"/>
    <col min="15370" max="15370" width="14" style="18" customWidth="1"/>
    <col min="15371" max="15371" width="8.44140625" style="18" customWidth="1"/>
    <col min="15372" max="15372" width="7.33203125" style="18" bestFit="1" customWidth="1"/>
    <col min="15373" max="15373" width="5.5546875" style="18" customWidth="1"/>
    <col min="15374" max="15374" width="19.109375" style="18" bestFit="1" customWidth="1"/>
    <col min="15375" max="15616" width="11.5546875" style="18"/>
    <col min="15617" max="15617" width="3.44140625" style="18" customWidth="1"/>
    <col min="15618" max="15618" width="5.44140625" style="18" bestFit="1" customWidth="1"/>
    <col min="15619" max="15619" width="43.44140625" style="18" customWidth="1"/>
    <col min="15620" max="15620" width="7.88671875" style="18" customWidth="1"/>
    <col min="15621" max="15621" width="14.44140625" style="18" customWidth="1"/>
    <col min="15622" max="15622" width="12.109375" style="18" customWidth="1"/>
    <col min="15623" max="15623" width="13" style="18" customWidth="1"/>
    <col min="15624" max="15624" width="11.6640625" style="18" customWidth="1"/>
    <col min="15625" max="15625" width="11.109375" style="18" customWidth="1"/>
    <col min="15626" max="15626" width="14" style="18" customWidth="1"/>
    <col min="15627" max="15627" width="8.44140625" style="18" customWidth="1"/>
    <col min="15628" max="15628" width="7.33203125" style="18" bestFit="1" customWidth="1"/>
    <col min="15629" max="15629" width="5.5546875" style="18" customWidth="1"/>
    <col min="15630" max="15630" width="19.109375" style="18" bestFit="1" customWidth="1"/>
    <col min="15631" max="15872" width="11.5546875" style="18"/>
    <col min="15873" max="15873" width="3.44140625" style="18" customWidth="1"/>
    <col min="15874" max="15874" width="5.44140625" style="18" bestFit="1" customWidth="1"/>
    <col min="15875" max="15875" width="43.44140625" style="18" customWidth="1"/>
    <col min="15876" max="15876" width="7.88671875" style="18" customWidth="1"/>
    <col min="15877" max="15877" width="14.44140625" style="18" customWidth="1"/>
    <col min="15878" max="15878" width="12.109375" style="18" customWidth="1"/>
    <col min="15879" max="15879" width="13" style="18" customWidth="1"/>
    <col min="15880" max="15880" width="11.6640625" style="18" customWidth="1"/>
    <col min="15881" max="15881" width="11.109375" style="18" customWidth="1"/>
    <col min="15882" max="15882" width="14" style="18" customWidth="1"/>
    <col min="15883" max="15883" width="8.44140625" style="18" customWidth="1"/>
    <col min="15884" max="15884" width="7.33203125" style="18" bestFit="1" customWidth="1"/>
    <col min="15885" max="15885" width="5.5546875" style="18" customWidth="1"/>
    <col min="15886" max="15886" width="19.109375" style="18" bestFit="1" customWidth="1"/>
    <col min="15887" max="16128" width="11.5546875" style="18"/>
    <col min="16129" max="16129" width="3.44140625" style="18" customWidth="1"/>
    <col min="16130" max="16130" width="5.44140625" style="18" bestFit="1" customWidth="1"/>
    <col min="16131" max="16131" width="43.44140625" style="18" customWidth="1"/>
    <col min="16132" max="16132" width="7.88671875" style="18" customWidth="1"/>
    <col min="16133" max="16133" width="14.44140625" style="18" customWidth="1"/>
    <col min="16134" max="16134" width="12.109375" style="18" customWidth="1"/>
    <col min="16135" max="16135" width="13" style="18" customWidth="1"/>
    <col min="16136" max="16136" width="11.6640625" style="18" customWidth="1"/>
    <col min="16137" max="16137" width="11.109375" style="18" customWidth="1"/>
    <col min="16138" max="16138" width="14" style="18" customWidth="1"/>
    <col min="16139" max="16139" width="8.44140625" style="18" customWidth="1"/>
    <col min="16140" max="16140" width="7.33203125" style="18" bestFit="1" customWidth="1"/>
    <col min="16141" max="16141" width="5.5546875" style="18" customWidth="1"/>
    <col min="16142" max="16142" width="19.109375" style="18" bestFit="1" customWidth="1"/>
    <col min="16143" max="16384" width="11.5546875" style="18"/>
  </cols>
  <sheetData>
    <row r="1" spans="2:14" s="5" customFormat="1" ht="13.2" hidden="1" customHeight="1">
      <c r="B1" s="1"/>
      <c r="C1" s="2"/>
      <c r="D1" s="2"/>
      <c r="E1" s="3"/>
      <c r="F1" s="1"/>
      <c r="G1" s="2" t="s">
        <v>64</v>
      </c>
      <c r="H1" s="1"/>
      <c r="I1" s="4"/>
      <c r="J1" s="4"/>
      <c r="K1" s="1"/>
      <c r="L1" s="1"/>
      <c r="M1" s="1"/>
      <c r="N1" s="1"/>
    </row>
    <row r="2" spans="2:14" s="5" customFormat="1" ht="12" hidden="1" customHeight="1">
      <c r="B2" s="1451" t="e">
        <f>#REF!</f>
        <v>#REF!</v>
      </c>
      <c r="C2" s="1451"/>
      <c r="D2" s="1451"/>
      <c r="E2" s="1451"/>
      <c r="F2" s="1451"/>
      <c r="G2" s="1451"/>
      <c r="H2" s="1451"/>
      <c r="I2" s="1451"/>
      <c r="J2" s="1451"/>
      <c r="K2" s="1451"/>
      <c r="L2" s="1451"/>
      <c r="M2" s="1451"/>
      <c r="N2" s="1451"/>
    </row>
    <row r="3" spans="2:14" s="5" customFormat="1" ht="13.5" hidden="1" customHeight="1">
      <c r="B3" s="1126"/>
      <c r="C3" s="1126"/>
      <c r="D3" s="1126"/>
      <c r="E3" s="1126"/>
      <c r="F3" s="1126"/>
      <c r="G3" s="1126"/>
      <c r="H3" s="1126"/>
      <c r="I3" s="6"/>
      <c r="J3" s="7"/>
      <c r="K3" s="1126"/>
      <c r="L3" s="1126"/>
      <c r="M3" s="1126"/>
      <c r="N3" s="1126"/>
    </row>
    <row r="4" spans="2:14" s="5" customFormat="1" ht="49.5" hidden="1" customHeight="1">
      <c r="B4" s="1126"/>
      <c r="C4" s="8" t="s">
        <v>5</v>
      </c>
      <c r="D4" s="9" t="s">
        <v>3</v>
      </c>
      <c r="E4" s="1569" t="e">
        <f>#REF!</f>
        <v>#REF!</v>
      </c>
      <c r="F4" s="1569"/>
      <c r="G4" s="1569"/>
      <c r="H4" s="1569"/>
      <c r="I4" s="1569"/>
      <c r="J4" s="10" t="s">
        <v>12</v>
      </c>
      <c r="K4" s="51" t="e">
        <f>#REF!</f>
        <v>#REF!</v>
      </c>
      <c r="N4" s="51"/>
    </row>
    <row r="5" spans="2:14" s="5" customFormat="1" ht="12.75" hidden="1" customHeight="1">
      <c r="B5" s="1126"/>
      <c r="C5" s="11" t="s">
        <v>4</v>
      </c>
      <c r="D5" s="12" t="s">
        <v>3</v>
      </c>
      <c r="E5" s="13" t="e">
        <f>#REF!</f>
        <v>#REF!</v>
      </c>
      <c r="F5" s="13"/>
      <c r="G5" s="1126"/>
      <c r="H5" s="1126"/>
      <c r="I5" s="6"/>
      <c r="J5" s="2" t="s">
        <v>13</v>
      </c>
      <c r="K5" s="13" t="e">
        <f>#REF!</f>
        <v>#REF!</v>
      </c>
      <c r="M5" s="1126"/>
    </row>
    <row r="6" spans="2:14" s="5" customFormat="1" ht="13.2" hidden="1" customHeight="1">
      <c r="B6" s="1"/>
      <c r="C6" s="11" t="s">
        <v>14</v>
      </c>
      <c r="D6" s="12" t="s">
        <v>3</v>
      </c>
      <c r="E6" s="13" t="e">
        <f>#REF!</f>
        <v>#REF!</v>
      </c>
      <c r="G6" s="1"/>
      <c r="H6" s="1"/>
      <c r="I6" s="4"/>
      <c r="J6" s="2" t="s">
        <v>15</v>
      </c>
      <c r="K6" s="13" t="e">
        <f>#REF!</f>
        <v>#REF!</v>
      </c>
      <c r="M6" s="1"/>
    </row>
    <row r="7" spans="2:14" s="5" customFormat="1" ht="13.2" hidden="1" customHeight="1">
      <c r="B7" s="1"/>
      <c r="C7" s="11" t="s">
        <v>16</v>
      </c>
      <c r="D7" s="12" t="s">
        <v>3</v>
      </c>
      <c r="E7" s="13" t="e">
        <f>#REF!</f>
        <v>#REF!</v>
      </c>
      <c r="G7" s="1"/>
      <c r="H7" s="1"/>
      <c r="I7" s="4"/>
      <c r="J7" s="2" t="s">
        <v>17</v>
      </c>
      <c r="K7" s="13" t="e">
        <f>#REF!</f>
        <v>#REF!</v>
      </c>
      <c r="M7" s="14"/>
    </row>
    <row r="8" spans="2:14" s="5" customFormat="1" ht="13.2" hidden="1" customHeight="1">
      <c r="B8" s="1"/>
      <c r="C8" s="11" t="s">
        <v>18</v>
      </c>
      <c r="D8" s="12" t="s">
        <v>3</v>
      </c>
      <c r="E8" s="15">
        <v>2017</v>
      </c>
      <c r="G8" s="1"/>
      <c r="H8" s="1"/>
      <c r="I8" s="4"/>
      <c r="J8" s="7"/>
      <c r="K8" s="1"/>
      <c r="M8" s="1"/>
      <c r="N8" s="1"/>
    </row>
    <row r="9" spans="2:14" ht="10.95" hidden="1" customHeight="1" thickBot="1"/>
    <row r="10" spans="2:14" ht="13.2" hidden="1" customHeight="1">
      <c r="B10" s="1570" t="s">
        <v>65</v>
      </c>
      <c r="C10" s="1573" t="s">
        <v>20</v>
      </c>
      <c r="D10" s="1574"/>
      <c r="E10" s="1579" t="s">
        <v>22</v>
      </c>
      <c r="F10" s="1582" t="s">
        <v>23</v>
      </c>
      <c r="G10" s="1583"/>
      <c r="H10" s="1583"/>
      <c r="I10" s="1584"/>
      <c r="J10" s="1573" t="s">
        <v>24</v>
      </c>
      <c r="K10" s="1585"/>
    </row>
    <row r="11" spans="2:14" ht="13.2" hidden="1" customHeight="1">
      <c r="B11" s="1571"/>
      <c r="C11" s="1575"/>
      <c r="D11" s="1576"/>
      <c r="E11" s="1580"/>
      <c r="F11" s="1131" t="s">
        <v>25</v>
      </c>
      <c r="G11" s="1131" t="s">
        <v>26</v>
      </c>
      <c r="H11" s="1588" t="s">
        <v>27</v>
      </c>
      <c r="I11" s="1589"/>
      <c r="J11" s="1586"/>
      <c r="K11" s="1587"/>
    </row>
    <row r="12" spans="2:14" ht="12.75" hidden="1" customHeight="1">
      <c r="B12" s="1571"/>
      <c r="C12" s="1575"/>
      <c r="D12" s="1576"/>
      <c r="E12" s="1580"/>
      <c r="F12" s="1590" t="s">
        <v>31</v>
      </c>
      <c r="G12" s="1590" t="s">
        <v>31</v>
      </c>
      <c r="H12" s="1590" t="s">
        <v>31</v>
      </c>
      <c r="I12" s="1592" t="s">
        <v>0</v>
      </c>
      <c r="J12" s="1592" t="s">
        <v>31</v>
      </c>
      <c r="K12" s="1593" t="s">
        <v>0</v>
      </c>
    </row>
    <row r="13" spans="2:14" ht="10.95" hidden="1" customHeight="1" thickBot="1">
      <c r="B13" s="1572"/>
      <c r="C13" s="1577"/>
      <c r="D13" s="1578"/>
      <c r="E13" s="1581"/>
      <c r="F13" s="1591"/>
      <c r="G13" s="1591"/>
      <c r="H13" s="1591"/>
      <c r="I13" s="1581"/>
      <c r="J13" s="1581"/>
      <c r="K13" s="1594"/>
    </row>
    <row r="14" spans="2:14" ht="25.5" hidden="1" customHeight="1">
      <c r="B14" s="1595">
        <v>1</v>
      </c>
      <c r="C14" s="1597" t="s">
        <v>1118</v>
      </c>
      <c r="D14" s="1598"/>
      <c r="E14" s="1601">
        <v>133745.31</v>
      </c>
      <c r="F14" s="1601">
        <f>'[12]RES. VAL. '!$H$14:$H$15</f>
        <v>74832.791299999997</v>
      </c>
      <c r="G14" s="1601" t="e">
        <f>N14</f>
        <v>#REF!</v>
      </c>
      <c r="H14" s="1601" t="e">
        <f>+F14+G14</f>
        <v>#REF!</v>
      </c>
      <c r="I14" s="1603" t="e">
        <f>+H14/E14</f>
        <v>#REF!</v>
      </c>
      <c r="J14" s="1601" t="e">
        <f>+E14-H14</f>
        <v>#REF!</v>
      </c>
      <c r="K14" s="1605" t="e">
        <f>+J14/E14</f>
        <v>#REF!</v>
      </c>
      <c r="N14" s="26" t="e">
        <f>#REF!</f>
        <v>#REF!</v>
      </c>
    </row>
    <row r="15" spans="2:14" ht="10.199999999999999" hidden="1" customHeight="1">
      <c r="B15" s="1596"/>
      <c r="C15" s="1599"/>
      <c r="D15" s="1600"/>
      <c r="E15" s="1602"/>
      <c r="F15" s="1602"/>
      <c r="G15" s="1602"/>
      <c r="H15" s="1602"/>
      <c r="I15" s="1604"/>
      <c r="J15" s="1602"/>
      <c r="K15" s="1606"/>
      <c r="N15" s="26" t="e">
        <f>#REF!</f>
        <v>#REF!</v>
      </c>
    </row>
    <row r="16" spans="2:14" ht="13.2" hidden="1" customHeight="1">
      <c r="B16" s="1130">
        <v>2</v>
      </c>
      <c r="C16" s="696" t="str">
        <f>[13]VAL.PRINC!B38</f>
        <v>ESTRUCTURAS</v>
      </c>
      <c r="D16" s="695"/>
      <c r="E16" s="1128">
        <v>680109.61</v>
      </c>
      <c r="F16" s="1128">
        <f>'[12]RES. VAL. '!$H$16</f>
        <v>390219.46500000003</v>
      </c>
      <c r="G16" s="1128" t="e">
        <f>N15</f>
        <v>#REF!</v>
      </c>
      <c r="H16" s="697" t="e">
        <f>+F16+G16</f>
        <v>#REF!</v>
      </c>
      <c r="I16" s="104" t="e">
        <f>+H16/E16</f>
        <v>#REF!</v>
      </c>
      <c r="J16" s="758" t="e">
        <f>+E16-H16</f>
        <v>#REF!</v>
      </c>
      <c r="K16" s="759" t="e">
        <f>+J16/E16</f>
        <v>#REF!</v>
      </c>
      <c r="N16" s="26" t="e">
        <f>#REF!</f>
        <v>#REF!</v>
      </c>
    </row>
    <row r="17" spans="2:14" ht="13.2" hidden="1" customHeight="1">
      <c r="B17" s="1130">
        <v>3</v>
      </c>
      <c r="C17" s="696" t="str">
        <f>[13]VAL.PRINC!B292</f>
        <v>ARQUITECTURA</v>
      </c>
      <c r="D17" s="695"/>
      <c r="E17" s="1128">
        <v>272988.28000000003</v>
      </c>
      <c r="F17" s="1128">
        <f>'[12]RES. VAL. '!$H$17</f>
        <v>72474.674800000008</v>
      </c>
      <c r="G17" s="1128" t="e">
        <f>N16</f>
        <v>#REF!</v>
      </c>
      <c r="H17" s="697" t="e">
        <f>+F17+G17</f>
        <v>#REF!</v>
      </c>
      <c r="I17" s="104" t="e">
        <f t="shared" ref="I17:I19" si="0">+H17/E17</f>
        <v>#REF!</v>
      </c>
      <c r="J17" s="758" t="e">
        <f t="shared" ref="J17:J19" si="1">+E17-H17</f>
        <v>#REF!</v>
      </c>
      <c r="K17" s="759" t="e">
        <f t="shared" ref="K17:K19" si="2">+J17/E17</f>
        <v>#REF!</v>
      </c>
      <c r="N17" s="26" t="e">
        <f>#REF!</f>
        <v>#REF!</v>
      </c>
    </row>
    <row r="18" spans="2:14" ht="13.2" hidden="1" customHeight="1">
      <c r="B18" s="1130">
        <v>4</v>
      </c>
      <c r="C18" s="696" t="str">
        <f>[13]VAL.PRINC!B542</f>
        <v>INSTALACIONES SANITARIAS</v>
      </c>
      <c r="D18" s="695"/>
      <c r="E18" s="1128">
        <v>64335.72</v>
      </c>
      <c r="F18" s="1128">
        <f>'[12]RES. VAL. '!$H$18</f>
        <v>0</v>
      </c>
      <c r="G18" s="1128" t="e">
        <f>N17</f>
        <v>#REF!</v>
      </c>
      <c r="H18" s="697" t="e">
        <f>+F18+G18</f>
        <v>#REF!</v>
      </c>
      <c r="I18" s="104" t="e">
        <f t="shared" si="0"/>
        <v>#REF!</v>
      </c>
      <c r="J18" s="758" t="e">
        <f t="shared" si="1"/>
        <v>#REF!</v>
      </c>
      <c r="K18" s="759" t="e">
        <f t="shared" si="2"/>
        <v>#REF!</v>
      </c>
      <c r="N18" s="26" t="e">
        <f>#REF!</f>
        <v>#REF!</v>
      </c>
    </row>
    <row r="19" spans="2:14" ht="13.2" hidden="1" customHeight="1">
      <c r="B19" s="1130">
        <v>5</v>
      </c>
      <c r="C19" s="696" t="str">
        <f>[13]VAL.PRINC!B601</f>
        <v>INSTALACIONES ELECTRICAS</v>
      </c>
      <c r="D19" s="695"/>
      <c r="E19" s="1128">
        <v>58450.559999999998</v>
      </c>
      <c r="F19" s="1128">
        <f>'[12]RES. VAL. '!$H$19</f>
        <v>3211.13</v>
      </c>
      <c r="G19" s="1128" t="e">
        <f>N18</f>
        <v>#REF!</v>
      </c>
      <c r="H19" s="703" t="e">
        <f>+F19+G19</f>
        <v>#REF!</v>
      </c>
      <c r="I19" s="104" t="e">
        <f t="shared" si="0"/>
        <v>#REF!</v>
      </c>
      <c r="J19" s="758" t="e">
        <f t="shared" si="1"/>
        <v>#REF!</v>
      </c>
      <c r="K19" s="759" t="e">
        <f t="shared" si="2"/>
        <v>#REF!</v>
      </c>
    </row>
    <row r="20" spans="2:14" ht="13.95" hidden="1" customHeight="1" thickBot="1">
      <c r="B20" s="1607" t="s">
        <v>1813</v>
      </c>
      <c r="C20" s="1608"/>
      <c r="D20" s="1609"/>
      <c r="E20" s="699">
        <f>+SUM(E14:E19)</f>
        <v>1209629.48</v>
      </c>
      <c r="F20" s="700">
        <f>SUM(F14:F19)</f>
        <v>540738.06110000005</v>
      </c>
      <c r="G20" s="700" t="e">
        <f>SUM(G14:G19)</f>
        <v>#REF!</v>
      </c>
      <c r="H20" s="700" t="e">
        <f>SUM(H14:H19)</f>
        <v>#REF!</v>
      </c>
      <c r="I20" s="701" t="e">
        <f>H20/E20</f>
        <v>#REF!</v>
      </c>
      <c r="J20" s="702" t="e">
        <f>SUM(J14:J19)</f>
        <v>#REF!</v>
      </c>
      <c r="K20" s="698" t="e">
        <f>J20/E20</f>
        <v>#REF!</v>
      </c>
    </row>
    <row r="21" spans="2:14" ht="13.2" hidden="1">
      <c r="B21" s="708" t="s">
        <v>255</v>
      </c>
      <c r="C21" s="725"/>
      <c r="D21" s="764">
        <v>0.13514167899999999</v>
      </c>
      <c r="E21" s="726">
        <f>E$20*D21</f>
        <v>163471.3588950969</v>
      </c>
      <c r="F21" s="726">
        <f>F20*D21</f>
        <v>73076.249476258585</v>
      </c>
      <c r="G21" s="726" t="e">
        <f>G20*D21</f>
        <v>#REF!</v>
      </c>
      <c r="H21" s="726" t="e">
        <f>H20*D21</f>
        <v>#REF!</v>
      </c>
      <c r="I21" s="727"/>
      <c r="J21" s="728" t="e">
        <f>E21-H21</f>
        <v>#REF!</v>
      </c>
      <c r="K21" s="759" t="e">
        <f t="shared" ref="K21:K26" si="3">+J21/E21</f>
        <v>#REF!</v>
      </c>
    </row>
    <row r="22" spans="2:14" ht="13.2" hidden="1">
      <c r="B22" s="708" t="s">
        <v>347</v>
      </c>
      <c r="C22" s="705"/>
      <c r="D22" s="765">
        <v>2.5765203E-2</v>
      </c>
      <c r="E22" s="707">
        <f>E$20*D22</f>
        <v>31166.349106984439</v>
      </c>
      <c r="F22" s="726">
        <f>F20*D22</f>
        <v>13932.225914067905</v>
      </c>
      <c r="G22" s="726" t="e">
        <f>G20*D22</f>
        <v>#REF!</v>
      </c>
      <c r="H22" s="726" t="e">
        <f>H20*D22</f>
        <v>#REF!</v>
      </c>
      <c r="I22" s="99"/>
      <c r="J22" s="704" t="e">
        <f>E22-H22</f>
        <v>#REF!</v>
      </c>
      <c r="K22" s="759" t="e">
        <f t="shared" si="3"/>
        <v>#REF!</v>
      </c>
    </row>
    <row r="23" spans="2:14" ht="13.2" hidden="1">
      <c r="B23" s="708" t="s">
        <v>1803</v>
      </c>
      <c r="C23" s="705"/>
      <c r="D23" s="765">
        <v>5.4089901000000003E-2</v>
      </c>
      <c r="E23" s="707">
        <f>E20*D23</f>
        <v>65428.738819881481</v>
      </c>
      <c r="F23" s="726">
        <f>F20*D23</f>
        <v>29248.468191830954</v>
      </c>
      <c r="G23" s="726" t="e">
        <f>G20*D23</f>
        <v>#REF!</v>
      </c>
      <c r="H23" s="726" t="e">
        <f>H20*D23</f>
        <v>#REF!</v>
      </c>
      <c r="I23" s="99"/>
      <c r="J23" s="704" t="e">
        <f>E23-H23</f>
        <v>#REF!</v>
      </c>
      <c r="K23" s="759" t="e">
        <f t="shared" si="3"/>
        <v>#REF!</v>
      </c>
    </row>
    <row r="24" spans="2:14" ht="13.2" hidden="1">
      <c r="B24" s="708" t="s">
        <v>254</v>
      </c>
      <c r="C24" s="705"/>
      <c r="D24" s="765">
        <v>1.4803359E-2</v>
      </c>
      <c r="E24" s="707">
        <f>E20*D24</f>
        <v>17906.57944942332</v>
      </c>
      <c r="F24" s="726">
        <f>F20*D24</f>
        <v>8004.7396434272359</v>
      </c>
      <c r="G24" s="726" t="e">
        <f>G20*D24</f>
        <v>#REF!</v>
      </c>
      <c r="H24" s="726" t="e">
        <f>H20*D24</f>
        <v>#REF!</v>
      </c>
      <c r="I24" s="99"/>
      <c r="J24" s="704" t="e">
        <f>E24-H24</f>
        <v>#REF!</v>
      </c>
      <c r="K24" s="759" t="e">
        <f t="shared" si="3"/>
        <v>#REF!</v>
      </c>
    </row>
    <row r="25" spans="2:14" ht="13.2" hidden="1">
      <c r="B25" s="708" t="s">
        <v>59</v>
      </c>
      <c r="C25" s="705"/>
      <c r="D25" s="765">
        <v>3.2312274000000002E-2</v>
      </c>
      <c r="E25" s="707">
        <f>E20*D25</f>
        <v>39085.879196237525</v>
      </c>
      <c r="F25" s="726">
        <f>F20*D25</f>
        <v>17472.476392491943</v>
      </c>
      <c r="G25" s="726" t="e">
        <f>G20*D25</f>
        <v>#REF!</v>
      </c>
      <c r="H25" s="726" t="e">
        <f>H20*D25</f>
        <v>#REF!</v>
      </c>
      <c r="I25" s="99"/>
      <c r="J25" s="704" t="e">
        <f>E25-H25</f>
        <v>#REF!</v>
      </c>
      <c r="K25" s="759" t="e">
        <f t="shared" si="3"/>
        <v>#REF!</v>
      </c>
    </row>
    <row r="26" spans="2:14" ht="11.25" hidden="1" customHeight="1">
      <c r="B26" s="708" t="s">
        <v>1797</v>
      </c>
      <c r="C26" s="705"/>
      <c r="D26" s="765"/>
      <c r="E26" s="707">
        <f>SUM(E20:E25)</f>
        <v>1526688.3854676238</v>
      </c>
      <c r="F26" s="707">
        <f>SUM(F20:F25)</f>
        <v>682472.22071807669</v>
      </c>
      <c r="G26" s="707" t="e">
        <f>SUM(G20:G25)</f>
        <v>#REF!</v>
      </c>
      <c r="H26" s="707" t="e">
        <f>SUM(H20:H25)</f>
        <v>#REF!</v>
      </c>
      <c r="I26" s="99"/>
      <c r="J26" s="704" t="e">
        <f>SUM(J20:J25)</f>
        <v>#REF!</v>
      </c>
      <c r="K26" s="759" t="e">
        <f t="shared" si="3"/>
        <v>#REF!</v>
      </c>
    </row>
    <row r="27" spans="2:14" ht="11.25" hidden="1" customHeight="1">
      <c r="B27" s="708" t="s">
        <v>1798</v>
      </c>
      <c r="C27" s="705"/>
      <c r="D27" s="706"/>
      <c r="E27" s="707">
        <v>28300.9</v>
      </c>
      <c r="F27" s="707"/>
      <c r="G27" s="707"/>
      <c r="H27" s="707"/>
      <c r="I27" s="99"/>
      <c r="J27" s="704"/>
      <c r="K27" s="322"/>
    </row>
    <row r="28" spans="2:14" ht="13.2" hidden="1" customHeight="1">
      <c r="B28" s="708" t="s">
        <v>1804</v>
      </c>
      <c r="C28" s="705"/>
      <c r="D28" s="706"/>
      <c r="E28" s="707">
        <v>77006.47</v>
      </c>
      <c r="F28" s="707"/>
      <c r="G28" s="707"/>
      <c r="H28" s="707"/>
      <c r="I28" s="99"/>
      <c r="J28" s="704"/>
      <c r="K28" s="322"/>
    </row>
    <row r="29" spans="2:14" ht="13.2" hidden="1">
      <c r="B29" s="708" t="s">
        <v>1800</v>
      </c>
      <c r="C29" s="705"/>
      <c r="D29" s="706"/>
      <c r="E29" s="707">
        <v>26717.1</v>
      </c>
      <c r="F29" s="707"/>
      <c r="G29" s="707"/>
      <c r="H29" s="707"/>
      <c r="I29" s="99"/>
      <c r="J29" s="704"/>
      <c r="K29" s="322"/>
    </row>
    <row r="30" spans="2:14" ht="11.25" hidden="1" customHeight="1" thickBot="1">
      <c r="B30" s="710" t="s">
        <v>1801</v>
      </c>
      <c r="C30" s="711"/>
      <c r="D30" s="712"/>
      <c r="E30" s="713">
        <v>16525.419999999998</v>
      </c>
      <c r="F30" s="713"/>
      <c r="G30" s="713"/>
      <c r="H30" s="713"/>
      <c r="I30" s="714"/>
      <c r="J30" s="715"/>
      <c r="K30" s="716"/>
    </row>
    <row r="31" spans="2:14" ht="11.25" hidden="1" customHeight="1" thickBot="1">
      <c r="B31" s="1610" t="s">
        <v>60</v>
      </c>
      <c r="C31" s="1611"/>
      <c r="D31" s="1612"/>
      <c r="E31" s="717">
        <f>SUM(E26:E30)</f>
        <v>1675238.2754676237</v>
      </c>
      <c r="F31" s="717">
        <f>SUM(F26:F30)</f>
        <v>682472.22071807669</v>
      </c>
      <c r="G31" s="717" t="e">
        <f>SUM(G26:G30)</f>
        <v>#REF!</v>
      </c>
      <c r="H31" s="717" t="e">
        <f>SUM(H26:H30)</f>
        <v>#REF!</v>
      </c>
      <c r="I31" s="718" t="e">
        <f>H31/E31</f>
        <v>#REF!</v>
      </c>
      <c r="J31" s="717" t="e">
        <f>SUM(J26:J30)</f>
        <v>#REF!</v>
      </c>
      <c r="K31" s="719" t="e">
        <f>J31/E31</f>
        <v>#REF!</v>
      </c>
    </row>
    <row r="35" spans="1:66" ht="16.2" thickBot="1">
      <c r="C35" s="1618" t="s">
        <v>2037</v>
      </c>
      <c r="D35" s="1618"/>
      <c r="E35" s="1618"/>
      <c r="F35" s="1618"/>
      <c r="G35" s="1618"/>
      <c r="H35" s="1618"/>
      <c r="I35" s="1618"/>
      <c r="J35" s="1618"/>
      <c r="K35" s="1618"/>
    </row>
    <row r="36" spans="1:66" s="5" customFormat="1" ht="13.2">
      <c r="B36" s="1570" t="s">
        <v>65</v>
      </c>
      <c r="C36" s="1573" t="s">
        <v>20</v>
      </c>
      <c r="D36" s="1574"/>
      <c r="E36" s="1579" t="s">
        <v>22</v>
      </c>
      <c r="F36" s="1582" t="s">
        <v>23</v>
      </c>
      <c r="G36" s="1583"/>
      <c r="H36" s="1583"/>
      <c r="I36" s="1584"/>
      <c r="J36" s="1573" t="s">
        <v>24</v>
      </c>
      <c r="K36" s="1585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</row>
    <row r="37" spans="1:66" s="5" customFormat="1" ht="13.2">
      <c r="B37" s="1571"/>
      <c r="C37" s="1575"/>
      <c r="D37" s="1576"/>
      <c r="E37" s="1580"/>
      <c r="F37" s="1131" t="s">
        <v>25</v>
      </c>
      <c r="G37" s="1131" t="s">
        <v>26</v>
      </c>
      <c r="H37" s="1588" t="s">
        <v>27</v>
      </c>
      <c r="I37" s="1589"/>
      <c r="J37" s="1586"/>
      <c r="K37" s="1587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</row>
    <row r="38" spans="1:66" s="5" customFormat="1" ht="13.2">
      <c r="B38" s="1571"/>
      <c r="C38" s="1575"/>
      <c r="D38" s="1576"/>
      <c r="E38" s="1580"/>
      <c r="F38" s="1590" t="s">
        <v>31</v>
      </c>
      <c r="G38" s="1590" t="s">
        <v>31</v>
      </c>
      <c r="H38" s="1590" t="s">
        <v>31</v>
      </c>
      <c r="I38" s="1592" t="s">
        <v>0</v>
      </c>
      <c r="J38" s="1592" t="s">
        <v>31</v>
      </c>
      <c r="K38" s="1593" t="s">
        <v>0</v>
      </c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</row>
    <row r="39" spans="1:66" s="5" customFormat="1" ht="13.8" thickBot="1">
      <c r="B39" s="1572"/>
      <c r="C39" s="1577"/>
      <c r="D39" s="1578"/>
      <c r="E39" s="1581"/>
      <c r="F39" s="1591"/>
      <c r="G39" s="1591"/>
      <c r="H39" s="1591"/>
      <c r="I39" s="1581"/>
      <c r="J39" s="1581"/>
      <c r="K39" s="1594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</row>
    <row r="40" spans="1:66" s="54" customFormat="1" ht="13.2">
      <c r="A40" s="5"/>
      <c r="B40" s="1130">
        <v>1</v>
      </c>
      <c r="C40" s="1619" t="s">
        <v>1811</v>
      </c>
      <c r="D40" s="1620"/>
      <c r="E40" s="1128">
        <f>(ROUND((E20),2))</f>
        <v>1209629.48</v>
      </c>
      <c r="F40" s="1128">
        <f>'[12]RES. VAL. '!$H$38</f>
        <v>540738.0686</v>
      </c>
      <c r="G40" s="1128" t="e">
        <f>#REF!</f>
        <v>#REF!</v>
      </c>
      <c r="H40" s="1128" t="e">
        <f>+F40+G40</f>
        <v>#REF!</v>
      </c>
      <c r="I40" s="1129" t="e">
        <f>+H40/E40</f>
        <v>#REF!</v>
      </c>
      <c r="J40" s="1128" t="e">
        <f>+E40-H40</f>
        <v>#REF!</v>
      </c>
      <c r="K40" s="1125" t="e">
        <f>+J40/E40</f>
        <v>#REF!</v>
      </c>
      <c r="L40" s="53"/>
      <c r="M40" s="53"/>
      <c r="N40" s="201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</row>
    <row r="41" spans="1:66" s="53" customFormat="1" ht="13.2">
      <c r="A41" s="5"/>
      <c r="B41" s="302">
        <v>2</v>
      </c>
      <c r="C41" s="1621" t="s">
        <v>256</v>
      </c>
      <c r="D41" s="1622"/>
      <c r="E41" s="103" t="e">
        <f>H41</f>
        <v>#REF!</v>
      </c>
      <c r="F41" s="1128">
        <f>'[12]RES. VAL. '!$H$39</f>
        <v>55816.822099999998</v>
      </c>
      <c r="G41" s="103" t="e">
        <f>#REF!</f>
        <v>#REF!</v>
      </c>
      <c r="H41" s="103" t="e">
        <f>+F41+G41</f>
        <v>#REF!</v>
      </c>
      <c r="I41" s="104" t="e">
        <f>+H41/E41</f>
        <v>#REF!</v>
      </c>
      <c r="J41" s="103" t="e">
        <f>E41-H41</f>
        <v>#REF!</v>
      </c>
      <c r="K41" s="1127" t="e">
        <f>J41/E41</f>
        <v>#REF!</v>
      </c>
    </row>
    <row r="42" spans="1:66" s="53" customFormat="1" ht="13.2">
      <c r="A42" s="5"/>
      <c r="B42" s="302">
        <v>3</v>
      </c>
      <c r="C42" s="1621" t="s">
        <v>257</v>
      </c>
      <c r="D42" s="1622"/>
      <c r="E42" s="103" t="e">
        <f>H42</f>
        <v>#REF!</v>
      </c>
      <c r="F42" s="1128">
        <f>'[12]RES. VAL. '!$H$40</f>
        <v>286835.83134454</v>
      </c>
      <c r="G42" s="103" t="e">
        <f>#REF!</f>
        <v>#REF!</v>
      </c>
      <c r="H42" s="103" t="e">
        <f>+F42+G42</f>
        <v>#REF!</v>
      </c>
      <c r="I42" s="104" t="e">
        <f>+H42/E42</f>
        <v>#REF!</v>
      </c>
      <c r="J42" s="103" t="e">
        <f>E42-H42</f>
        <v>#REF!</v>
      </c>
      <c r="K42" s="1127" t="e">
        <f>J42/E42</f>
        <v>#REF!</v>
      </c>
    </row>
    <row r="43" spans="1:66" s="53" customFormat="1" ht="13.8" thickBot="1">
      <c r="B43" s="720"/>
      <c r="C43" s="1623"/>
      <c r="D43" s="1624"/>
      <c r="E43" s="721"/>
      <c r="F43" s="722"/>
      <c r="G43" s="722"/>
      <c r="H43" s="722"/>
      <c r="I43" s="723"/>
      <c r="J43" s="722"/>
      <c r="K43" s="724"/>
    </row>
    <row r="44" spans="1:66" s="5" customFormat="1" ht="13.8" thickBot="1">
      <c r="B44" s="1610" t="s">
        <v>90</v>
      </c>
      <c r="C44" s="1611"/>
      <c r="D44" s="1612"/>
      <c r="E44" s="717" t="e">
        <f>SUM(E40:E43)</f>
        <v>#REF!</v>
      </c>
      <c r="F44" s="729">
        <f>SUM(F40:F43)</f>
        <v>883390.72204453999</v>
      </c>
      <c r="G44" s="729" t="e">
        <f>SUM(G40:G43)</f>
        <v>#REF!</v>
      </c>
      <c r="H44" s="729" t="e">
        <f>SUM(H40:H43)</f>
        <v>#REF!</v>
      </c>
      <c r="I44" s="730" t="e">
        <f>H44/E40</f>
        <v>#REF!</v>
      </c>
      <c r="J44" s="731" t="e">
        <f>SUM(J40:J43)</f>
        <v>#REF!</v>
      </c>
      <c r="K44" s="732" t="e">
        <f>J44/E40</f>
        <v>#REF!</v>
      </c>
      <c r="L44" s="41"/>
      <c r="M44" s="41"/>
      <c r="N44" s="321"/>
      <c r="O44" s="41"/>
      <c r="P44" s="41"/>
      <c r="Q44" s="41"/>
      <c r="R44" s="41"/>
      <c r="S44" s="41"/>
      <c r="T44" s="41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</row>
    <row r="45" spans="1:66" s="5" customFormat="1" ht="13.2">
      <c r="B45" s="41"/>
      <c r="C45" s="100"/>
      <c r="D45" s="100"/>
      <c r="E45" s="41"/>
      <c r="F45" s="709"/>
      <c r="G45" s="41"/>
      <c r="H45" s="43"/>
      <c r="I45" s="323"/>
      <c r="J45" s="324"/>
      <c r="K45" s="325"/>
      <c r="L45" s="29"/>
      <c r="M45" s="34"/>
      <c r="N45" s="34"/>
      <c r="O45" s="27"/>
      <c r="P45" s="27"/>
      <c r="Q45" s="27"/>
      <c r="R45" s="27"/>
      <c r="S45" s="27"/>
      <c r="T45" s="27"/>
      <c r="U45" s="27"/>
      <c r="V45" s="27"/>
      <c r="W45" s="27"/>
    </row>
    <row r="46" spans="1:66" s="5" customFormat="1" ht="13.8" thickBot="1">
      <c r="B46" s="41"/>
      <c r="C46" s="100"/>
      <c r="D46" s="100"/>
      <c r="E46" s="41"/>
      <c r="F46" s="101"/>
      <c r="G46" s="41"/>
      <c r="H46" s="43"/>
      <c r="I46" s="59"/>
      <c r="J46" s="45"/>
      <c r="K46" s="100"/>
      <c r="L46" s="29"/>
      <c r="M46" s="34"/>
      <c r="N46" s="34"/>
      <c r="O46" s="27"/>
      <c r="P46" s="27"/>
      <c r="Q46" s="27"/>
      <c r="R46" s="27"/>
      <c r="S46" s="27"/>
      <c r="T46" s="27"/>
      <c r="U46" s="27"/>
      <c r="V46" s="27"/>
      <c r="W46" s="27"/>
    </row>
    <row r="47" spans="1:66" s="5" customFormat="1" ht="11.25" customHeight="1" thickBot="1">
      <c r="B47" s="1615" t="s">
        <v>91</v>
      </c>
      <c r="C47" s="1616"/>
      <c r="D47" s="1616"/>
      <c r="E47" s="1617"/>
      <c r="F47" s="102">
        <f>+F44/E40</f>
        <v>0.73029860519317036</v>
      </c>
      <c r="G47" s="102" t="e">
        <f>+G44/E40</f>
        <v>#REF!</v>
      </c>
      <c r="H47" s="1613" t="e">
        <f>+H44/E40</f>
        <v>#REF!</v>
      </c>
      <c r="I47" s="1614"/>
      <c r="J47" s="1613" t="e">
        <f>+J44/E40</f>
        <v>#REF!</v>
      </c>
      <c r="K47" s="1614"/>
      <c r="O47" s="27"/>
      <c r="P47" s="27"/>
      <c r="Q47" s="27"/>
      <c r="R47" s="27"/>
      <c r="S47" s="27"/>
      <c r="T47" s="27"/>
      <c r="U47" s="27"/>
      <c r="V47" s="27"/>
      <c r="W47" s="27"/>
    </row>
    <row r="48" spans="1:66" s="5" customFormat="1" ht="11.25" customHeight="1" thickBot="1">
      <c r="B48" s="760"/>
      <c r="C48" s="760"/>
      <c r="D48" s="760"/>
      <c r="E48" s="760"/>
      <c r="F48" s="761"/>
      <c r="G48" s="761"/>
      <c r="H48" s="761"/>
      <c r="I48" s="761"/>
      <c r="J48" s="761"/>
      <c r="K48" s="761"/>
      <c r="O48" s="27"/>
      <c r="P48" s="27"/>
      <c r="Q48" s="27"/>
      <c r="R48" s="27"/>
      <c r="S48" s="27"/>
      <c r="T48" s="27"/>
      <c r="U48" s="27"/>
      <c r="V48" s="27"/>
      <c r="W48" s="27"/>
    </row>
    <row r="49" spans="2:23" s="56" customFormat="1" ht="13.2" customHeight="1" thickBot="1">
      <c r="B49" s="55"/>
      <c r="C49" s="55"/>
      <c r="D49" s="55"/>
      <c r="E49" s="762" t="s">
        <v>25</v>
      </c>
      <c r="F49" s="762" t="s">
        <v>26</v>
      </c>
      <c r="G49" s="762" t="s">
        <v>290</v>
      </c>
      <c r="I49" s="766"/>
      <c r="O49" s="57"/>
      <c r="P49" s="57"/>
      <c r="Q49" s="57"/>
      <c r="R49" s="57"/>
      <c r="S49" s="57"/>
      <c r="T49" s="57"/>
      <c r="U49" s="57"/>
      <c r="V49" s="57"/>
      <c r="W49" s="57"/>
    </row>
    <row r="50" spans="2:23" s="5" customFormat="1" ht="13.8" thickBot="1">
      <c r="B50" s="1615" t="s">
        <v>1812</v>
      </c>
      <c r="C50" s="1616"/>
      <c r="D50" s="1617"/>
      <c r="E50" s="763">
        <f>+F44</f>
        <v>883390.72204453999</v>
      </c>
      <c r="F50" s="763" t="e">
        <f>+G44</f>
        <v>#REF!</v>
      </c>
      <c r="G50" s="763" t="e">
        <f>+H44</f>
        <v>#REF!</v>
      </c>
      <c r="O50" s="27"/>
      <c r="P50" s="27"/>
      <c r="Q50" s="27"/>
      <c r="R50" s="27"/>
      <c r="S50" s="27"/>
      <c r="T50" s="27"/>
      <c r="U50" s="27"/>
      <c r="V50" s="27"/>
      <c r="W50" s="27"/>
    </row>
    <row r="51" spans="2:23" s="5" customFormat="1" ht="11.25" customHeight="1" thickBot="1">
      <c r="B51" s="1615" t="s">
        <v>92</v>
      </c>
      <c r="C51" s="1616"/>
      <c r="D51" s="1617"/>
      <c r="E51" s="102">
        <f>+E50/E40</f>
        <v>0.73029860519317036</v>
      </c>
      <c r="F51" s="102" t="e">
        <f>+F50/E40</f>
        <v>#REF!</v>
      </c>
      <c r="G51" s="102" t="e">
        <f>+G50/E40</f>
        <v>#REF!</v>
      </c>
      <c r="O51" s="27"/>
      <c r="P51" s="27"/>
      <c r="Q51" s="27"/>
      <c r="R51" s="27"/>
      <c r="S51" s="27"/>
      <c r="T51" s="27"/>
      <c r="U51" s="27"/>
      <c r="V51" s="27"/>
      <c r="W51" s="27"/>
    </row>
    <row r="52" spans="2:23" s="5" customFormat="1" ht="13.2" hidden="1" customHeight="1">
      <c r="B52" s="41"/>
      <c r="C52" s="42"/>
      <c r="D52" s="41"/>
      <c r="E52" s="43"/>
      <c r="O52" s="27"/>
      <c r="P52" s="27"/>
      <c r="Q52" s="27"/>
      <c r="R52" s="27"/>
      <c r="S52" s="27"/>
      <c r="T52" s="27"/>
      <c r="U52" s="27"/>
      <c r="V52" s="27"/>
      <c r="W52" s="27"/>
    </row>
    <row r="53" spans="2:23" ht="11.25" customHeight="1"/>
    <row r="54" spans="2:23" ht="11.25" customHeight="1"/>
  </sheetData>
  <mergeCells count="48">
    <mergeCell ref="H47:I47"/>
    <mergeCell ref="J47:K47"/>
    <mergeCell ref="B50:D50"/>
    <mergeCell ref="B51:D51"/>
    <mergeCell ref="C35:K35"/>
    <mergeCell ref="C40:D40"/>
    <mergeCell ref="C41:D41"/>
    <mergeCell ref="C42:D42"/>
    <mergeCell ref="C43:D43"/>
    <mergeCell ref="B44:D44"/>
    <mergeCell ref="B47:E47"/>
    <mergeCell ref="J36:K37"/>
    <mergeCell ref="H37:I37"/>
    <mergeCell ref="F38:F39"/>
    <mergeCell ref="G38:G39"/>
    <mergeCell ref="H38:H39"/>
    <mergeCell ref="I38:I39"/>
    <mergeCell ref="J38:J39"/>
    <mergeCell ref="K38:K39"/>
    <mergeCell ref="B20:D20"/>
    <mergeCell ref="B31:D31"/>
    <mergeCell ref="B36:B39"/>
    <mergeCell ref="C36:D39"/>
    <mergeCell ref="E36:E39"/>
    <mergeCell ref="F36:I36"/>
    <mergeCell ref="H14:H15"/>
    <mergeCell ref="I14:I15"/>
    <mergeCell ref="J14:J15"/>
    <mergeCell ref="K14:K15"/>
    <mergeCell ref="J12:J13"/>
    <mergeCell ref="B14:B15"/>
    <mergeCell ref="C14:D15"/>
    <mergeCell ref="E14:E15"/>
    <mergeCell ref="F14:F15"/>
    <mergeCell ref="G14:G15"/>
    <mergeCell ref="B2:N2"/>
    <mergeCell ref="E4:I4"/>
    <mergeCell ref="B10:B13"/>
    <mergeCell ref="C10:D13"/>
    <mergeCell ref="E10:E13"/>
    <mergeCell ref="F10:I10"/>
    <mergeCell ref="J10:K11"/>
    <mergeCell ref="H11:I11"/>
    <mergeCell ref="F12:F13"/>
    <mergeCell ref="G12:G13"/>
    <mergeCell ref="H12:H13"/>
    <mergeCell ref="I12:I13"/>
    <mergeCell ref="K12:K1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baseColWidth="10" defaultRowHeight="13.2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C00000"/>
  </sheetPr>
  <dimension ref="A1:AA69"/>
  <sheetViews>
    <sheetView workbookViewId="0"/>
  </sheetViews>
  <sheetFormatPr baseColWidth="10" defaultRowHeight="13.8"/>
  <cols>
    <col min="1" max="1" width="10.109375" style="327" customWidth="1"/>
    <col min="2" max="2" width="62.5546875" style="327" customWidth="1"/>
    <col min="3" max="3" width="6.6640625" style="327" customWidth="1"/>
    <col min="4" max="4" width="8.5546875" style="327" customWidth="1"/>
    <col min="5" max="5" width="7.6640625" style="327" bestFit="1" customWidth="1"/>
    <col min="6" max="6" width="7.109375" style="327" customWidth="1"/>
    <col min="7" max="7" width="9.88671875" style="327" customWidth="1"/>
    <col min="8" max="8" width="7" style="327" customWidth="1"/>
    <col min="9" max="9" width="9.6640625" style="405" customWidth="1"/>
    <col min="10" max="10" width="10.109375" style="406" customWidth="1"/>
    <col min="11" max="11" width="14.88671875" style="327" customWidth="1"/>
    <col min="12" max="256" width="11.44140625" style="326"/>
    <col min="257" max="257" width="10.109375" style="326" customWidth="1"/>
    <col min="258" max="258" width="62.5546875" style="326" customWidth="1"/>
    <col min="259" max="259" width="6.6640625" style="326" customWidth="1"/>
    <col min="260" max="260" width="8.5546875" style="326" customWidth="1"/>
    <col min="261" max="261" width="7.6640625" style="326" bestFit="1" customWidth="1"/>
    <col min="262" max="262" width="7.109375" style="326" customWidth="1"/>
    <col min="263" max="263" width="9.88671875" style="326" customWidth="1"/>
    <col min="264" max="264" width="7" style="326" customWidth="1"/>
    <col min="265" max="265" width="9.6640625" style="326" customWidth="1"/>
    <col min="266" max="266" width="10.109375" style="326" customWidth="1"/>
    <col min="267" max="267" width="14.88671875" style="326" customWidth="1"/>
    <col min="268" max="512" width="11.44140625" style="326"/>
    <col min="513" max="513" width="10.109375" style="326" customWidth="1"/>
    <col min="514" max="514" width="62.5546875" style="326" customWidth="1"/>
    <col min="515" max="515" width="6.6640625" style="326" customWidth="1"/>
    <col min="516" max="516" width="8.5546875" style="326" customWidth="1"/>
    <col min="517" max="517" width="7.6640625" style="326" bestFit="1" customWidth="1"/>
    <col min="518" max="518" width="7.109375" style="326" customWidth="1"/>
    <col min="519" max="519" width="9.88671875" style="326" customWidth="1"/>
    <col min="520" max="520" width="7" style="326" customWidth="1"/>
    <col min="521" max="521" width="9.6640625" style="326" customWidth="1"/>
    <col min="522" max="522" width="10.109375" style="326" customWidth="1"/>
    <col min="523" max="523" width="14.88671875" style="326" customWidth="1"/>
    <col min="524" max="768" width="11.44140625" style="326"/>
    <col min="769" max="769" width="10.109375" style="326" customWidth="1"/>
    <col min="770" max="770" width="62.5546875" style="326" customWidth="1"/>
    <col min="771" max="771" width="6.6640625" style="326" customWidth="1"/>
    <col min="772" max="772" width="8.5546875" style="326" customWidth="1"/>
    <col min="773" max="773" width="7.6640625" style="326" bestFit="1" customWidth="1"/>
    <col min="774" max="774" width="7.109375" style="326" customWidth="1"/>
    <col min="775" max="775" width="9.88671875" style="326" customWidth="1"/>
    <col min="776" max="776" width="7" style="326" customWidth="1"/>
    <col min="777" max="777" width="9.6640625" style="326" customWidth="1"/>
    <col min="778" max="778" width="10.109375" style="326" customWidth="1"/>
    <col min="779" max="779" width="14.88671875" style="326" customWidth="1"/>
    <col min="780" max="1024" width="11.44140625" style="326"/>
    <col min="1025" max="1025" width="10.109375" style="326" customWidth="1"/>
    <col min="1026" max="1026" width="62.5546875" style="326" customWidth="1"/>
    <col min="1027" max="1027" width="6.6640625" style="326" customWidth="1"/>
    <col min="1028" max="1028" width="8.5546875" style="326" customWidth="1"/>
    <col min="1029" max="1029" width="7.6640625" style="326" bestFit="1" customWidth="1"/>
    <col min="1030" max="1030" width="7.109375" style="326" customWidth="1"/>
    <col min="1031" max="1031" width="9.88671875" style="326" customWidth="1"/>
    <col min="1032" max="1032" width="7" style="326" customWidth="1"/>
    <col min="1033" max="1033" width="9.6640625" style="326" customWidth="1"/>
    <col min="1034" max="1034" width="10.109375" style="326" customWidth="1"/>
    <col min="1035" max="1035" width="14.88671875" style="326" customWidth="1"/>
    <col min="1036" max="1280" width="11.44140625" style="326"/>
    <col min="1281" max="1281" width="10.109375" style="326" customWidth="1"/>
    <col min="1282" max="1282" width="62.5546875" style="326" customWidth="1"/>
    <col min="1283" max="1283" width="6.6640625" style="326" customWidth="1"/>
    <col min="1284" max="1284" width="8.5546875" style="326" customWidth="1"/>
    <col min="1285" max="1285" width="7.6640625" style="326" bestFit="1" customWidth="1"/>
    <col min="1286" max="1286" width="7.109375" style="326" customWidth="1"/>
    <col min="1287" max="1287" width="9.88671875" style="326" customWidth="1"/>
    <col min="1288" max="1288" width="7" style="326" customWidth="1"/>
    <col min="1289" max="1289" width="9.6640625" style="326" customWidth="1"/>
    <col min="1290" max="1290" width="10.109375" style="326" customWidth="1"/>
    <col min="1291" max="1291" width="14.88671875" style="326" customWidth="1"/>
    <col min="1292" max="1536" width="11.44140625" style="326"/>
    <col min="1537" max="1537" width="10.109375" style="326" customWidth="1"/>
    <col min="1538" max="1538" width="62.5546875" style="326" customWidth="1"/>
    <col min="1539" max="1539" width="6.6640625" style="326" customWidth="1"/>
    <col min="1540" max="1540" width="8.5546875" style="326" customWidth="1"/>
    <col min="1541" max="1541" width="7.6640625" style="326" bestFit="1" customWidth="1"/>
    <col min="1542" max="1542" width="7.109375" style="326" customWidth="1"/>
    <col min="1543" max="1543" width="9.88671875" style="326" customWidth="1"/>
    <col min="1544" max="1544" width="7" style="326" customWidth="1"/>
    <col min="1545" max="1545" width="9.6640625" style="326" customWidth="1"/>
    <col min="1546" max="1546" width="10.109375" style="326" customWidth="1"/>
    <col min="1547" max="1547" width="14.88671875" style="326" customWidth="1"/>
    <col min="1548" max="1792" width="11.44140625" style="326"/>
    <col min="1793" max="1793" width="10.109375" style="326" customWidth="1"/>
    <col min="1794" max="1794" width="62.5546875" style="326" customWidth="1"/>
    <col min="1795" max="1795" width="6.6640625" style="326" customWidth="1"/>
    <col min="1796" max="1796" width="8.5546875" style="326" customWidth="1"/>
    <col min="1797" max="1797" width="7.6640625" style="326" bestFit="1" customWidth="1"/>
    <col min="1798" max="1798" width="7.109375" style="326" customWidth="1"/>
    <col min="1799" max="1799" width="9.88671875" style="326" customWidth="1"/>
    <col min="1800" max="1800" width="7" style="326" customWidth="1"/>
    <col min="1801" max="1801" width="9.6640625" style="326" customWidth="1"/>
    <col min="1802" max="1802" width="10.109375" style="326" customWidth="1"/>
    <col min="1803" max="1803" width="14.88671875" style="326" customWidth="1"/>
    <col min="1804" max="2048" width="11.44140625" style="326"/>
    <col min="2049" max="2049" width="10.109375" style="326" customWidth="1"/>
    <col min="2050" max="2050" width="62.5546875" style="326" customWidth="1"/>
    <col min="2051" max="2051" width="6.6640625" style="326" customWidth="1"/>
    <col min="2052" max="2052" width="8.5546875" style="326" customWidth="1"/>
    <col min="2053" max="2053" width="7.6640625" style="326" bestFit="1" customWidth="1"/>
    <col min="2054" max="2054" width="7.109375" style="326" customWidth="1"/>
    <col min="2055" max="2055" width="9.88671875" style="326" customWidth="1"/>
    <col min="2056" max="2056" width="7" style="326" customWidth="1"/>
    <col min="2057" max="2057" width="9.6640625" style="326" customWidth="1"/>
    <col min="2058" max="2058" width="10.109375" style="326" customWidth="1"/>
    <col min="2059" max="2059" width="14.88671875" style="326" customWidth="1"/>
    <col min="2060" max="2304" width="11.44140625" style="326"/>
    <col min="2305" max="2305" width="10.109375" style="326" customWidth="1"/>
    <col min="2306" max="2306" width="62.5546875" style="326" customWidth="1"/>
    <col min="2307" max="2307" width="6.6640625" style="326" customWidth="1"/>
    <col min="2308" max="2308" width="8.5546875" style="326" customWidth="1"/>
    <col min="2309" max="2309" width="7.6640625" style="326" bestFit="1" customWidth="1"/>
    <col min="2310" max="2310" width="7.109375" style="326" customWidth="1"/>
    <col min="2311" max="2311" width="9.88671875" style="326" customWidth="1"/>
    <col min="2312" max="2312" width="7" style="326" customWidth="1"/>
    <col min="2313" max="2313" width="9.6640625" style="326" customWidth="1"/>
    <col min="2314" max="2314" width="10.109375" style="326" customWidth="1"/>
    <col min="2315" max="2315" width="14.88671875" style="326" customWidth="1"/>
    <col min="2316" max="2560" width="11.44140625" style="326"/>
    <col min="2561" max="2561" width="10.109375" style="326" customWidth="1"/>
    <col min="2562" max="2562" width="62.5546875" style="326" customWidth="1"/>
    <col min="2563" max="2563" width="6.6640625" style="326" customWidth="1"/>
    <col min="2564" max="2564" width="8.5546875" style="326" customWidth="1"/>
    <col min="2565" max="2565" width="7.6640625" style="326" bestFit="1" customWidth="1"/>
    <col min="2566" max="2566" width="7.109375" style="326" customWidth="1"/>
    <col min="2567" max="2567" width="9.88671875" style="326" customWidth="1"/>
    <col min="2568" max="2568" width="7" style="326" customWidth="1"/>
    <col min="2569" max="2569" width="9.6640625" style="326" customWidth="1"/>
    <col min="2570" max="2570" width="10.109375" style="326" customWidth="1"/>
    <col min="2571" max="2571" width="14.88671875" style="326" customWidth="1"/>
    <col min="2572" max="2816" width="11.44140625" style="326"/>
    <col min="2817" max="2817" width="10.109375" style="326" customWidth="1"/>
    <col min="2818" max="2818" width="62.5546875" style="326" customWidth="1"/>
    <col min="2819" max="2819" width="6.6640625" style="326" customWidth="1"/>
    <col min="2820" max="2820" width="8.5546875" style="326" customWidth="1"/>
    <col min="2821" max="2821" width="7.6640625" style="326" bestFit="1" customWidth="1"/>
    <col min="2822" max="2822" width="7.109375" style="326" customWidth="1"/>
    <col min="2823" max="2823" width="9.88671875" style="326" customWidth="1"/>
    <col min="2824" max="2824" width="7" style="326" customWidth="1"/>
    <col min="2825" max="2825" width="9.6640625" style="326" customWidth="1"/>
    <col min="2826" max="2826" width="10.109375" style="326" customWidth="1"/>
    <col min="2827" max="2827" width="14.88671875" style="326" customWidth="1"/>
    <col min="2828" max="3072" width="11.44140625" style="326"/>
    <col min="3073" max="3073" width="10.109375" style="326" customWidth="1"/>
    <col min="3074" max="3074" width="62.5546875" style="326" customWidth="1"/>
    <col min="3075" max="3075" width="6.6640625" style="326" customWidth="1"/>
    <col min="3076" max="3076" width="8.5546875" style="326" customWidth="1"/>
    <col min="3077" max="3077" width="7.6640625" style="326" bestFit="1" customWidth="1"/>
    <col min="3078" max="3078" width="7.109375" style="326" customWidth="1"/>
    <col min="3079" max="3079" width="9.88671875" style="326" customWidth="1"/>
    <col min="3080" max="3080" width="7" style="326" customWidth="1"/>
    <col min="3081" max="3081" width="9.6640625" style="326" customWidth="1"/>
    <col min="3082" max="3082" width="10.109375" style="326" customWidth="1"/>
    <col min="3083" max="3083" width="14.88671875" style="326" customWidth="1"/>
    <col min="3084" max="3328" width="11.44140625" style="326"/>
    <col min="3329" max="3329" width="10.109375" style="326" customWidth="1"/>
    <col min="3330" max="3330" width="62.5546875" style="326" customWidth="1"/>
    <col min="3331" max="3331" width="6.6640625" style="326" customWidth="1"/>
    <col min="3332" max="3332" width="8.5546875" style="326" customWidth="1"/>
    <col min="3333" max="3333" width="7.6640625" style="326" bestFit="1" customWidth="1"/>
    <col min="3334" max="3334" width="7.109375" style="326" customWidth="1"/>
    <col min="3335" max="3335" width="9.88671875" style="326" customWidth="1"/>
    <col min="3336" max="3336" width="7" style="326" customWidth="1"/>
    <col min="3337" max="3337" width="9.6640625" style="326" customWidth="1"/>
    <col min="3338" max="3338" width="10.109375" style="326" customWidth="1"/>
    <col min="3339" max="3339" width="14.88671875" style="326" customWidth="1"/>
    <col min="3340" max="3584" width="11.44140625" style="326"/>
    <col min="3585" max="3585" width="10.109375" style="326" customWidth="1"/>
    <col min="3586" max="3586" width="62.5546875" style="326" customWidth="1"/>
    <col min="3587" max="3587" width="6.6640625" style="326" customWidth="1"/>
    <col min="3588" max="3588" width="8.5546875" style="326" customWidth="1"/>
    <col min="3589" max="3589" width="7.6640625" style="326" bestFit="1" customWidth="1"/>
    <col min="3590" max="3590" width="7.109375" style="326" customWidth="1"/>
    <col min="3591" max="3591" width="9.88671875" style="326" customWidth="1"/>
    <col min="3592" max="3592" width="7" style="326" customWidth="1"/>
    <col min="3593" max="3593" width="9.6640625" style="326" customWidth="1"/>
    <col min="3594" max="3594" width="10.109375" style="326" customWidth="1"/>
    <col min="3595" max="3595" width="14.88671875" style="326" customWidth="1"/>
    <col min="3596" max="3840" width="11.44140625" style="326"/>
    <col min="3841" max="3841" width="10.109375" style="326" customWidth="1"/>
    <col min="3842" max="3842" width="62.5546875" style="326" customWidth="1"/>
    <col min="3843" max="3843" width="6.6640625" style="326" customWidth="1"/>
    <col min="3844" max="3844" width="8.5546875" style="326" customWidth="1"/>
    <col min="3845" max="3845" width="7.6640625" style="326" bestFit="1" customWidth="1"/>
    <col min="3846" max="3846" width="7.109375" style="326" customWidth="1"/>
    <col min="3847" max="3847" width="9.88671875" style="326" customWidth="1"/>
    <col min="3848" max="3848" width="7" style="326" customWidth="1"/>
    <col min="3849" max="3849" width="9.6640625" style="326" customWidth="1"/>
    <col min="3850" max="3850" width="10.109375" style="326" customWidth="1"/>
    <col min="3851" max="3851" width="14.88671875" style="326" customWidth="1"/>
    <col min="3852" max="4096" width="11.44140625" style="326"/>
    <col min="4097" max="4097" width="10.109375" style="326" customWidth="1"/>
    <col min="4098" max="4098" width="62.5546875" style="326" customWidth="1"/>
    <col min="4099" max="4099" width="6.6640625" style="326" customWidth="1"/>
    <col min="4100" max="4100" width="8.5546875" style="326" customWidth="1"/>
    <col min="4101" max="4101" width="7.6640625" style="326" bestFit="1" customWidth="1"/>
    <col min="4102" max="4102" width="7.109375" style="326" customWidth="1"/>
    <col min="4103" max="4103" width="9.88671875" style="326" customWidth="1"/>
    <col min="4104" max="4104" width="7" style="326" customWidth="1"/>
    <col min="4105" max="4105" width="9.6640625" style="326" customWidth="1"/>
    <col min="4106" max="4106" width="10.109375" style="326" customWidth="1"/>
    <col min="4107" max="4107" width="14.88671875" style="326" customWidth="1"/>
    <col min="4108" max="4352" width="11.44140625" style="326"/>
    <col min="4353" max="4353" width="10.109375" style="326" customWidth="1"/>
    <col min="4354" max="4354" width="62.5546875" style="326" customWidth="1"/>
    <col min="4355" max="4355" width="6.6640625" style="326" customWidth="1"/>
    <col min="4356" max="4356" width="8.5546875" style="326" customWidth="1"/>
    <col min="4357" max="4357" width="7.6640625" style="326" bestFit="1" customWidth="1"/>
    <col min="4358" max="4358" width="7.109375" style="326" customWidth="1"/>
    <col min="4359" max="4359" width="9.88671875" style="326" customWidth="1"/>
    <col min="4360" max="4360" width="7" style="326" customWidth="1"/>
    <col min="4361" max="4361" width="9.6640625" style="326" customWidth="1"/>
    <col min="4362" max="4362" width="10.109375" style="326" customWidth="1"/>
    <col min="4363" max="4363" width="14.88671875" style="326" customWidth="1"/>
    <col min="4364" max="4608" width="11.44140625" style="326"/>
    <col min="4609" max="4609" width="10.109375" style="326" customWidth="1"/>
    <col min="4610" max="4610" width="62.5546875" style="326" customWidth="1"/>
    <col min="4611" max="4611" width="6.6640625" style="326" customWidth="1"/>
    <col min="4612" max="4612" width="8.5546875" style="326" customWidth="1"/>
    <col min="4613" max="4613" width="7.6640625" style="326" bestFit="1" customWidth="1"/>
    <col min="4614" max="4614" width="7.109375" style="326" customWidth="1"/>
    <col min="4615" max="4615" width="9.88671875" style="326" customWidth="1"/>
    <col min="4616" max="4616" width="7" style="326" customWidth="1"/>
    <col min="4617" max="4617" width="9.6640625" style="326" customWidth="1"/>
    <col min="4618" max="4618" width="10.109375" style="326" customWidth="1"/>
    <col min="4619" max="4619" width="14.88671875" style="326" customWidth="1"/>
    <col min="4620" max="4864" width="11.44140625" style="326"/>
    <col min="4865" max="4865" width="10.109375" style="326" customWidth="1"/>
    <col min="4866" max="4866" width="62.5546875" style="326" customWidth="1"/>
    <col min="4867" max="4867" width="6.6640625" style="326" customWidth="1"/>
    <col min="4868" max="4868" width="8.5546875" style="326" customWidth="1"/>
    <col min="4869" max="4869" width="7.6640625" style="326" bestFit="1" customWidth="1"/>
    <col min="4870" max="4870" width="7.109375" style="326" customWidth="1"/>
    <col min="4871" max="4871" width="9.88671875" style="326" customWidth="1"/>
    <col min="4872" max="4872" width="7" style="326" customWidth="1"/>
    <col min="4873" max="4873" width="9.6640625" style="326" customWidth="1"/>
    <col min="4874" max="4874" width="10.109375" style="326" customWidth="1"/>
    <col min="4875" max="4875" width="14.88671875" style="326" customWidth="1"/>
    <col min="4876" max="5120" width="11.44140625" style="326"/>
    <col min="5121" max="5121" width="10.109375" style="326" customWidth="1"/>
    <col min="5122" max="5122" width="62.5546875" style="326" customWidth="1"/>
    <col min="5123" max="5123" width="6.6640625" style="326" customWidth="1"/>
    <col min="5124" max="5124" width="8.5546875" style="326" customWidth="1"/>
    <col min="5125" max="5125" width="7.6640625" style="326" bestFit="1" customWidth="1"/>
    <col min="5126" max="5126" width="7.109375" style="326" customWidth="1"/>
    <col min="5127" max="5127" width="9.88671875" style="326" customWidth="1"/>
    <col min="5128" max="5128" width="7" style="326" customWidth="1"/>
    <col min="5129" max="5129" width="9.6640625" style="326" customWidth="1"/>
    <col min="5130" max="5130" width="10.109375" style="326" customWidth="1"/>
    <col min="5131" max="5131" width="14.88671875" style="326" customWidth="1"/>
    <col min="5132" max="5376" width="11.44140625" style="326"/>
    <col min="5377" max="5377" width="10.109375" style="326" customWidth="1"/>
    <col min="5378" max="5378" width="62.5546875" style="326" customWidth="1"/>
    <col min="5379" max="5379" width="6.6640625" style="326" customWidth="1"/>
    <col min="5380" max="5380" width="8.5546875" style="326" customWidth="1"/>
    <col min="5381" max="5381" width="7.6640625" style="326" bestFit="1" customWidth="1"/>
    <col min="5382" max="5382" width="7.109375" style="326" customWidth="1"/>
    <col min="5383" max="5383" width="9.88671875" style="326" customWidth="1"/>
    <col min="5384" max="5384" width="7" style="326" customWidth="1"/>
    <col min="5385" max="5385" width="9.6640625" style="326" customWidth="1"/>
    <col min="5386" max="5386" width="10.109375" style="326" customWidth="1"/>
    <col min="5387" max="5387" width="14.88671875" style="326" customWidth="1"/>
    <col min="5388" max="5632" width="11.44140625" style="326"/>
    <col min="5633" max="5633" width="10.109375" style="326" customWidth="1"/>
    <col min="5634" max="5634" width="62.5546875" style="326" customWidth="1"/>
    <col min="5635" max="5635" width="6.6640625" style="326" customWidth="1"/>
    <col min="5636" max="5636" width="8.5546875" style="326" customWidth="1"/>
    <col min="5637" max="5637" width="7.6640625" style="326" bestFit="1" customWidth="1"/>
    <col min="5638" max="5638" width="7.109375" style="326" customWidth="1"/>
    <col min="5639" max="5639" width="9.88671875" style="326" customWidth="1"/>
    <col min="5640" max="5640" width="7" style="326" customWidth="1"/>
    <col min="5641" max="5641" width="9.6640625" style="326" customWidth="1"/>
    <col min="5642" max="5642" width="10.109375" style="326" customWidth="1"/>
    <col min="5643" max="5643" width="14.88671875" style="326" customWidth="1"/>
    <col min="5644" max="5888" width="11.44140625" style="326"/>
    <col min="5889" max="5889" width="10.109375" style="326" customWidth="1"/>
    <col min="5890" max="5890" width="62.5546875" style="326" customWidth="1"/>
    <col min="5891" max="5891" width="6.6640625" style="326" customWidth="1"/>
    <col min="5892" max="5892" width="8.5546875" style="326" customWidth="1"/>
    <col min="5893" max="5893" width="7.6640625" style="326" bestFit="1" customWidth="1"/>
    <col min="5894" max="5894" width="7.109375" style="326" customWidth="1"/>
    <col min="5895" max="5895" width="9.88671875" style="326" customWidth="1"/>
    <col min="5896" max="5896" width="7" style="326" customWidth="1"/>
    <col min="5897" max="5897" width="9.6640625" style="326" customWidth="1"/>
    <col min="5898" max="5898" width="10.109375" style="326" customWidth="1"/>
    <col min="5899" max="5899" width="14.88671875" style="326" customWidth="1"/>
    <col min="5900" max="6144" width="11.44140625" style="326"/>
    <col min="6145" max="6145" width="10.109375" style="326" customWidth="1"/>
    <col min="6146" max="6146" width="62.5546875" style="326" customWidth="1"/>
    <col min="6147" max="6147" width="6.6640625" style="326" customWidth="1"/>
    <col min="6148" max="6148" width="8.5546875" style="326" customWidth="1"/>
    <col min="6149" max="6149" width="7.6640625" style="326" bestFit="1" customWidth="1"/>
    <col min="6150" max="6150" width="7.109375" style="326" customWidth="1"/>
    <col min="6151" max="6151" width="9.88671875" style="326" customWidth="1"/>
    <col min="6152" max="6152" width="7" style="326" customWidth="1"/>
    <col min="6153" max="6153" width="9.6640625" style="326" customWidth="1"/>
    <col min="6154" max="6154" width="10.109375" style="326" customWidth="1"/>
    <col min="6155" max="6155" width="14.88671875" style="326" customWidth="1"/>
    <col min="6156" max="6400" width="11.44140625" style="326"/>
    <col min="6401" max="6401" width="10.109375" style="326" customWidth="1"/>
    <col min="6402" max="6402" width="62.5546875" style="326" customWidth="1"/>
    <col min="6403" max="6403" width="6.6640625" style="326" customWidth="1"/>
    <col min="6404" max="6404" width="8.5546875" style="326" customWidth="1"/>
    <col min="6405" max="6405" width="7.6640625" style="326" bestFit="1" customWidth="1"/>
    <col min="6406" max="6406" width="7.109375" style="326" customWidth="1"/>
    <col min="6407" max="6407" width="9.88671875" style="326" customWidth="1"/>
    <col min="6408" max="6408" width="7" style="326" customWidth="1"/>
    <col min="6409" max="6409" width="9.6640625" style="326" customWidth="1"/>
    <col min="6410" max="6410" width="10.109375" style="326" customWidth="1"/>
    <col min="6411" max="6411" width="14.88671875" style="326" customWidth="1"/>
    <col min="6412" max="6656" width="11.44140625" style="326"/>
    <col min="6657" max="6657" width="10.109375" style="326" customWidth="1"/>
    <col min="6658" max="6658" width="62.5546875" style="326" customWidth="1"/>
    <col min="6659" max="6659" width="6.6640625" style="326" customWidth="1"/>
    <col min="6660" max="6660" width="8.5546875" style="326" customWidth="1"/>
    <col min="6661" max="6661" width="7.6640625" style="326" bestFit="1" customWidth="1"/>
    <col min="6662" max="6662" width="7.109375" style="326" customWidth="1"/>
    <col min="6663" max="6663" width="9.88671875" style="326" customWidth="1"/>
    <col min="6664" max="6664" width="7" style="326" customWidth="1"/>
    <col min="6665" max="6665" width="9.6640625" style="326" customWidth="1"/>
    <col min="6666" max="6666" width="10.109375" style="326" customWidth="1"/>
    <col min="6667" max="6667" width="14.88671875" style="326" customWidth="1"/>
    <col min="6668" max="6912" width="11.44140625" style="326"/>
    <col min="6913" max="6913" width="10.109375" style="326" customWidth="1"/>
    <col min="6914" max="6914" width="62.5546875" style="326" customWidth="1"/>
    <col min="6915" max="6915" width="6.6640625" style="326" customWidth="1"/>
    <col min="6916" max="6916" width="8.5546875" style="326" customWidth="1"/>
    <col min="6917" max="6917" width="7.6640625" style="326" bestFit="1" customWidth="1"/>
    <col min="6918" max="6918" width="7.109375" style="326" customWidth="1"/>
    <col min="6919" max="6919" width="9.88671875" style="326" customWidth="1"/>
    <col min="6920" max="6920" width="7" style="326" customWidth="1"/>
    <col min="6921" max="6921" width="9.6640625" style="326" customWidth="1"/>
    <col min="6922" max="6922" width="10.109375" style="326" customWidth="1"/>
    <col min="6923" max="6923" width="14.88671875" style="326" customWidth="1"/>
    <col min="6924" max="7168" width="11.44140625" style="326"/>
    <col min="7169" max="7169" width="10.109375" style="326" customWidth="1"/>
    <col min="7170" max="7170" width="62.5546875" style="326" customWidth="1"/>
    <col min="7171" max="7171" width="6.6640625" style="326" customWidth="1"/>
    <col min="7172" max="7172" width="8.5546875" style="326" customWidth="1"/>
    <col min="7173" max="7173" width="7.6640625" style="326" bestFit="1" customWidth="1"/>
    <col min="7174" max="7174" width="7.109375" style="326" customWidth="1"/>
    <col min="7175" max="7175" width="9.88671875" style="326" customWidth="1"/>
    <col min="7176" max="7176" width="7" style="326" customWidth="1"/>
    <col min="7177" max="7177" width="9.6640625" style="326" customWidth="1"/>
    <col min="7178" max="7178" width="10.109375" style="326" customWidth="1"/>
    <col min="7179" max="7179" width="14.88671875" style="326" customWidth="1"/>
    <col min="7180" max="7424" width="11.44140625" style="326"/>
    <col min="7425" max="7425" width="10.109375" style="326" customWidth="1"/>
    <col min="7426" max="7426" width="62.5546875" style="326" customWidth="1"/>
    <col min="7427" max="7427" width="6.6640625" style="326" customWidth="1"/>
    <col min="7428" max="7428" width="8.5546875" style="326" customWidth="1"/>
    <col min="7429" max="7429" width="7.6640625" style="326" bestFit="1" customWidth="1"/>
    <col min="7430" max="7430" width="7.109375" style="326" customWidth="1"/>
    <col min="7431" max="7431" width="9.88671875" style="326" customWidth="1"/>
    <col min="7432" max="7432" width="7" style="326" customWidth="1"/>
    <col min="7433" max="7433" width="9.6640625" style="326" customWidth="1"/>
    <col min="7434" max="7434" width="10.109375" style="326" customWidth="1"/>
    <col min="7435" max="7435" width="14.88671875" style="326" customWidth="1"/>
    <col min="7436" max="7680" width="11.44140625" style="326"/>
    <col min="7681" max="7681" width="10.109375" style="326" customWidth="1"/>
    <col min="7682" max="7682" width="62.5546875" style="326" customWidth="1"/>
    <col min="7683" max="7683" width="6.6640625" style="326" customWidth="1"/>
    <col min="7684" max="7684" width="8.5546875" style="326" customWidth="1"/>
    <col min="7685" max="7685" width="7.6640625" style="326" bestFit="1" customWidth="1"/>
    <col min="7686" max="7686" width="7.109375" style="326" customWidth="1"/>
    <col min="7687" max="7687" width="9.88671875" style="326" customWidth="1"/>
    <col min="7688" max="7688" width="7" style="326" customWidth="1"/>
    <col min="7689" max="7689" width="9.6640625" style="326" customWidth="1"/>
    <col min="7690" max="7690" width="10.109375" style="326" customWidth="1"/>
    <col min="7691" max="7691" width="14.88671875" style="326" customWidth="1"/>
    <col min="7692" max="7936" width="11.44140625" style="326"/>
    <col min="7937" max="7937" width="10.109375" style="326" customWidth="1"/>
    <col min="7938" max="7938" width="62.5546875" style="326" customWidth="1"/>
    <col min="7939" max="7939" width="6.6640625" style="326" customWidth="1"/>
    <col min="7940" max="7940" width="8.5546875" style="326" customWidth="1"/>
    <col min="7941" max="7941" width="7.6640625" style="326" bestFit="1" customWidth="1"/>
    <col min="7942" max="7942" width="7.109375" style="326" customWidth="1"/>
    <col min="7943" max="7943" width="9.88671875" style="326" customWidth="1"/>
    <col min="7944" max="7944" width="7" style="326" customWidth="1"/>
    <col min="7945" max="7945" width="9.6640625" style="326" customWidth="1"/>
    <col min="7946" max="7946" width="10.109375" style="326" customWidth="1"/>
    <col min="7947" max="7947" width="14.88671875" style="326" customWidth="1"/>
    <col min="7948" max="8192" width="11.44140625" style="326"/>
    <col min="8193" max="8193" width="10.109375" style="326" customWidth="1"/>
    <col min="8194" max="8194" width="62.5546875" style="326" customWidth="1"/>
    <col min="8195" max="8195" width="6.6640625" style="326" customWidth="1"/>
    <col min="8196" max="8196" width="8.5546875" style="326" customWidth="1"/>
    <col min="8197" max="8197" width="7.6640625" style="326" bestFit="1" customWidth="1"/>
    <col min="8198" max="8198" width="7.109375" style="326" customWidth="1"/>
    <col min="8199" max="8199" width="9.88671875" style="326" customWidth="1"/>
    <col min="8200" max="8200" width="7" style="326" customWidth="1"/>
    <col min="8201" max="8201" width="9.6640625" style="326" customWidth="1"/>
    <col min="8202" max="8202" width="10.109375" style="326" customWidth="1"/>
    <col min="8203" max="8203" width="14.88671875" style="326" customWidth="1"/>
    <col min="8204" max="8448" width="11.44140625" style="326"/>
    <col min="8449" max="8449" width="10.109375" style="326" customWidth="1"/>
    <col min="8450" max="8450" width="62.5546875" style="326" customWidth="1"/>
    <col min="8451" max="8451" width="6.6640625" style="326" customWidth="1"/>
    <col min="8452" max="8452" width="8.5546875" style="326" customWidth="1"/>
    <col min="8453" max="8453" width="7.6640625" style="326" bestFit="1" customWidth="1"/>
    <col min="8454" max="8454" width="7.109375" style="326" customWidth="1"/>
    <col min="8455" max="8455" width="9.88671875" style="326" customWidth="1"/>
    <col min="8456" max="8456" width="7" style="326" customWidth="1"/>
    <col min="8457" max="8457" width="9.6640625" style="326" customWidth="1"/>
    <col min="8458" max="8458" width="10.109375" style="326" customWidth="1"/>
    <col min="8459" max="8459" width="14.88671875" style="326" customWidth="1"/>
    <col min="8460" max="8704" width="11.44140625" style="326"/>
    <col min="8705" max="8705" width="10.109375" style="326" customWidth="1"/>
    <col min="8706" max="8706" width="62.5546875" style="326" customWidth="1"/>
    <col min="8707" max="8707" width="6.6640625" style="326" customWidth="1"/>
    <col min="8708" max="8708" width="8.5546875" style="326" customWidth="1"/>
    <col min="8709" max="8709" width="7.6640625" style="326" bestFit="1" customWidth="1"/>
    <col min="8710" max="8710" width="7.109375" style="326" customWidth="1"/>
    <col min="8711" max="8711" width="9.88671875" style="326" customWidth="1"/>
    <col min="8712" max="8712" width="7" style="326" customWidth="1"/>
    <col min="8713" max="8713" width="9.6640625" style="326" customWidth="1"/>
    <col min="8714" max="8714" width="10.109375" style="326" customWidth="1"/>
    <col min="8715" max="8715" width="14.88671875" style="326" customWidth="1"/>
    <col min="8716" max="8960" width="11.44140625" style="326"/>
    <col min="8961" max="8961" width="10.109375" style="326" customWidth="1"/>
    <col min="8962" max="8962" width="62.5546875" style="326" customWidth="1"/>
    <col min="8963" max="8963" width="6.6640625" style="326" customWidth="1"/>
    <col min="8964" max="8964" width="8.5546875" style="326" customWidth="1"/>
    <col min="8965" max="8965" width="7.6640625" style="326" bestFit="1" customWidth="1"/>
    <col min="8966" max="8966" width="7.109375" style="326" customWidth="1"/>
    <col min="8967" max="8967" width="9.88671875" style="326" customWidth="1"/>
    <col min="8968" max="8968" width="7" style="326" customWidth="1"/>
    <col min="8969" max="8969" width="9.6640625" style="326" customWidth="1"/>
    <col min="8970" max="8970" width="10.109375" style="326" customWidth="1"/>
    <col min="8971" max="8971" width="14.88671875" style="326" customWidth="1"/>
    <col min="8972" max="9216" width="11.44140625" style="326"/>
    <col min="9217" max="9217" width="10.109375" style="326" customWidth="1"/>
    <col min="9218" max="9218" width="62.5546875" style="326" customWidth="1"/>
    <col min="9219" max="9219" width="6.6640625" style="326" customWidth="1"/>
    <col min="9220" max="9220" width="8.5546875" style="326" customWidth="1"/>
    <col min="9221" max="9221" width="7.6640625" style="326" bestFit="1" customWidth="1"/>
    <col min="9222" max="9222" width="7.109375" style="326" customWidth="1"/>
    <col min="9223" max="9223" width="9.88671875" style="326" customWidth="1"/>
    <col min="9224" max="9224" width="7" style="326" customWidth="1"/>
    <col min="9225" max="9225" width="9.6640625" style="326" customWidth="1"/>
    <col min="9226" max="9226" width="10.109375" style="326" customWidth="1"/>
    <col min="9227" max="9227" width="14.88671875" style="326" customWidth="1"/>
    <col min="9228" max="9472" width="11.44140625" style="326"/>
    <col min="9473" max="9473" width="10.109375" style="326" customWidth="1"/>
    <col min="9474" max="9474" width="62.5546875" style="326" customWidth="1"/>
    <col min="9475" max="9475" width="6.6640625" style="326" customWidth="1"/>
    <col min="9476" max="9476" width="8.5546875" style="326" customWidth="1"/>
    <col min="9477" max="9477" width="7.6640625" style="326" bestFit="1" customWidth="1"/>
    <col min="9478" max="9478" width="7.109375" style="326" customWidth="1"/>
    <col min="9479" max="9479" width="9.88671875" style="326" customWidth="1"/>
    <col min="9480" max="9480" width="7" style="326" customWidth="1"/>
    <col min="9481" max="9481" width="9.6640625" style="326" customWidth="1"/>
    <col min="9482" max="9482" width="10.109375" style="326" customWidth="1"/>
    <col min="9483" max="9483" width="14.88671875" style="326" customWidth="1"/>
    <col min="9484" max="9728" width="11.44140625" style="326"/>
    <col min="9729" max="9729" width="10.109375" style="326" customWidth="1"/>
    <col min="9730" max="9730" width="62.5546875" style="326" customWidth="1"/>
    <col min="9731" max="9731" width="6.6640625" style="326" customWidth="1"/>
    <col min="9732" max="9732" width="8.5546875" style="326" customWidth="1"/>
    <col min="9733" max="9733" width="7.6640625" style="326" bestFit="1" customWidth="1"/>
    <col min="9734" max="9734" width="7.109375" style="326" customWidth="1"/>
    <col min="9735" max="9735" width="9.88671875" style="326" customWidth="1"/>
    <col min="9736" max="9736" width="7" style="326" customWidth="1"/>
    <col min="9737" max="9737" width="9.6640625" style="326" customWidth="1"/>
    <col min="9738" max="9738" width="10.109375" style="326" customWidth="1"/>
    <col min="9739" max="9739" width="14.88671875" style="326" customWidth="1"/>
    <col min="9740" max="9984" width="11.44140625" style="326"/>
    <col min="9985" max="9985" width="10.109375" style="326" customWidth="1"/>
    <col min="9986" max="9986" width="62.5546875" style="326" customWidth="1"/>
    <col min="9987" max="9987" width="6.6640625" style="326" customWidth="1"/>
    <col min="9988" max="9988" width="8.5546875" style="326" customWidth="1"/>
    <col min="9989" max="9989" width="7.6640625" style="326" bestFit="1" customWidth="1"/>
    <col min="9990" max="9990" width="7.109375" style="326" customWidth="1"/>
    <col min="9991" max="9991" width="9.88671875" style="326" customWidth="1"/>
    <col min="9992" max="9992" width="7" style="326" customWidth="1"/>
    <col min="9993" max="9993" width="9.6640625" style="326" customWidth="1"/>
    <col min="9994" max="9994" width="10.109375" style="326" customWidth="1"/>
    <col min="9995" max="9995" width="14.88671875" style="326" customWidth="1"/>
    <col min="9996" max="10240" width="11.44140625" style="326"/>
    <col min="10241" max="10241" width="10.109375" style="326" customWidth="1"/>
    <col min="10242" max="10242" width="62.5546875" style="326" customWidth="1"/>
    <col min="10243" max="10243" width="6.6640625" style="326" customWidth="1"/>
    <col min="10244" max="10244" width="8.5546875" style="326" customWidth="1"/>
    <col min="10245" max="10245" width="7.6640625" style="326" bestFit="1" customWidth="1"/>
    <col min="10246" max="10246" width="7.109375" style="326" customWidth="1"/>
    <col min="10247" max="10247" width="9.88671875" style="326" customWidth="1"/>
    <col min="10248" max="10248" width="7" style="326" customWidth="1"/>
    <col min="10249" max="10249" width="9.6640625" style="326" customWidth="1"/>
    <col min="10250" max="10250" width="10.109375" style="326" customWidth="1"/>
    <col min="10251" max="10251" width="14.88671875" style="326" customWidth="1"/>
    <col min="10252" max="10496" width="11.44140625" style="326"/>
    <col min="10497" max="10497" width="10.109375" style="326" customWidth="1"/>
    <col min="10498" max="10498" width="62.5546875" style="326" customWidth="1"/>
    <col min="10499" max="10499" width="6.6640625" style="326" customWidth="1"/>
    <col min="10500" max="10500" width="8.5546875" style="326" customWidth="1"/>
    <col min="10501" max="10501" width="7.6640625" style="326" bestFit="1" customWidth="1"/>
    <col min="10502" max="10502" width="7.109375" style="326" customWidth="1"/>
    <col min="10503" max="10503" width="9.88671875" style="326" customWidth="1"/>
    <col min="10504" max="10504" width="7" style="326" customWidth="1"/>
    <col min="10505" max="10505" width="9.6640625" style="326" customWidth="1"/>
    <col min="10506" max="10506" width="10.109375" style="326" customWidth="1"/>
    <col min="10507" max="10507" width="14.88671875" style="326" customWidth="1"/>
    <col min="10508" max="10752" width="11.44140625" style="326"/>
    <col min="10753" max="10753" width="10.109375" style="326" customWidth="1"/>
    <col min="10754" max="10754" width="62.5546875" style="326" customWidth="1"/>
    <col min="10755" max="10755" width="6.6640625" style="326" customWidth="1"/>
    <col min="10756" max="10756" width="8.5546875" style="326" customWidth="1"/>
    <col min="10757" max="10757" width="7.6640625" style="326" bestFit="1" customWidth="1"/>
    <col min="10758" max="10758" width="7.109375" style="326" customWidth="1"/>
    <col min="10759" max="10759" width="9.88671875" style="326" customWidth="1"/>
    <col min="10760" max="10760" width="7" style="326" customWidth="1"/>
    <col min="10761" max="10761" width="9.6640625" style="326" customWidth="1"/>
    <col min="10762" max="10762" width="10.109375" style="326" customWidth="1"/>
    <col min="10763" max="10763" width="14.88671875" style="326" customWidth="1"/>
    <col min="10764" max="11008" width="11.44140625" style="326"/>
    <col min="11009" max="11009" width="10.109375" style="326" customWidth="1"/>
    <col min="11010" max="11010" width="62.5546875" style="326" customWidth="1"/>
    <col min="11011" max="11011" width="6.6640625" style="326" customWidth="1"/>
    <col min="11012" max="11012" width="8.5546875" style="326" customWidth="1"/>
    <col min="11013" max="11013" width="7.6640625" style="326" bestFit="1" customWidth="1"/>
    <col min="11014" max="11014" width="7.109375" style="326" customWidth="1"/>
    <col min="11015" max="11015" width="9.88671875" style="326" customWidth="1"/>
    <col min="11016" max="11016" width="7" style="326" customWidth="1"/>
    <col min="11017" max="11017" width="9.6640625" style="326" customWidth="1"/>
    <col min="11018" max="11018" width="10.109375" style="326" customWidth="1"/>
    <col min="11019" max="11019" width="14.88671875" style="326" customWidth="1"/>
    <col min="11020" max="11264" width="11.44140625" style="326"/>
    <col min="11265" max="11265" width="10.109375" style="326" customWidth="1"/>
    <col min="11266" max="11266" width="62.5546875" style="326" customWidth="1"/>
    <col min="11267" max="11267" width="6.6640625" style="326" customWidth="1"/>
    <col min="11268" max="11268" width="8.5546875" style="326" customWidth="1"/>
    <col min="11269" max="11269" width="7.6640625" style="326" bestFit="1" customWidth="1"/>
    <col min="11270" max="11270" width="7.109375" style="326" customWidth="1"/>
    <col min="11271" max="11271" width="9.88671875" style="326" customWidth="1"/>
    <col min="11272" max="11272" width="7" style="326" customWidth="1"/>
    <col min="11273" max="11273" width="9.6640625" style="326" customWidth="1"/>
    <col min="11274" max="11274" width="10.109375" style="326" customWidth="1"/>
    <col min="11275" max="11275" width="14.88671875" style="326" customWidth="1"/>
    <col min="11276" max="11520" width="11.44140625" style="326"/>
    <col min="11521" max="11521" width="10.109375" style="326" customWidth="1"/>
    <col min="11522" max="11522" width="62.5546875" style="326" customWidth="1"/>
    <col min="11523" max="11523" width="6.6640625" style="326" customWidth="1"/>
    <col min="11524" max="11524" width="8.5546875" style="326" customWidth="1"/>
    <col min="11525" max="11525" width="7.6640625" style="326" bestFit="1" customWidth="1"/>
    <col min="11526" max="11526" width="7.109375" style="326" customWidth="1"/>
    <col min="11527" max="11527" width="9.88671875" style="326" customWidth="1"/>
    <col min="11528" max="11528" width="7" style="326" customWidth="1"/>
    <col min="11529" max="11529" width="9.6640625" style="326" customWidth="1"/>
    <col min="11530" max="11530" width="10.109375" style="326" customWidth="1"/>
    <col min="11531" max="11531" width="14.88671875" style="326" customWidth="1"/>
    <col min="11532" max="11776" width="11.44140625" style="326"/>
    <col min="11777" max="11777" width="10.109375" style="326" customWidth="1"/>
    <col min="11778" max="11778" width="62.5546875" style="326" customWidth="1"/>
    <col min="11779" max="11779" width="6.6640625" style="326" customWidth="1"/>
    <col min="11780" max="11780" width="8.5546875" style="326" customWidth="1"/>
    <col min="11781" max="11781" width="7.6640625" style="326" bestFit="1" customWidth="1"/>
    <col min="11782" max="11782" width="7.109375" style="326" customWidth="1"/>
    <col min="11783" max="11783" width="9.88671875" style="326" customWidth="1"/>
    <col min="11784" max="11784" width="7" style="326" customWidth="1"/>
    <col min="11785" max="11785" width="9.6640625" style="326" customWidth="1"/>
    <col min="11786" max="11786" width="10.109375" style="326" customWidth="1"/>
    <col min="11787" max="11787" width="14.88671875" style="326" customWidth="1"/>
    <col min="11788" max="12032" width="11.44140625" style="326"/>
    <col min="12033" max="12033" width="10.109375" style="326" customWidth="1"/>
    <col min="12034" max="12034" width="62.5546875" style="326" customWidth="1"/>
    <col min="12035" max="12035" width="6.6640625" style="326" customWidth="1"/>
    <col min="12036" max="12036" width="8.5546875" style="326" customWidth="1"/>
    <col min="12037" max="12037" width="7.6640625" style="326" bestFit="1" customWidth="1"/>
    <col min="12038" max="12038" width="7.109375" style="326" customWidth="1"/>
    <col min="12039" max="12039" width="9.88671875" style="326" customWidth="1"/>
    <col min="12040" max="12040" width="7" style="326" customWidth="1"/>
    <col min="12041" max="12041" width="9.6640625" style="326" customWidth="1"/>
    <col min="12042" max="12042" width="10.109375" style="326" customWidth="1"/>
    <col min="12043" max="12043" width="14.88671875" style="326" customWidth="1"/>
    <col min="12044" max="12288" width="11.44140625" style="326"/>
    <col min="12289" max="12289" width="10.109375" style="326" customWidth="1"/>
    <col min="12290" max="12290" width="62.5546875" style="326" customWidth="1"/>
    <col min="12291" max="12291" width="6.6640625" style="326" customWidth="1"/>
    <col min="12292" max="12292" width="8.5546875" style="326" customWidth="1"/>
    <col min="12293" max="12293" width="7.6640625" style="326" bestFit="1" customWidth="1"/>
    <col min="12294" max="12294" width="7.109375" style="326" customWidth="1"/>
    <col min="12295" max="12295" width="9.88671875" style="326" customWidth="1"/>
    <col min="12296" max="12296" width="7" style="326" customWidth="1"/>
    <col min="12297" max="12297" width="9.6640625" style="326" customWidth="1"/>
    <col min="12298" max="12298" width="10.109375" style="326" customWidth="1"/>
    <col min="12299" max="12299" width="14.88671875" style="326" customWidth="1"/>
    <col min="12300" max="12544" width="11.44140625" style="326"/>
    <col min="12545" max="12545" width="10.109375" style="326" customWidth="1"/>
    <col min="12546" max="12546" width="62.5546875" style="326" customWidth="1"/>
    <col min="12547" max="12547" width="6.6640625" style="326" customWidth="1"/>
    <col min="12548" max="12548" width="8.5546875" style="326" customWidth="1"/>
    <col min="12549" max="12549" width="7.6640625" style="326" bestFit="1" customWidth="1"/>
    <col min="12550" max="12550" width="7.109375" style="326" customWidth="1"/>
    <col min="12551" max="12551" width="9.88671875" style="326" customWidth="1"/>
    <col min="12552" max="12552" width="7" style="326" customWidth="1"/>
    <col min="12553" max="12553" width="9.6640625" style="326" customWidth="1"/>
    <col min="12554" max="12554" width="10.109375" style="326" customWidth="1"/>
    <col min="12555" max="12555" width="14.88671875" style="326" customWidth="1"/>
    <col min="12556" max="12800" width="11.44140625" style="326"/>
    <col min="12801" max="12801" width="10.109375" style="326" customWidth="1"/>
    <col min="12802" max="12802" width="62.5546875" style="326" customWidth="1"/>
    <col min="12803" max="12803" width="6.6640625" style="326" customWidth="1"/>
    <col min="12804" max="12804" width="8.5546875" style="326" customWidth="1"/>
    <col min="12805" max="12805" width="7.6640625" style="326" bestFit="1" customWidth="1"/>
    <col min="12806" max="12806" width="7.109375" style="326" customWidth="1"/>
    <col min="12807" max="12807" width="9.88671875" style="326" customWidth="1"/>
    <col min="12808" max="12808" width="7" style="326" customWidth="1"/>
    <col min="12809" max="12809" width="9.6640625" style="326" customWidth="1"/>
    <col min="12810" max="12810" width="10.109375" style="326" customWidth="1"/>
    <col min="12811" max="12811" width="14.88671875" style="326" customWidth="1"/>
    <col min="12812" max="13056" width="11.44140625" style="326"/>
    <col min="13057" max="13057" width="10.109375" style="326" customWidth="1"/>
    <col min="13058" max="13058" width="62.5546875" style="326" customWidth="1"/>
    <col min="13059" max="13059" width="6.6640625" style="326" customWidth="1"/>
    <col min="13060" max="13060" width="8.5546875" style="326" customWidth="1"/>
    <col min="13061" max="13061" width="7.6640625" style="326" bestFit="1" customWidth="1"/>
    <col min="13062" max="13062" width="7.109375" style="326" customWidth="1"/>
    <col min="13063" max="13063" width="9.88671875" style="326" customWidth="1"/>
    <col min="13064" max="13064" width="7" style="326" customWidth="1"/>
    <col min="13065" max="13065" width="9.6640625" style="326" customWidth="1"/>
    <col min="13066" max="13066" width="10.109375" style="326" customWidth="1"/>
    <col min="13067" max="13067" width="14.88671875" style="326" customWidth="1"/>
    <col min="13068" max="13312" width="11.44140625" style="326"/>
    <col min="13313" max="13313" width="10.109375" style="326" customWidth="1"/>
    <col min="13314" max="13314" width="62.5546875" style="326" customWidth="1"/>
    <col min="13315" max="13315" width="6.6640625" style="326" customWidth="1"/>
    <col min="13316" max="13316" width="8.5546875" style="326" customWidth="1"/>
    <col min="13317" max="13317" width="7.6640625" style="326" bestFit="1" customWidth="1"/>
    <col min="13318" max="13318" width="7.109375" style="326" customWidth="1"/>
    <col min="13319" max="13319" width="9.88671875" style="326" customWidth="1"/>
    <col min="13320" max="13320" width="7" style="326" customWidth="1"/>
    <col min="13321" max="13321" width="9.6640625" style="326" customWidth="1"/>
    <col min="13322" max="13322" width="10.109375" style="326" customWidth="1"/>
    <col min="13323" max="13323" width="14.88671875" style="326" customWidth="1"/>
    <col min="13324" max="13568" width="11.44140625" style="326"/>
    <col min="13569" max="13569" width="10.109375" style="326" customWidth="1"/>
    <col min="13570" max="13570" width="62.5546875" style="326" customWidth="1"/>
    <col min="13571" max="13571" width="6.6640625" style="326" customWidth="1"/>
    <col min="13572" max="13572" width="8.5546875" style="326" customWidth="1"/>
    <col min="13573" max="13573" width="7.6640625" style="326" bestFit="1" customWidth="1"/>
    <col min="13574" max="13574" width="7.109375" style="326" customWidth="1"/>
    <col min="13575" max="13575" width="9.88671875" style="326" customWidth="1"/>
    <col min="13576" max="13576" width="7" style="326" customWidth="1"/>
    <col min="13577" max="13577" width="9.6640625" style="326" customWidth="1"/>
    <col min="13578" max="13578" width="10.109375" style="326" customWidth="1"/>
    <col min="13579" max="13579" width="14.88671875" style="326" customWidth="1"/>
    <col min="13580" max="13824" width="11.44140625" style="326"/>
    <col min="13825" max="13825" width="10.109375" style="326" customWidth="1"/>
    <col min="13826" max="13826" width="62.5546875" style="326" customWidth="1"/>
    <col min="13827" max="13827" width="6.6640625" style="326" customWidth="1"/>
    <col min="13828" max="13828" width="8.5546875" style="326" customWidth="1"/>
    <col min="13829" max="13829" width="7.6640625" style="326" bestFit="1" customWidth="1"/>
    <col min="13830" max="13830" width="7.109375" style="326" customWidth="1"/>
    <col min="13831" max="13831" width="9.88671875" style="326" customWidth="1"/>
    <col min="13832" max="13832" width="7" style="326" customWidth="1"/>
    <col min="13833" max="13833" width="9.6640625" style="326" customWidth="1"/>
    <col min="13834" max="13834" width="10.109375" style="326" customWidth="1"/>
    <col min="13835" max="13835" width="14.88671875" style="326" customWidth="1"/>
    <col min="13836" max="14080" width="11.44140625" style="326"/>
    <col min="14081" max="14081" width="10.109375" style="326" customWidth="1"/>
    <col min="14082" max="14082" width="62.5546875" style="326" customWidth="1"/>
    <col min="14083" max="14083" width="6.6640625" style="326" customWidth="1"/>
    <col min="14084" max="14084" width="8.5546875" style="326" customWidth="1"/>
    <col min="14085" max="14085" width="7.6640625" style="326" bestFit="1" customWidth="1"/>
    <col min="14086" max="14086" width="7.109375" style="326" customWidth="1"/>
    <col min="14087" max="14087" width="9.88671875" style="326" customWidth="1"/>
    <col min="14088" max="14088" width="7" style="326" customWidth="1"/>
    <col min="14089" max="14089" width="9.6640625" style="326" customWidth="1"/>
    <col min="14090" max="14090" width="10.109375" style="326" customWidth="1"/>
    <col min="14091" max="14091" width="14.88671875" style="326" customWidth="1"/>
    <col min="14092" max="14336" width="11.44140625" style="326"/>
    <col min="14337" max="14337" width="10.109375" style="326" customWidth="1"/>
    <col min="14338" max="14338" width="62.5546875" style="326" customWidth="1"/>
    <col min="14339" max="14339" width="6.6640625" style="326" customWidth="1"/>
    <col min="14340" max="14340" width="8.5546875" style="326" customWidth="1"/>
    <col min="14341" max="14341" width="7.6640625" style="326" bestFit="1" customWidth="1"/>
    <col min="14342" max="14342" width="7.109375" style="326" customWidth="1"/>
    <col min="14343" max="14343" width="9.88671875" style="326" customWidth="1"/>
    <col min="14344" max="14344" width="7" style="326" customWidth="1"/>
    <col min="14345" max="14345" width="9.6640625" style="326" customWidth="1"/>
    <col min="14346" max="14346" width="10.109375" style="326" customWidth="1"/>
    <col min="14347" max="14347" width="14.88671875" style="326" customWidth="1"/>
    <col min="14348" max="14592" width="11.44140625" style="326"/>
    <col min="14593" max="14593" width="10.109375" style="326" customWidth="1"/>
    <col min="14594" max="14594" width="62.5546875" style="326" customWidth="1"/>
    <col min="14595" max="14595" width="6.6640625" style="326" customWidth="1"/>
    <col min="14596" max="14596" width="8.5546875" style="326" customWidth="1"/>
    <col min="14597" max="14597" width="7.6640625" style="326" bestFit="1" customWidth="1"/>
    <col min="14598" max="14598" width="7.109375" style="326" customWidth="1"/>
    <col min="14599" max="14599" width="9.88671875" style="326" customWidth="1"/>
    <col min="14600" max="14600" width="7" style="326" customWidth="1"/>
    <col min="14601" max="14601" width="9.6640625" style="326" customWidth="1"/>
    <col min="14602" max="14602" width="10.109375" style="326" customWidth="1"/>
    <col min="14603" max="14603" width="14.88671875" style="326" customWidth="1"/>
    <col min="14604" max="14848" width="11.44140625" style="326"/>
    <col min="14849" max="14849" width="10.109375" style="326" customWidth="1"/>
    <col min="14850" max="14850" width="62.5546875" style="326" customWidth="1"/>
    <col min="14851" max="14851" width="6.6640625" style="326" customWidth="1"/>
    <col min="14852" max="14852" width="8.5546875" style="326" customWidth="1"/>
    <col min="14853" max="14853" width="7.6640625" style="326" bestFit="1" customWidth="1"/>
    <col min="14854" max="14854" width="7.109375" style="326" customWidth="1"/>
    <col min="14855" max="14855" width="9.88671875" style="326" customWidth="1"/>
    <col min="14856" max="14856" width="7" style="326" customWidth="1"/>
    <col min="14857" max="14857" width="9.6640625" style="326" customWidth="1"/>
    <col min="14858" max="14858" width="10.109375" style="326" customWidth="1"/>
    <col min="14859" max="14859" width="14.88671875" style="326" customWidth="1"/>
    <col min="14860" max="15104" width="11.44140625" style="326"/>
    <col min="15105" max="15105" width="10.109375" style="326" customWidth="1"/>
    <col min="15106" max="15106" width="62.5546875" style="326" customWidth="1"/>
    <col min="15107" max="15107" width="6.6640625" style="326" customWidth="1"/>
    <col min="15108" max="15108" width="8.5546875" style="326" customWidth="1"/>
    <col min="15109" max="15109" width="7.6640625" style="326" bestFit="1" customWidth="1"/>
    <col min="15110" max="15110" width="7.109375" style="326" customWidth="1"/>
    <col min="15111" max="15111" width="9.88671875" style="326" customWidth="1"/>
    <col min="15112" max="15112" width="7" style="326" customWidth="1"/>
    <col min="15113" max="15113" width="9.6640625" style="326" customWidth="1"/>
    <col min="15114" max="15114" width="10.109375" style="326" customWidth="1"/>
    <col min="15115" max="15115" width="14.88671875" style="326" customWidth="1"/>
    <col min="15116" max="15360" width="11.44140625" style="326"/>
    <col min="15361" max="15361" width="10.109375" style="326" customWidth="1"/>
    <col min="15362" max="15362" width="62.5546875" style="326" customWidth="1"/>
    <col min="15363" max="15363" width="6.6640625" style="326" customWidth="1"/>
    <col min="15364" max="15364" width="8.5546875" style="326" customWidth="1"/>
    <col min="15365" max="15365" width="7.6640625" style="326" bestFit="1" customWidth="1"/>
    <col min="15366" max="15366" width="7.109375" style="326" customWidth="1"/>
    <col min="15367" max="15367" width="9.88671875" style="326" customWidth="1"/>
    <col min="15368" max="15368" width="7" style="326" customWidth="1"/>
    <col min="15369" max="15369" width="9.6640625" style="326" customWidth="1"/>
    <col min="15370" max="15370" width="10.109375" style="326" customWidth="1"/>
    <col min="15371" max="15371" width="14.88671875" style="326" customWidth="1"/>
    <col min="15372" max="15616" width="11.44140625" style="326"/>
    <col min="15617" max="15617" width="10.109375" style="326" customWidth="1"/>
    <col min="15618" max="15618" width="62.5546875" style="326" customWidth="1"/>
    <col min="15619" max="15619" width="6.6640625" style="326" customWidth="1"/>
    <col min="15620" max="15620" width="8.5546875" style="326" customWidth="1"/>
    <col min="15621" max="15621" width="7.6640625" style="326" bestFit="1" customWidth="1"/>
    <col min="15622" max="15622" width="7.109375" style="326" customWidth="1"/>
    <col min="15623" max="15623" width="9.88671875" style="326" customWidth="1"/>
    <col min="15624" max="15624" width="7" style="326" customWidth="1"/>
    <col min="15625" max="15625" width="9.6640625" style="326" customWidth="1"/>
    <col min="15626" max="15626" width="10.109375" style="326" customWidth="1"/>
    <col min="15627" max="15627" width="14.88671875" style="326" customWidth="1"/>
    <col min="15628" max="15872" width="11.44140625" style="326"/>
    <col min="15873" max="15873" width="10.109375" style="326" customWidth="1"/>
    <col min="15874" max="15874" width="62.5546875" style="326" customWidth="1"/>
    <col min="15875" max="15875" width="6.6640625" style="326" customWidth="1"/>
    <col min="15876" max="15876" width="8.5546875" style="326" customWidth="1"/>
    <col min="15877" max="15877" width="7.6640625" style="326" bestFit="1" customWidth="1"/>
    <col min="15878" max="15878" width="7.109375" style="326" customWidth="1"/>
    <col min="15879" max="15879" width="9.88671875" style="326" customWidth="1"/>
    <col min="15880" max="15880" width="7" style="326" customWidth="1"/>
    <col min="15881" max="15881" width="9.6640625" style="326" customWidth="1"/>
    <col min="15882" max="15882" width="10.109375" style="326" customWidth="1"/>
    <col min="15883" max="15883" width="14.88671875" style="326" customWidth="1"/>
    <col min="15884" max="16128" width="11.44140625" style="326"/>
    <col min="16129" max="16129" width="10.109375" style="326" customWidth="1"/>
    <col min="16130" max="16130" width="62.5546875" style="326" customWidth="1"/>
    <col min="16131" max="16131" width="6.6640625" style="326" customWidth="1"/>
    <col min="16132" max="16132" width="8.5546875" style="326" customWidth="1"/>
    <col min="16133" max="16133" width="7.6640625" style="326" bestFit="1" customWidth="1"/>
    <col min="16134" max="16134" width="7.109375" style="326" customWidth="1"/>
    <col min="16135" max="16135" width="9.88671875" style="326" customWidth="1"/>
    <col min="16136" max="16136" width="7" style="326" customWidth="1"/>
    <col min="16137" max="16137" width="9.6640625" style="326" customWidth="1"/>
    <col min="16138" max="16138" width="10.109375" style="326" customWidth="1"/>
    <col min="16139" max="16139" width="14.88671875" style="326" customWidth="1"/>
    <col min="16140" max="16384" width="11.44140625" style="326"/>
  </cols>
  <sheetData>
    <row r="1" spans="1:20" ht="12" customHeight="1">
      <c r="A1" s="60" t="s">
        <v>66</v>
      </c>
      <c r="B1" s="61"/>
      <c r="C1" s="304"/>
      <c r="D1" s="62"/>
      <c r="E1" s="304"/>
      <c r="F1" s="63"/>
      <c r="G1" s="63"/>
      <c r="H1" s="63"/>
      <c r="I1" s="64"/>
      <c r="J1" s="65"/>
      <c r="K1" s="63"/>
    </row>
    <row r="2" spans="1:20" ht="12" customHeight="1">
      <c r="A2" s="66" t="s">
        <v>67</v>
      </c>
      <c r="B2" s="60"/>
      <c r="C2" s="304"/>
      <c r="D2" s="62"/>
      <c r="E2" s="304"/>
      <c r="F2" s="63"/>
      <c r="G2" s="63"/>
      <c r="H2" s="63"/>
      <c r="I2" s="64"/>
      <c r="J2" s="65"/>
      <c r="K2" s="63"/>
    </row>
    <row r="3" spans="1:20" ht="12" customHeight="1">
      <c r="A3" s="67" t="s">
        <v>68</v>
      </c>
      <c r="B3" s="60"/>
      <c r="C3" s="304"/>
      <c r="D3" s="62"/>
      <c r="E3" s="304"/>
      <c r="F3" s="63"/>
      <c r="G3" s="63"/>
      <c r="H3" s="63"/>
      <c r="I3" s="64"/>
      <c r="J3" s="65"/>
      <c r="K3" s="63"/>
    </row>
    <row r="4" spans="1:20" ht="15.6">
      <c r="A4" s="1625" t="s">
        <v>69</v>
      </c>
      <c r="B4" s="1625"/>
      <c r="C4" s="1625"/>
      <c r="D4" s="1625"/>
      <c r="E4" s="1625"/>
      <c r="F4" s="1625"/>
      <c r="G4" s="1625"/>
      <c r="H4" s="1625"/>
      <c r="I4" s="1625"/>
      <c r="J4" s="1625"/>
      <c r="K4" s="1625"/>
    </row>
    <row r="5" spans="1:20">
      <c r="B5" s="68" t="s">
        <v>246</v>
      </c>
      <c r="C5" s="304"/>
      <c r="D5" s="62"/>
      <c r="E5" s="304"/>
      <c r="F5" s="63"/>
      <c r="G5" s="63"/>
      <c r="H5" s="63"/>
      <c r="I5" s="64"/>
      <c r="J5" s="65"/>
      <c r="K5" s="63"/>
    </row>
    <row r="6" spans="1:20">
      <c r="A6" s="68"/>
      <c r="B6" s="1626" t="s">
        <v>247</v>
      </c>
      <c r="C6" s="1626"/>
      <c r="D6" s="1626"/>
      <c r="E6" s="1626"/>
      <c r="F6" s="1626"/>
      <c r="G6" s="1626"/>
      <c r="H6" s="1626"/>
      <c r="I6" s="1626"/>
      <c r="J6" s="65"/>
      <c r="K6" s="63"/>
    </row>
    <row r="7" spans="1:20">
      <c r="A7" s="68"/>
      <c r="B7" s="69" t="s">
        <v>70</v>
      </c>
      <c r="C7" s="304"/>
      <c r="D7" s="304"/>
      <c r="E7" s="304"/>
      <c r="F7" s="64"/>
      <c r="G7" s="64"/>
      <c r="H7" s="63"/>
      <c r="I7" s="64"/>
      <c r="J7" s="65"/>
      <c r="K7" s="63"/>
    </row>
    <row r="8" spans="1:20" ht="16.2" thickBot="1">
      <c r="A8" s="70"/>
      <c r="B8" s="71"/>
      <c r="C8" s="72"/>
      <c r="D8" s="73"/>
      <c r="E8" s="72"/>
      <c r="F8" s="74"/>
      <c r="G8" s="74"/>
      <c r="H8" s="75"/>
      <c r="I8" s="76"/>
      <c r="J8" s="77"/>
      <c r="K8" s="64"/>
    </row>
    <row r="9" spans="1:20" ht="24" customHeight="1">
      <c r="A9" s="1627" t="s">
        <v>65</v>
      </c>
      <c r="B9" s="1629" t="s">
        <v>71</v>
      </c>
      <c r="C9" s="305" t="s">
        <v>72</v>
      </c>
      <c r="D9" s="1629" t="s">
        <v>73</v>
      </c>
      <c r="E9" s="1629" t="s">
        <v>74</v>
      </c>
      <c r="F9" s="1631" t="s">
        <v>75</v>
      </c>
      <c r="G9" s="1631"/>
      <c r="H9" s="1631"/>
      <c r="I9" s="1631"/>
      <c r="J9" s="1631"/>
      <c r="K9" s="1632" t="s">
        <v>76</v>
      </c>
    </row>
    <row r="10" spans="1:20" ht="14.4" thickBot="1">
      <c r="A10" s="1628"/>
      <c r="B10" s="1630"/>
      <c r="C10" s="78" t="s">
        <v>77</v>
      </c>
      <c r="D10" s="1630"/>
      <c r="E10" s="1630"/>
      <c r="F10" s="78" t="s">
        <v>78</v>
      </c>
      <c r="G10" s="78" t="s">
        <v>79</v>
      </c>
      <c r="H10" s="78" t="s">
        <v>80</v>
      </c>
      <c r="I10" s="78" t="s">
        <v>81</v>
      </c>
      <c r="J10" s="79" t="s">
        <v>1</v>
      </c>
      <c r="K10" s="1633"/>
    </row>
    <row r="11" spans="1:20" ht="15.6">
      <c r="A11" s="328"/>
      <c r="B11" s="80" t="s">
        <v>62</v>
      </c>
      <c r="C11" s="329"/>
      <c r="D11" s="329"/>
      <c r="E11" s="329"/>
      <c r="F11" s="329"/>
      <c r="G11" s="329"/>
      <c r="H11" s="329"/>
      <c r="I11" s="330"/>
      <c r="J11" s="331"/>
      <c r="K11" s="332"/>
    </row>
    <row r="12" spans="1:20" ht="15.6">
      <c r="A12" s="328"/>
      <c r="B12" s="80"/>
      <c r="C12" s="329"/>
      <c r="D12" s="329"/>
      <c r="E12" s="329"/>
      <c r="F12" s="329"/>
      <c r="G12" s="329"/>
      <c r="H12" s="329"/>
      <c r="I12" s="330"/>
      <c r="J12" s="331"/>
      <c r="K12" s="332"/>
    </row>
    <row r="13" spans="1:20" s="339" customFormat="1" ht="15" customHeight="1">
      <c r="A13" s="333"/>
      <c r="B13" s="334"/>
      <c r="C13" s="335"/>
      <c r="D13" s="81"/>
      <c r="E13" s="336"/>
      <c r="F13" s="336"/>
      <c r="G13" s="82"/>
      <c r="H13" s="336"/>
      <c r="I13" s="336"/>
      <c r="J13" s="337"/>
      <c r="K13" s="338"/>
      <c r="O13" s="340"/>
      <c r="Q13" s="341"/>
      <c r="R13" s="342"/>
      <c r="S13" s="343"/>
      <c r="T13" s="344"/>
    </row>
    <row r="14" spans="1:20" s="339" customFormat="1" ht="15" customHeight="1">
      <c r="A14" s="345"/>
      <c r="B14" s="345"/>
      <c r="C14" s="345"/>
      <c r="D14" s="346"/>
      <c r="E14" s="347"/>
      <c r="F14" s="348"/>
      <c r="G14" s="83"/>
      <c r="H14" s="349"/>
      <c r="I14" s="349"/>
      <c r="J14" s="84"/>
      <c r="K14" s="350"/>
      <c r="L14" s="340"/>
      <c r="M14" s="340"/>
      <c r="N14" s="340"/>
      <c r="O14" s="340"/>
      <c r="Q14" s="341"/>
      <c r="R14" s="342"/>
      <c r="S14" s="343"/>
      <c r="T14" s="344"/>
    </row>
    <row r="15" spans="1:20" s="339" customFormat="1" ht="15" customHeight="1">
      <c r="A15" s="126" t="s">
        <v>94</v>
      </c>
      <c r="B15" s="127" t="s">
        <v>95</v>
      </c>
      <c r="C15" s="116"/>
      <c r="D15" s="346"/>
      <c r="E15" s="347"/>
      <c r="F15" s="349"/>
      <c r="G15" s="83"/>
      <c r="H15" s="349"/>
      <c r="I15" s="349"/>
      <c r="J15" s="84"/>
      <c r="K15" s="350"/>
      <c r="L15" s="340"/>
      <c r="M15" s="340"/>
      <c r="N15" s="340"/>
      <c r="O15" s="340"/>
      <c r="Q15" s="341"/>
      <c r="R15" s="342"/>
      <c r="S15" s="343"/>
      <c r="T15" s="344"/>
    </row>
    <row r="16" spans="1:20" s="339" customFormat="1" ht="15" customHeight="1">
      <c r="A16" s="130" t="s">
        <v>97</v>
      </c>
      <c r="B16" s="131" t="s">
        <v>98</v>
      </c>
      <c r="C16" s="116"/>
      <c r="D16" s="346"/>
      <c r="E16" s="347"/>
      <c r="F16" s="348"/>
      <c r="G16" s="83"/>
      <c r="H16" s="349"/>
      <c r="I16" s="349"/>
      <c r="J16" s="84"/>
      <c r="K16" s="350"/>
      <c r="L16" s="340"/>
      <c r="M16" s="340"/>
      <c r="N16" s="340"/>
      <c r="O16" s="340"/>
      <c r="Q16" s="341"/>
      <c r="R16" s="342"/>
      <c r="S16" s="343"/>
      <c r="T16" s="344"/>
    </row>
    <row r="17" spans="1:20" s="339" customFormat="1" ht="15" customHeight="1">
      <c r="A17" s="130"/>
      <c r="B17" s="129" t="s">
        <v>249</v>
      </c>
      <c r="C17" s="351" t="s">
        <v>57</v>
      </c>
      <c r="D17" s="83"/>
      <c r="E17" s="347"/>
      <c r="F17" s="348"/>
      <c r="G17" s="83"/>
      <c r="H17" s="349"/>
      <c r="I17" s="118"/>
      <c r="J17" s="119">
        <f>I17</f>
        <v>0</v>
      </c>
      <c r="K17" s="350"/>
      <c r="L17" s="340"/>
      <c r="M17" s="340"/>
      <c r="N17" s="340"/>
      <c r="O17" s="340"/>
      <c r="Q17" s="341"/>
      <c r="R17" s="342"/>
      <c r="S17" s="343"/>
      <c r="T17" s="344"/>
    </row>
    <row r="18" spans="1:20" s="339" customFormat="1" ht="15" customHeight="1">
      <c r="A18" s="130"/>
      <c r="B18" s="131"/>
      <c r="C18" s="144"/>
      <c r="D18" s="352"/>
      <c r="E18" s="353"/>
      <c r="F18" s="354"/>
      <c r="G18" s="145"/>
      <c r="H18" s="355"/>
      <c r="I18" s="355"/>
      <c r="J18" s="65"/>
      <c r="K18" s="356"/>
      <c r="L18" s="340"/>
      <c r="M18" s="340"/>
      <c r="N18" s="340"/>
      <c r="O18" s="340"/>
      <c r="Q18" s="341"/>
      <c r="R18" s="342"/>
      <c r="S18" s="343"/>
      <c r="T18" s="344"/>
    </row>
    <row r="19" spans="1:20" s="339" customFormat="1" ht="15" customHeight="1">
      <c r="A19" s="128" t="s">
        <v>97</v>
      </c>
      <c r="B19" s="132" t="s">
        <v>117</v>
      </c>
      <c r="C19" s="351" t="s">
        <v>39</v>
      </c>
      <c r="D19" s="138"/>
      <c r="E19" s="139"/>
      <c r="F19" s="139"/>
      <c r="G19" s="139"/>
      <c r="H19" s="139"/>
      <c r="I19" s="118"/>
      <c r="J19" s="119">
        <f>I19</f>
        <v>0</v>
      </c>
      <c r="K19" s="140"/>
      <c r="L19" s="340"/>
      <c r="M19" s="340"/>
      <c r="N19" s="340"/>
      <c r="O19" s="340"/>
      <c r="Q19" s="341"/>
      <c r="R19" s="342"/>
      <c r="S19" s="343"/>
      <c r="T19" s="344"/>
    </row>
    <row r="20" spans="1:20" s="339" customFormat="1" ht="15" customHeight="1">
      <c r="A20" s="345"/>
      <c r="B20" s="357"/>
      <c r="C20" s="345"/>
      <c r="D20" s="346"/>
      <c r="E20" s="347"/>
      <c r="F20" s="349"/>
      <c r="G20" s="83"/>
      <c r="H20" s="349"/>
      <c r="I20" s="118"/>
      <c r="J20" s="119"/>
      <c r="K20" s="350"/>
      <c r="L20" s="340"/>
      <c r="M20" s="340"/>
      <c r="N20" s="340"/>
      <c r="O20" s="340"/>
      <c r="Q20" s="341"/>
      <c r="R20" s="342"/>
      <c r="S20" s="343"/>
      <c r="T20" s="344"/>
    </row>
    <row r="21" spans="1:20" s="339" customFormat="1" ht="15" customHeight="1">
      <c r="A21" s="126"/>
      <c r="B21" s="127"/>
      <c r="C21" s="19"/>
      <c r="D21" s="98"/>
      <c r="E21" s="347"/>
      <c r="F21" s="349"/>
      <c r="G21" s="83"/>
      <c r="H21" s="349"/>
      <c r="I21" s="349"/>
      <c r="J21" s="84"/>
      <c r="K21" s="350"/>
      <c r="L21" s="340"/>
      <c r="M21" s="340"/>
      <c r="N21" s="340"/>
      <c r="O21" s="340"/>
      <c r="Q21" s="341"/>
      <c r="R21" s="342"/>
      <c r="S21" s="343"/>
      <c r="T21" s="344"/>
    </row>
    <row r="22" spans="1:20" s="339" customFormat="1" ht="15" customHeight="1">
      <c r="A22" s="128"/>
      <c r="B22" s="129"/>
      <c r="C22" s="94"/>
      <c r="D22" s="98"/>
      <c r="E22" s="347"/>
      <c r="F22" s="349"/>
      <c r="G22" s="83"/>
      <c r="H22" s="349"/>
      <c r="I22" s="358"/>
      <c r="J22" s="142"/>
      <c r="K22" s="350"/>
      <c r="L22" s="340"/>
      <c r="M22" s="340"/>
      <c r="N22" s="340"/>
      <c r="O22" s="340"/>
      <c r="Q22" s="341"/>
      <c r="R22" s="342"/>
      <c r="S22" s="343"/>
      <c r="T22" s="344"/>
    </row>
    <row r="23" spans="1:20" s="339" customFormat="1" ht="15" customHeight="1">
      <c r="A23" s="345"/>
      <c r="B23" s="345"/>
      <c r="C23" s="345"/>
      <c r="D23" s="346"/>
      <c r="E23" s="347"/>
      <c r="F23" s="348"/>
      <c r="G23" s="83"/>
      <c r="H23" s="349"/>
      <c r="I23" s="349"/>
      <c r="J23" s="84"/>
      <c r="K23" s="350"/>
      <c r="L23" s="340"/>
      <c r="M23" s="340"/>
      <c r="N23" s="340"/>
      <c r="O23" s="340"/>
      <c r="Q23" s="341"/>
      <c r="R23" s="342"/>
      <c r="S23" s="343"/>
      <c r="T23" s="344"/>
    </row>
    <row r="24" spans="1:20" s="339" customFormat="1" ht="15" customHeight="1">
      <c r="A24" s="133" t="s">
        <v>113</v>
      </c>
      <c r="B24" s="134" t="s">
        <v>243</v>
      </c>
      <c r="C24" s="345"/>
      <c r="D24" s="346"/>
      <c r="E24" s="347"/>
      <c r="F24" s="348"/>
      <c r="G24" s="83"/>
      <c r="H24" s="349"/>
      <c r="I24" s="349"/>
      <c r="J24" s="84"/>
      <c r="K24" s="350"/>
      <c r="L24" s="340"/>
      <c r="M24" s="340"/>
      <c r="N24" s="340"/>
      <c r="O24" s="340"/>
      <c r="Q24" s="341"/>
      <c r="R24" s="342"/>
      <c r="S24" s="343"/>
      <c r="T24" s="344"/>
    </row>
    <row r="25" spans="1:20" s="339" customFormat="1" ht="15" customHeight="1">
      <c r="A25" s="128" t="s">
        <v>113</v>
      </c>
      <c r="B25" s="129" t="s">
        <v>119</v>
      </c>
      <c r="C25" s="351" t="s">
        <v>57</v>
      </c>
      <c r="D25" s="83"/>
      <c r="E25" s="347"/>
      <c r="F25" s="348"/>
      <c r="G25" s="83"/>
      <c r="H25" s="349"/>
      <c r="I25" s="118"/>
      <c r="J25" s="119">
        <f>I25</f>
        <v>0</v>
      </c>
      <c r="K25" s="350"/>
      <c r="L25" s="340"/>
      <c r="M25" s="340"/>
      <c r="N25" s="340"/>
      <c r="O25" s="340"/>
      <c r="Q25" s="341"/>
      <c r="R25" s="342"/>
      <c r="S25" s="343"/>
      <c r="T25" s="344"/>
    </row>
    <row r="26" spans="1:20" s="339" customFormat="1" ht="15" customHeight="1">
      <c r="A26" s="359"/>
      <c r="B26" s="357"/>
      <c r="C26" s="351"/>
      <c r="D26" s="83"/>
      <c r="E26" s="347"/>
      <c r="F26" s="348"/>
      <c r="G26" s="83"/>
      <c r="H26" s="349"/>
      <c r="I26" s="349"/>
      <c r="J26" s="84"/>
      <c r="K26" s="350"/>
      <c r="L26" s="340"/>
      <c r="M26" s="340"/>
      <c r="N26" s="340"/>
      <c r="O26" s="340"/>
      <c r="Q26" s="341"/>
      <c r="R26" s="342"/>
      <c r="S26" s="343"/>
      <c r="T26" s="344"/>
    </row>
    <row r="27" spans="1:20" s="339" customFormat="1" ht="15" customHeight="1">
      <c r="A27" s="357"/>
      <c r="B27" s="357"/>
      <c r="C27" s="351"/>
      <c r="D27" s="83"/>
      <c r="E27" s="347"/>
      <c r="F27" s="348"/>
      <c r="G27" s="83"/>
      <c r="H27" s="349"/>
      <c r="I27" s="349"/>
      <c r="J27" s="84"/>
      <c r="K27" s="350"/>
      <c r="L27" s="340"/>
      <c r="M27" s="340"/>
      <c r="N27" s="340"/>
      <c r="O27" s="340"/>
      <c r="Q27" s="341"/>
      <c r="R27" s="342"/>
      <c r="S27" s="343"/>
      <c r="T27" s="344"/>
    </row>
    <row r="28" spans="1:20" s="339" customFormat="1" ht="15" customHeight="1">
      <c r="A28" s="360"/>
      <c r="B28" s="357"/>
      <c r="C28" s="351"/>
      <c r="D28" s="83"/>
      <c r="E28" s="347"/>
      <c r="F28" s="348"/>
      <c r="G28" s="83"/>
      <c r="H28" s="349"/>
      <c r="I28" s="349"/>
      <c r="J28" s="84"/>
      <c r="K28" s="350"/>
      <c r="M28" s="361"/>
      <c r="N28" s="361"/>
      <c r="O28" s="361"/>
      <c r="Q28" s="341"/>
      <c r="R28" s="342"/>
      <c r="S28" s="343"/>
      <c r="T28" s="344"/>
    </row>
    <row r="29" spans="1:20" s="339" customFormat="1" ht="15" customHeight="1">
      <c r="A29" s="362"/>
      <c r="B29" s="363"/>
      <c r="C29" s="351"/>
      <c r="D29" s="83"/>
      <c r="E29" s="347"/>
      <c r="F29" s="349"/>
      <c r="G29" s="83"/>
      <c r="H29" s="349"/>
      <c r="I29" s="349"/>
      <c r="J29" s="84"/>
      <c r="K29" s="350"/>
      <c r="M29" s="361"/>
      <c r="N29" s="361"/>
      <c r="O29" s="361"/>
      <c r="Q29" s="341"/>
      <c r="R29" s="342"/>
      <c r="S29" s="343"/>
      <c r="T29" s="344"/>
    </row>
    <row r="30" spans="1:20" s="339" customFormat="1" ht="15" customHeight="1">
      <c r="A30" s="364"/>
      <c r="B30" s="357"/>
      <c r="C30" s="365"/>
      <c r="D30" s="85"/>
      <c r="E30" s="347"/>
      <c r="F30" s="349"/>
      <c r="G30" s="83"/>
      <c r="H30" s="349"/>
      <c r="I30" s="349"/>
      <c r="J30" s="84"/>
      <c r="K30" s="350"/>
      <c r="M30" s="361"/>
      <c r="N30" s="361"/>
      <c r="O30" s="361"/>
      <c r="Q30" s="341"/>
      <c r="R30" s="342"/>
      <c r="S30" s="343"/>
      <c r="T30" s="344"/>
    </row>
    <row r="31" spans="1:20" s="339" customFormat="1" ht="15" customHeight="1">
      <c r="A31" s="362"/>
      <c r="B31" s="366"/>
      <c r="C31" s="365"/>
      <c r="D31" s="85"/>
      <c r="E31" s="347"/>
      <c r="F31" s="349"/>
      <c r="G31" s="83"/>
      <c r="H31" s="349"/>
      <c r="I31" s="349"/>
      <c r="J31" s="367"/>
      <c r="K31" s="350"/>
      <c r="M31" s="361"/>
      <c r="N31" s="361"/>
      <c r="O31" s="361"/>
      <c r="Q31" s="341"/>
      <c r="R31" s="342"/>
      <c r="S31" s="343"/>
      <c r="T31" s="344"/>
    </row>
    <row r="32" spans="1:20" s="339" customFormat="1" ht="15" customHeight="1">
      <c r="A32" s="362"/>
      <c r="B32" s="366"/>
      <c r="C32" s="365"/>
      <c r="D32" s="85"/>
      <c r="E32" s="347"/>
      <c r="F32" s="348"/>
      <c r="G32" s="83"/>
      <c r="H32" s="349"/>
      <c r="I32" s="349"/>
      <c r="J32" s="367"/>
      <c r="K32" s="350"/>
      <c r="M32" s="361"/>
      <c r="N32" s="361"/>
      <c r="O32" s="361"/>
      <c r="Q32" s="341"/>
      <c r="R32" s="342"/>
      <c r="S32" s="343"/>
      <c r="T32" s="344"/>
    </row>
    <row r="33" spans="1:27" s="339" customFormat="1" ht="15" customHeight="1">
      <c r="A33" s="368"/>
      <c r="B33" s="366"/>
      <c r="C33" s="365"/>
      <c r="D33" s="85"/>
      <c r="E33" s="347"/>
      <c r="F33" s="348"/>
      <c r="G33" s="83"/>
      <c r="H33" s="349"/>
      <c r="I33" s="349"/>
      <c r="J33" s="367"/>
      <c r="K33" s="350"/>
      <c r="M33" s="361"/>
      <c r="N33" s="361"/>
      <c r="O33" s="361"/>
      <c r="Q33" s="341"/>
      <c r="R33" s="342"/>
      <c r="S33" s="343"/>
      <c r="T33" s="344"/>
    </row>
    <row r="34" spans="1:27" s="371" customFormat="1">
      <c r="A34" s="369"/>
      <c r="B34" s="357"/>
      <c r="C34" s="365"/>
      <c r="D34" s="85"/>
      <c r="E34" s="347"/>
      <c r="F34" s="348"/>
      <c r="G34" s="83"/>
      <c r="H34" s="349"/>
      <c r="I34" s="349"/>
      <c r="J34" s="84"/>
      <c r="K34" s="370"/>
      <c r="M34" s="372"/>
      <c r="N34" s="373"/>
      <c r="O34" s="373"/>
      <c r="P34" s="374"/>
      <c r="Q34" s="374"/>
    </row>
    <row r="35" spans="1:27" s="371" customFormat="1">
      <c r="A35" s="357"/>
      <c r="B35" s="357"/>
      <c r="C35" s="365"/>
      <c r="D35" s="85"/>
      <c r="E35" s="347"/>
      <c r="F35" s="348"/>
      <c r="G35" s="83"/>
      <c r="H35" s="349"/>
      <c r="I35" s="349"/>
      <c r="J35" s="84"/>
      <c r="K35" s="346"/>
      <c r="M35" s="375" t="e">
        <f>+'[14]METRADO GENERAL'!#REF!</f>
        <v>#REF!</v>
      </c>
      <c r="N35" s="376" t="s">
        <v>83</v>
      </c>
      <c r="O35" s="377"/>
      <c r="P35" s="377"/>
      <c r="Q35" s="378"/>
      <c r="R35" s="379"/>
      <c r="S35" s="379"/>
      <c r="T35" s="379"/>
      <c r="U35" s="380"/>
      <c r="V35" s="380"/>
      <c r="W35" s="380"/>
      <c r="X35" s="380"/>
      <c r="Y35" s="380"/>
      <c r="Z35" s="381">
        <f>+Z36+Z40</f>
        <v>0</v>
      </c>
      <c r="AA35" s="382">
        <f>Z35</f>
        <v>0</v>
      </c>
    </row>
    <row r="36" spans="1:27" s="371" customFormat="1">
      <c r="A36" s="357"/>
      <c r="B36" s="357"/>
      <c r="C36" s="365"/>
      <c r="D36" s="85"/>
      <c r="E36" s="347"/>
      <c r="F36" s="348"/>
      <c r="G36" s="83"/>
      <c r="H36" s="349"/>
      <c r="I36" s="349"/>
      <c r="J36" s="84"/>
      <c r="K36" s="346"/>
      <c r="M36" s="375"/>
      <c r="N36" s="383" t="s">
        <v>84</v>
      </c>
      <c r="O36" s="377"/>
      <c r="P36" s="377"/>
      <c r="Q36" s="378"/>
      <c r="R36" s="379"/>
      <c r="S36" s="379"/>
      <c r="T36" s="379"/>
      <c r="U36" s="380"/>
      <c r="V36" s="380"/>
      <c r="W36" s="380"/>
      <c r="X36" s="380"/>
      <c r="Y36" s="380"/>
      <c r="Z36" s="381">
        <f>+Z37+Z38</f>
        <v>0</v>
      </c>
      <c r="AA36" s="384"/>
    </row>
    <row r="37" spans="1:27" s="371" customFormat="1">
      <c r="A37" s="357"/>
      <c r="B37" s="357"/>
      <c r="C37" s="345"/>
      <c r="D37" s="346"/>
      <c r="E37" s="346"/>
      <c r="F37" s="346"/>
      <c r="G37" s="346"/>
      <c r="H37" s="385"/>
      <c r="I37" s="386"/>
      <c r="J37" s="387"/>
      <c r="K37" s="346"/>
      <c r="M37" s="375"/>
      <c r="N37" s="383" t="s">
        <v>84</v>
      </c>
      <c r="O37" s="377"/>
      <c r="P37" s="388" t="s">
        <v>85</v>
      </c>
      <c r="Q37" s="389">
        <v>4</v>
      </c>
      <c r="R37" s="389">
        <v>4</v>
      </c>
      <c r="S37" s="389">
        <v>4.3</v>
      </c>
      <c r="T37" s="389">
        <f>S37*R37*Q37</f>
        <v>68.8</v>
      </c>
      <c r="U37" s="389"/>
      <c r="V37" s="389"/>
      <c r="W37" s="389">
        <f>T37</f>
        <v>68.8</v>
      </c>
      <c r="X37" s="389"/>
      <c r="Y37" s="389"/>
      <c r="Z37" s="389">
        <f>W37*$K$7*1.05</f>
        <v>0</v>
      </c>
      <c r="AA37" s="384"/>
    </row>
    <row r="38" spans="1:27" s="371" customFormat="1">
      <c r="A38" s="390"/>
      <c r="B38" s="357"/>
      <c r="C38" s="345"/>
      <c r="D38" s="346"/>
      <c r="E38" s="346"/>
      <c r="F38" s="346"/>
      <c r="G38" s="346"/>
      <c r="H38" s="385"/>
      <c r="I38" s="386"/>
      <c r="J38" s="387"/>
      <c r="K38" s="346"/>
      <c r="M38" s="391"/>
      <c r="N38" s="375" t="s">
        <v>86</v>
      </c>
      <c r="O38" s="375"/>
      <c r="P38" s="388" t="s">
        <v>87</v>
      </c>
      <c r="Q38" s="389">
        <v>4</v>
      </c>
      <c r="R38" s="389">
        <v>19</v>
      </c>
      <c r="S38" s="389">
        <v>0.9</v>
      </c>
      <c r="T38" s="389">
        <f>S38*R38*Q38</f>
        <v>68.400000000000006</v>
      </c>
      <c r="U38" s="389"/>
      <c r="V38" s="389">
        <f>T38</f>
        <v>68.400000000000006</v>
      </c>
      <c r="W38" s="389"/>
      <c r="X38" s="389"/>
      <c r="Y38" s="392"/>
      <c r="Z38" s="389">
        <f>V38*$J$7*1.05</f>
        <v>0</v>
      </c>
      <c r="AA38" s="384"/>
    </row>
    <row r="39" spans="1:27" s="371" customFormat="1">
      <c r="A39" s="357"/>
      <c r="B39" s="357"/>
      <c r="C39" s="345"/>
      <c r="D39" s="346"/>
      <c r="E39" s="346"/>
      <c r="F39" s="346"/>
      <c r="G39" s="346"/>
      <c r="H39" s="385"/>
      <c r="I39" s="386"/>
      <c r="J39" s="387"/>
      <c r="K39" s="346"/>
      <c r="M39" s="391"/>
      <c r="N39" s="375"/>
      <c r="O39" s="375"/>
      <c r="P39" s="388"/>
      <c r="Q39" s="389"/>
      <c r="R39" s="389"/>
      <c r="S39" s="389"/>
      <c r="T39" s="389"/>
      <c r="U39" s="389"/>
      <c r="V39" s="389"/>
      <c r="W39" s="389"/>
      <c r="X39" s="389"/>
      <c r="Y39" s="392"/>
      <c r="Z39" s="389"/>
      <c r="AA39" s="384"/>
    </row>
    <row r="40" spans="1:27" s="371" customFormat="1">
      <c r="A40" s="357"/>
      <c r="B40" s="357"/>
      <c r="C40" s="345"/>
      <c r="D40" s="346"/>
      <c r="E40" s="346"/>
      <c r="F40" s="346"/>
      <c r="G40" s="346"/>
      <c r="H40" s="385"/>
      <c r="I40" s="386"/>
      <c r="J40" s="387"/>
      <c r="K40" s="346"/>
      <c r="M40" s="391"/>
      <c r="N40" s="375" t="s">
        <v>88</v>
      </c>
      <c r="O40" s="393">
        <v>1</v>
      </c>
      <c r="P40" s="388" t="s">
        <v>89</v>
      </c>
      <c r="Q40" s="389">
        <v>16</v>
      </c>
      <c r="R40" s="389">
        <v>7</v>
      </c>
      <c r="S40" s="389">
        <v>0.85</v>
      </c>
      <c r="T40" s="389">
        <f>S40*R40*Q40*O40</f>
        <v>95.2</v>
      </c>
      <c r="U40" s="389">
        <f>T40</f>
        <v>95.2</v>
      </c>
      <c r="V40" s="394"/>
      <c r="W40" s="389"/>
      <c r="X40" s="389"/>
      <c r="Y40" s="392"/>
      <c r="Z40" s="392">
        <f>U40*$I$7*1.05</f>
        <v>0</v>
      </c>
      <c r="AA40" s="384"/>
    </row>
    <row r="41" spans="1:27" s="371" customFormat="1">
      <c r="A41" s="357"/>
      <c r="B41" s="357"/>
      <c r="C41" s="345"/>
      <c r="D41" s="346"/>
      <c r="E41" s="346"/>
      <c r="F41" s="346"/>
      <c r="G41" s="346"/>
      <c r="H41" s="385"/>
      <c r="I41" s="386"/>
      <c r="J41" s="387"/>
      <c r="K41" s="346"/>
      <c r="M41" s="391"/>
      <c r="N41" s="375"/>
      <c r="O41" s="375"/>
      <c r="P41" s="388"/>
      <c r="Q41" s="389"/>
      <c r="R41" s="389"/>
      <c r="S41" s="389"/>
      <c r="T41" s="389"/>
      <c r="U41" s="389"/>
      <c r="V41" s="389"/>
      <c r="W41" s="389"/>
      <c r="X41" s="389"/>
      <c r="Y41" s="392"/>
      <c r="Z41" s="389"/>
      <c r="AA41" s="384"/>
    </row>
    <row r="42" spans="1:27" s="371" customFormat="1">
      <c r="A42" s="357"/>
      <c r="B42" s="357"/>
      <c r="C42" s="345"/>
      <c r="D42" s="395"/>
      <c r="E42" s="346"/>
      <c r="F42" s="346"/>
      <c r="G42" s="346"/>
      <c r="H42" s="385"/>
      <c r="I42" s="386"/>
      <c r="J42" s="387"/>
      <c r="K42" s="346"/>
      <c r="M42" s="372"/>
      <c r="N42" s="373"/>
      <c r="O42" s="373"/>
      <c r="P42" s="374"/>
      <c r="Q42" s="374"/>
    </row>
    <row r="43" spans="1:27" s="371" customFormat="1">
      <c r="A43" s="390"/>
      <c r="B43" s="357"/>
      <c r="C43" s="345"/>
      <c r="D43" s="346"/>
      <c r="E43" s="346"/>
      <c r="F43" s="346"/>
      <c r="G43" s="346"/>
      <c r="H43" s="385"/>
      <c r="I43" s="386"/>
      <c r="J43" s="387"/>
      <c r="K43" s="346"/>
      <c r="M43" s="372"/>
      <c r="N43" s="373"/>
      <c r="O43" s="373"/>
      <c r="P43" s="374"/>
      <c r="Q43" s="374"/>
    </row>
    <row r="44" spans="1:27" s="371" customFormat="1">
      <c r="A44" s="390"/>
      <c r="B44" s="357"/>
      <c r="C44" s="345"/>
      <c r="D44" s="346"/>
      <c r="E44" s="346"/>
      <c r="F44" s="346"/>
      <c r="G44" s="346"/>
      <c r="H44" s="385"/>
      <c r="I44" s="386"/>
      <c r="J44" s="387"/>
      <c r="K44" s="346"/>
      <c r="M44" s="372"/>
      <c r="N44" s="373"/>
      <c r="O44" s="373"/>
      <c r="P44" s="374"/>
      <c r="Q44" s="374"/>
    </row>
    <row r="45" spans="1:27" s="371" customFormat="1">
      <c r="A45" s="357"/>
      <c r="B45" s="357"/>
      <c r="C45" s="345"/>
      <c r="D45" s="346"/>
      <c r="E45" s="346"/>
      <c r="F45" s="346"/>
      <c r="G45" s="346"/>
      <c r="H45" s="385"/>
      <c r="I45" s="386"/>
      <c r="J45" s="387"/>
      <c r="K45" s="346"/>
      <c r="M45" s="372"/>
      <c r="N45" s="373"/>
      <c r="O45" s="373"/>
      <c r="P45" s="374"/>
      <c r="Q45" s="374"/>
    </row>
    <row r="46" spans="1:27" s="371" customFormat="1">
      <c r="A46" s="357"/>
      <c r="B46" s="357"/>
      <c r="C46" s="345"/>
      <c r="D46" s="346"/>
      <c r="E46" s="346"/>
      <c r="F46" s="346"/>
      <c r="G46" s="346"/>
      <c r="H46" s="385"/>
      <c r="I46" s="386"/>
      <c r="J46" s="387"/>
      <c r="K46" s="346"/>
      <c r="M46" s="372"/>
      <c r="N46" s="373"/>
      <c r="O46" s="373"/>
      <c r="P46" s="374"/>
      <c r="Q46" s="374"/>
    </row>
    <row r="47" spans="1:27" s="371" customFormat="1">
      <c r="A47" s="357"/>
      <c r="B47" s="357"/>
      <c r="C47" s="345"/>
      <c r="D47" s="346"/>
      <c r="E47" s="346"/>
      <c r="F47" s="346"/>
      <c r="G47" s="346"/>
      <c r="H47" s="385"/>
      <c r="I47" s="386"/>
      <c r="J47" s="387"/>
      <c r="K47" s="346"/>
      <c r="M47" s="372"/>
      <c r="N47" s="373"/>
      <c r="O47" s="373"/>
      <c r="P47" s="374"/>
      <c r="Q47" s="374"/>
    </row>
    <row r="48" spans="1:27" s="371" customFormat="1">
      <c r="A48" s="357"/>
      <c r="B48" s="357"/>
      <c r="C48" s="345"/>
      <c r="D48" s="346"/>
      <c r="E48" s="346"/>
      <c r="F48" s="346"/>
      <c r="G48" s="346"/>
      <c r="H48" s="385"/>
      <c r="I48" s="386"/>
      <c r="J48" s="387"/>
      <c r="K48" s="346"/>
      <c r="M48" s="372"/>
      <c r="N48" s="373"/>
      <c r="O48" s="373"/>
      <c r="P48" s="374"/>
      <c r="Q48" s="374"/>
    </row>
    <row r="49" spans="1:17" s="371" customFormat="1">
      <c r="A49" s="390"/>
      <c r="B49" s="357"/>
      <c r="C49" s="345"/>
      <c r="D49" s="346"/>
      <c r="E49" s="346"/>
      <c r="F49" s="346"/>
      <c r="G49" s="346"/>
      <c r="H49" s="346"/>
      <c r="I49" s="386"/>
      <c r="J49" s="396"/>
      <c r="K49" s="346"/>
      <c r="M49" s="372"/>
      <c r="N49" s="373"/>
      <c r="O49" s="373"/>
      <c r="P49" s="374"/>
      <c r="Q49" s="374"/>
    </row>
    <row r="50" spans="1:17" s="371" customFormat="1">
      <c r="A50" s="345"/>
      <c r="B50" s="345"/>
      <c r="C50" s="345"/>
      <c r="D50" s="346"/>
      <c r="E50" s="346"/>
      <c r="F50" s="346"/>
      <c r="G50" s="346"/>
      <c r="H50" s="346"/>
      <c r="I50" s="386"/>
      <c r="J50" s="396"/>
      <c r="K50" s="346"/>
      <c r="M50" s="372"/>
      <c r="N50" s="373"/>
      <c r="O50" s="373"/>
      <c r="P50" s="374"/>
      <c r="Q50" s="374"/>
    </row>
    <row r="51" spans="1:17" s="371" customFormat="1">
      <c r="A51" s="390"/>
      <c r="B51" s="357"/>
      <c r="C51" s="345"/>
      <c r="E51" s="346"/>
      <c r="F51" s="346"/>
      <c r="G51" s="346"/>
      <c r="H51" s="346"/>
      <c r="I51" s="386"/>
      <c r="J51" s="387"/>
      <c r="K51" s="346"/>
      <c r="M51" s="372"/>
      <c r="N51" s="373"/>
      <c r="O51" s="373"/>
      <c r="P51" s="374"/>
      <c r="Q51" s="374"/>
    </row>
    <row r="52" spans="1:17" s="371" customFormat="1">
      <c r="A52" s="390"/>
      <c r="B52" s="357"/>
      <c r="C52" s="345"/>
      <c r="D52" s="346"/>
      <c r="E52" s="346"/>
      <c r="F52" s="346"/>
      <c r="G52" s="346"/>
      <c r="H52" s="346"/>
      <c r="I52" s="386"/>
      <c r="J52" s="396"/>
      <c r="K52" s="346"/>
      <c r="M52" s="372"/>
      <c r="N52" s="373"/>
      <c r="O52" s="373"/>
      <c r="P52" s="374"/>
      <c r="Q52" s="374"/>
    </row>
    <row r="53" spans="1:17" s="371" customFormat="1">
      <c r="A53" s="390"/>
      <c r="B53" s="357"/>
      <c r="C53" s="345"/>
      <c r="D53" s="346"/>
      <c r="E53" s="346"/>
      <c r="F53" s="346"/>
      <c r="G53" s="346"/>
      <c r="H53" s="346"/>
      <c r="I53" s="386"/>
      <c r="J53" s="396"/>
      <c r="K53" s="346"/>
      <c r="M53" s="372"/>
      <c r="N53" s="373"/>
      <c r="O53" s="373"/>
      <c r="P53" s="374"/>
      <c r="Q53" s="374"/>
    </row>
    <row r="54" spans="1:17" s="371" customFormat="1">
      <c r="A54" s="390"/>
      <c r="B54" s="357"/>
      <c r="C54" s="345"/>
      <c r="D54" s="346"/>
      <c r="E54" s="346"/>
      <c r="F54" s="346"/>
      <c r="G54" s="346"/>
      <c r="H54" s="346"/>
      <c r="I54" s="386"/>
      <c r="J54" s="396"/>
      <c r="K54" s="346"/>
      <c r="M54" s="372"/>
      <c r="N54" s="373"/>
      <c r="O54" s="373"/>
      <c r="P54" s="374"/>
      <c r="Q54" s="374"/>
    </row>
    <row r="55" spans="1:17" s="371" customFormat="1">
      <c r="A55" s="390"/>
      <c r="B55" s="357"/>
      <c r="C55" s="345"/>
      <c r="D55" s="346"/>
      <c r="E55" s="346"/>
      <c r="F55" s="346"/>
      <c r="G55" s="346"/>
      <c r="H55" s="346"/>
      <c r="I55" s="386"/>
      <c r="J55" s="396"/>
      <c r="K55" s="346"/>
      <c r="M55" s="372"/>
      <c r="N55" s="373"/>
      <c r="O55" s="373"/>
      <c r="P55" s="374"/>
      <c r="Q55" s="374"/>
    </row>
    <row r="56" spans="1:17" s="371" customFormat="1">
      <c r="A56" s="390"/>
      <c r="B56" s="357"/>
      <c r="C56" s="345"/>
      <c r="D56" s="346"/>
      <c r="E56" s="346"/>
      <c r="F56" s="346"/>
      <c r="G56" s="346"/>
      <c r="H56" s="346"/>
      <c r="I56" s="386"/>
      <c r="J56" s="387"/>
      <c r="K56" s="346"/>
      <c r="M56" s="372"/>
      <c r="N56" s="373"/>
      <c r="O56" s="373"/>
      <c r="P56" s="374"/>
      <c r="Q56" s="374"/>
    </row>
    <row r="57" spans="1:17" s="371" customFormat="1">
      <c r="A57" s="390"/>
      <c r="B57" s="357"/>
      <c r="C57" s="345"/>
      <c r="D57" s="346"/>
      <c r="E57" s="346"/>
      <c r="F57" s="346"/>
      <c r="G57" s="346"/>
      <c r="H57" s="346"/>
      <c r="I57" s="386"/>
      <c r="J57" s="396"/>
      <c r="K57" s="346"/>
      <c r="M57" s="372"/>
      <c r="N57" s="373"/>
      <c r="O57" s="373"/>
      <c r="P57" s="374"/>
      <c r="Q57" s="374"/>
    </row>
    <row r="58" spans="1:17" s="371" customFormat="1">
      <c r="A58" s="390"/>
      <c r="B58" s="357"/>
      <c r="C58" s="345"/>
      <c r="D58" s="346"/>
      <c r="E58" s="346"/>
      <c r="F58" s="346"/>
      <c r="G58" s="346"/>
      <c r="H58" s="346"/>
      <c r="I58" s="386"/>
      <c r="J58" s="396"/>
      <c r="K58" s="346"/>
      <c r="M58" s="372"/>
      <c r="N58" s="373"/>
      <c r="O58" s="373"/>
      <c r="P58" s="374"/>
      <c r="Q58" s="374"/>
    </row>
    <row r="59" spans="1:17" s="371" customFormat="1">
      <c r="A59" s="390"/>
      <c r="B59" s="357"/>
      <c r="C59" s="345"/>
      <c r="D59" s="346"/>
      <c r="E59" s="346"/>
      <c r="F59" s="346"/>
      <c r="G59" s="346"/>
      <c r="H59" s="346"/>
      <c r="I59" s="386"/>
      <c r="J59" s="396"/>
      <c r="K59" s="346"/>
      <c r="M59" s="372"/>
      <c r="N59" s="373"/>
      <c r="O59" s="373"/>
      <c r="P59" s="374"/>
      <c r="Q59" s="374"/>
    </row>
    <row r="60" spans="1:17" s="371" customFormat="1">
      <c r="A60" s="390"/>
      <c r="B60" s="357"/>
      <c r="C60" s="345"/>
      <c r="D60" s="346"/>
      <c r="E60" s="346"/>
      <c r="F60" s="346"/>
      <c r="G60" s="346"/>
      <c r="H60" s="346"/>
      <c r="I60" s="386"/>
      <c r="J60" s="387"/>
      <c r="K60" s="346"/>
      <c r="M60" s="372"/>
      <c r="N60" s="373"/>
      <c r="O60" s="373"/>
      <c r="P60" s="374"/>
      <c r="Q60" s="374"/>
    </row>
    <row r="61" spans="1:17" s="371" customFormat="1">
      <c r="A61" s="390"/>
      <c r="B61" s="357"/>
      <c r="C61" s="345"/>
      <c r="D61" s="346"/>
      <c r="E61" s="346"/>
      <c r="F61" s="346"/>
      <c r="G61" s="346"/>
      <c r="H61" s="346"/>
      <c r="I61" s="386"/>
      <c r="J61" s="396"/>
      <c r="K61" s="346"/>
      <c r="M61" s="372"/>
      <c r="N61" s="373"/>
      <c r="O61" s="373"/>
      <c r="P61" s="374"/>
      <c r="Q61" s="374"/>
    </row>
    <row r="62" spans="1:17" s="371" customFormat="1">
      <c r="A62" s="390"/>
      <c r="B62" s="357"/>
      <c r="C62" s="345"/>
      <c r="D62" s="346"/>
      <c r="E62" s="346"/>
      <c r="F62" s="346"/>
      <c r="G62" s="346"/>
      <c r="H62" s="346"/>
      <c r="I62" s="386"/>
      <c r="J62" s="396"/>
      <c r="K62" s="346"/>
      <c r="M62" s="372"/>
      <c r="N62" s="373"/>
      <c r="O62" s="373"/>
      <c r="P62" s="374"/>
      <c r="Q62" s="374"/>
    </row>
    <row r="63" spans="1:17" s="371" customFormat="1" ht="14.25" customHeight="1">
      <c r="A63" s="390"/>
      <c r="B63" s="357"/>
      <c r="C63" s="345"/>
      <c r="D63" s="346"/>
      <c r="E63" s="346"/>
      <c r="F63" s="346"/>
      <c r="G63" s="346"/>
      <c r="H63" s="346"/>
      <c r="I63" s="386"/>
      <c r="J63" s="396"/>
      <c r="K63" s="346"/>
      <c r="M63" s="372"/>
      <c r="N63" s="373"/>
      <c r="O63" s="373"/>
      <c r="P63" s="374"/>
      <c r="Q63" s="374"/>
    </row>
    <row r="64" spans="1:17" s="371" customFormat="1" ht="14.25" customHeight="1">
      <c r="A64" s="345"/>
      <c r="B64" s="345"/>
      <c r="C64" s="345"/>
      <c r="D64" s="346"/>
      <c r="E64" s="346"/>
      <c r="F64" s="346"/>
      <c r="G64" s="370"/>
      <c r="H64" s="385"/>
      <c r="I64" s="386"/>
      <c r="J64" s="396"/>
      <c r="K64" s="370"/>
      <c r="M64" s="372"/>
      <c r="N64" s="373"/>
      <c r="O64" s="373"/>
      <c r="P64" s="374"/>
      <c r="Q64" s="374"/>
    </row>
    <row r="65" spans="1:17" s="371" customFormat="1">
      <c r="A65" s="390"/>
      <c r="B65" s="357"/>
      <c r="C65" s="345"/>
      <c r="D65" s="346"/>
      <c r="E65" s="346"/>
      <c r="F65" s="346"/>
      <c r="G65" s="346"/>
      <c r="H65" s="385"/>
      <c r="I65" s="386"/>
      <c r="J65" s="397"/>
      <c r="K65" s="346"/>
      <c r="M65" s="372"/>
      <c r="N65" s="373"/>
      <c r="O65" s="373"/>
      <c r="P65" s="374"/>
      <c r="Q65" s="374"/>
    </row>
    <row r="66" spans="1:17" s="371" customFormat="1">
      <c r="A66" s="398"/>
      <c r="B66" s="399"/>
      <c r="C66" s="400"/>
      <c r="D66" s="401"/>
      <c r="E66" s="401"/>
      <c r="F66" s="401"/>
      <c r="G66" s="401"/>
      <c r="H66" s="402"/>
      <c r="I66" s="403"/>
      <c r="J66" s="404"/>
      <c r="K66" s="401"/>
      <c r="M66" s="372"/>
      <c r="N66" s="373"/>
      <c r="O66" s="373"/>
      <c r="P66" s="374"/>
      <c r="Q66" s="374"/>
    </row>
    <row r="67" spans="1:17" s="92" customFormat="1" ht="12.75" customHeight="1">
      <c r="A67" s="86"/>
      <c r="B67" s="87"/>
      <c r="C67" s="88"/>
      <c r="D67" s="88"/>
      <c r="E67" s="89"/>
      <c r="F67" s="90"/>
      <c r="G67" s="90"/>
      <c r="H67" s="90"/>
      <c r="I67" s="90"/>
      <c r="J67" s="91"/>
      <c r="M67" s="93"/>
      <c r="N67" s="93"/>
      <c r="O67" s="93"/>
      <c r="P67" s="93"/>
      <c r="Q67" s="93"/>
    </row>
    <row r="68" spans="1:17">
      <c r="M68" s="407"/>
      <c r="N68" s="407"/>
      <c r="O68" s="407"/>
      <c r="P68" s="407"/>
      <c r="Q68" s="407"/>
    </row>
    <row r="69" spans="1:17">
      <c r="M69" s="407"/>
      <c r="N69" s="407"/>
      <c r="O69" s="407"/>
      <c r="P69" s="407"/>
      <c r="Q69" s="407"/>
    </row>
  </sheetData>
  <autoFilter ref="A13:K66" xr:uid="{00000000-0009-0000-0000-000018000000}"/>
  <mergeCells count="8">
    <mergeCell ref="A4:K4"/>
    <mergeCell ref="B6:I6"/>
    <mergeCell ref="A9:A10"/>
    <mergeCell ref="B9:B10"/>
    <mergeCell ref="D9:D10"/>
    <mergeCell ref="E9:E10"/>
    <mergeCell ref="F9:J9"/>
    <mergeCell ref="K9:K10"/>
  </mergeCells>
  <pageMargins left="0.55118110236220474" right="0.31496062992125984" top="0.31496062992125984" bottom="0.27559055118110237" header="0.31496062992125984" footer="0.31496062992125984"/>
  <pageSetup paperSize="9" scale="90" orientation="landscape" r:id="rId1"/>
  <drawing r:id="rId2"/>
  <legacyDrawing r:id="rId3"/>
  <oleObjects>
    <mc:AlternateContent xmlns:mc="http://schemas.openxmlformats.org/markup-compatibility/2006">
      <mc:Choice Requires="x14">
        <oleObject progId="Word.Picture.8" shapeId="35841" r:id="rId4">
          <objectPr defaultSize="0" autoPict="0" r:id="rId5">
            <anchor moveWithCells="1" sizeWithCells="1">
              <from>
                <xdr:col>9</xdr:col>
                <xdr:colOff>640080</xdr:colOff>
                <xdr:row>0</xdr:row>
                <xdr:rowOff>99060</xdr:rowOff>
              </from>
              <to>
                <xdr:col>10</xdr:col>
                <xdr:colOff>838200</xdr:colOff>
                <xdr:row>6</xdr:row>
                <xdr:rowOff>83820</xdr:rowOff>
              </to>
            </anchor>
          </objectPr>
        </oleObject>
      </mc:Choice>
      <mc:Fallback>
        <oleObject progId="Word.Picture.8" shapeId="35841" r:id="rId4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C00000"/>
  </sheetPr>
  <dimension ref="A1:FQ171"/>
  <sheetViews>
    <sheetView workbookViewId="0"/>
  </sheetViews>
  <sheetFormatPr baseColWidth="10" defaultRowHeight="13.2"/>
  <cols>
    <col min="1" max="1" width="9.109375" style="109" bestFit="1" customWidth="1"/>
    <col min="2" max="2" width="48.33203125" style="166" bestFit="1" customWidth="1"/>
    <col min="3" max="3" width="6.44140625" style="124" bestFit="1" customWidth="1"/>
    <col min="4" max="4" width="9.44140625" style="123" bestFit="1" customWidth="1"/>
    <col min="5" max="5" width="7" bestFit="1" customWidth="1"/>
    <col min="6" max="6" width="10" customWidth="1"/>
    <col min="7" max="7" width="7" bestFit="1" customWidth="1"/>
    <col min="8" max="8" width="5.5546875" bestFit="1" customWidth="1"/>
    <col min="9" max="9" width="9.33203125" bestFit="1" customWidth="1"/>
    <col min="10" max="10" width="28.6640625" customWidth="1"/>
    <col min="11" max="11" width="15.109375" bestFit="1" customWidth="1"/>
    <col min="12" max="12" width="13.88671875" customWidth="1"/>
    <col min="257" max="257" width="9.109375" bestFit="1" customWidth="1"/>
    <col min="258" max="258" width="48.33203125" bestFit="1" customWidth="1"/>
    <col min="259" max="259" width="6.44140625" bestFit="1" customWidth="1"/>
    <col min="260" max="260" width="9.44140625" bestFit="1" customWidth="1"/>
    <col min="261" max="261" width="7" bestFit="1" customWidth="1"/>
    <col min="262" max="262" width="10" customWidth="1"/>
    <col min="263" max="263" width="7" bestFit="1" customWidth="1"/>
    <col min="264" max="264" width="5.5546875" bestFit="1" customWidth="1"/>
    <col min="265" max="265" width="9.33203125" bestFit="1" customWidth="1"/>
    <col min="266" max="266" width="28.6640625" customWidth="1"/>
    <col min="267" max="267" width="15.109375" bestFit="1" customWidth="1"/>
    <col min="268" max="268" width="13.88671875" customWidth="1"/>
    <col min="513" max="513" width="9.109375" bestFit="1" customWidth="1"/>
    <col min="514" max="514" width="48.33203125" bestFit="1" customWidth="1"/>
    <col min="515" max="515" width="6.44140625" bestFit="1" customWidth="1"/>
    <col min="516" max="516" width="9.44140625" bestFit="1" customWidth="1"/>
    <col min="517" max="517" width="7" bestFit="1" customWidth="1"/>
    <col min="518" max="518" width="10" customWidth="1"/>
    <col min="519" max="519" width="7" bestFit="1" customWidth="1"/>
    <col min="520" max="520" width="5.5546875" bestFit="1" customWidth="1"/>
    <col min="521" max="521" width="9.33203125" bestFit="1" customWidth="1"/>
    <col min="522" max="522" width="28.6640625" customWidth="1"/>
    <col min="523" max="523" width="15.109375" bestFit="1" customWidth="1"/>
    <col min="524" max="524" width="13.88671875" customWidth="1"/>
    <col min="769" max="769" width="9.109375" bestFit="1" customWidth="1"/>
    <col min="770" max="770" width="48.33203125" bestFit="1" customWidth="1"/>
    <col min="771" max="771" width="6.44140625" bestFit="1" customWidth="1"/>
    <col min="772" max="772" width="9.44140625" bestFit="1" customWidth="1"/>
    <col min="773" max="773" width="7" bestFit="1" customWidth="1"/>
    <col min="774" max="774" width="10" customWidth="1"/>
    <col min="775" max="775" width="7" bestFit="1" customWidth="1"/>
    <col min="776" max="776" width="5.5546875" bestFit="1" customWidth="1"/>
    <col min="777" max="777" width="9.33203125" bestFit="1" customWidth="1"/>
    <col min="778" max="778" width="28.6640625" customWidth="1"/>
    <col min="779" max="779" width="15.109375" bestFit="1" customWidth="1"/>
    <col min="780" max="780" width="13.88671875" customWidth="1"/>
    <col min="1025" max="1025" width="9.109375" bestFit="1" customWidth="1"/>
    <col min="1026" max="1026" width="48.33203125" bestFit="1" customWidth="1"/>
    <col min="1027" max="1027" width="6.44140625" bestFit="1" customWidth="1"/>
    <col min="1028" max="1028" width="9.44140625" bestFit="1" customWidth="1"/>
    <col min="1029" max="1029" width="7" bestFit="1" customWidth="1"/>
    <col min="1030" max="1030" width="10" customWidth="1"/>
    <col min="1031" max="1031" width="7" bestFit="1" customWidth="1"/>
    <col min="1032" max="1032" width="5.5546875" bestFit="1" customWidth="1"/>
    <col min="1033" max="1033" width="9.33203125" bestFit="1" customWidth="1"/>
    <col min="1034" max="1034" width="28.6640625" customWidth="1"/>
    <col min="1035" max="1035" width="15.109375" bestFit="1" customWidth="1"/>
    <col min="1036" max="1036" width="13.88671875" customWidth="1"/>
    <col min="1281" max="1281" width="9.109375" bestFit="1" customWidth="1"/>
    <col min="1282" max="1282" width="48.33203125" bestFit="1" customWidth="1"/>
    <col min="1283" max="1283" width="6.44140625" bestFit="1" customWidth="1"/>
    <col min="1284" max="1284" width="9.44140625" bestFit="1" customWidth="1"/>
    <col min="1285" max="1285" width="7" bestFit="1" customWidth="1"/>
    <col min="1286" max="1286" width="10" customWidth="1"/>
    <col min="1287" max="1287" width="7" bestFit="1" customWidth="1"/>
    <col min="1288" max="1288" width="5.5546875" bestFit="1" customWidth="1"/>
    <col min="1289" max="1289" width="9.33203125" bestFit="1" customWidth="1"/>
    <col min="1290" max="1290" width="28.6640625" customWidth="1"/>
    <col min="1291" max="1291" width="15.109375" bestFit="1" customWidth="1"/>
    <col min="1292" max="1292" width="13.88671875" customWidth="1"/>
    <col min="1537" max="1537" width="9.109375" bestFit="1" customWidth="1"/>
    <col min="1538" max="1538" width="48.33203125" bestFit="1" customWidth="1"/>
    <col min="1539" max="1539" width="6.44140625" bestFit="1" customWidth="1"/>
    <col min="1540" max="1540" width="9.44140625" bestFit="1" customWidth="1"/>
    <col min="1541" max="1541" width="7" bestFit="1" customWidth="1"/>
    <col min="1542" max="1542" width="10" customWidth="1"/>
    <col min="1543" max="1543" width="7" bestFit="1" customWidth="1"/>
    <col min="1544" max="1544" width="5.5546875" bestFit="1" customWidth="1"/>
    <col min="1545" max="1545" width="9.33203125" bestFit="1" customWidth="1"/>
    <col min="1546" max="1546" width="28.6640625" customWidth="1"/>
    <col min="1547" max="1547" width="15.109375" bestFit="1" customWidth="1"/>
    <col min="1548" max="1548" width="13.88671875" customWidth="1"/>
    <col min="1793" max="1793" width="9.109375" bestFit="1" customWidth="1"/>
    <col min="1794" max="1794" width="48.33203125" bestFit="1" customWidth="1"/>
    <col min="1795" max="1795" width="6.44140625" bestFit="1" customWidth="1"/>
    <col min="1796" max="1796" width="9.44140625" bestFit="1" customWidth="1"/>
    <col min="1797" max="1797" width="7" bestFit="1" customWidth="1"/>
    <col min="1798" max="1798" width="10" customWidth="1"/>
    <col min="1799" max="1799" width="7" bestFit="1" customWidth="1"/>
    <col min="1800" max="1800" width="5.5546875" bestFit="1" customWidth="1"/>
    <col min="1801" max="1801" width="9.33203125" bestFit="1" customWidth="1"/>
    <col min="1802" max="1802" width="28.6640625" customWidth="1"/>
    <col min="1803" max="1803" width="15.109375" bestFit="1" customWidth="1"/>
    <col min="1804" max="1804" width="13.88671875" customWidth="1"/>
    <col min="2049" max="2049" width="9.109375" bestFit="1" customWidth="1"/>
    <col min="2050" max="2050" width="48.33203125" bestFit="1" customWidth="1"/>
    <col min="2051" max="2051" width="6.44140625" bestFit="1" customWidth="1"/>
    <col min="2052" max="2052" width="9.44140625" bestFit="1" customWidth="1"/>
    <col min="2053" max="2053" width="7" bestFit="1" customWidth="1"/>
    <col min="2054" max="2054" width="10" customWidth="1"/>
    <col min="2055" max="2055" width="7" bestFit="1" customWidth="1"/>
    <col min="2056" max="2056" width="5.5546875" bestFit="1" customWidth="1"/>
    <col min="2057" max="2057" width="9.33203125" bestFit="1" customWidth="1"/>
    <col min="2058" max="2058" width="28.6640625" customWidth="1"/>
    <col min="2059" max="2059" width="15.109375" bestFit="1" customWidth="1"/>
    <col min="2060" max="2060" width="13.88671875" customWidth="1"/>
    <col min="2305" max="2305" width="9.109375" bestFit="1" customWidth="1"/>
    <col min="2306" max="2306" width="48.33203125" bestFit="1" customWidth="1"/>
    <col min="2307" max="2307" width="6.44140625" bestFit="1" customWidth="1"/>
    <col min="2308" max="2308" width="9.44140625" bestFit="1" customWidth="1"/>
    <col min="2309" max="2309" width="7" bestFit="1" customWidth="1"/>
    <col min="2310" max="2310" width="10" customWidth="1"/>
    <col min="2311" max="2311" width="7" bestFit="1" customWidth="1"/>
    <col min="2312" max="2312" width="5.5546875" bestFit="1" customWidth="1"/>
    <col min="2313" max="2313" width="9.33203125" bestFit="1" customWidth="1"/>
    <col min="2314" max="2314" width="28.6640625" customWidth="1"/>
    <col min="2315" max="2315" width="15.109375" bestFit="1" customWidth="1"/>
    <col min="2316" max="2316" width="13.88671875" customWidth="1"/>
    <col min="2561" max="2561" width="9.109375" bestFit="1" customWidth="1"/>
    <col min="2562" max="2562" width="48.33203125" bestFit="1" customWidth="1"/>
    <col min="2563" max="2563" width="6.44140625" bestFit="1" customWidth="1"/>
    <col min="2564" max="2564" width="9.44140625" bestFit="1" customWidth="1"/>
    <col min="2565" max="2565" width="7" bestFit="1" customWidth="1"/>
    <col min="2566" max="2566" width="10" customWidth="1"/>
    <col min="2567" max="2567" width="7" bestFit="1" customWidth="1"/>
    <col min="2568" max="2568" width="5.5546875" bestFit="1" customWidth="1"/>
    <col min="2569" max="2569" width="9.33203125" bestFit="1" customWidth="1"/>
    <col min="2570" max="2570" width="28.6640625" customWidth="1"/>
    <col min="2571" max="2571" width="15.109375" bestFit="1" customWidth="1"/>
    <col min="2572" max="2572" width="13.88671875" customWidth="1"/>
    <col min="2817" max="2817" width="9.109375" bestFit="1" customWidth="1"/>
    <col min="2818" max="2818" width="48.33203125" bestFit="1" customWidth="1"/>
    <col min="2819" max="2819" width="6.44140625" bestFit="1" customWidth="1"/>
    <col min="2820" max="2820" width="9.44140625" bestFit="1" customWidth="1"/>
    <col min="2821" max="2821" width="7" bestFit="1" customWidth="1"/>
    <col min="2822" max="2822" width="10" customWidth="1"/>
    <col min="2823" max="2823" width="7" bestFit="1" customWidth="1"/>
    <col min="2824" max="2824" width="5.5546875" bestFit="1" customWidth="1"/>
    <col min="2825" max="2825" width="9.33203125" bestFit="1" customWidth="1"/>
    <col min="2826" max="2826" width="28.6640625" customWidth="1"/>
    <col min="2827" max="2827" width="15.109375" bestFit="1" customWidth="1"/>
    <col min="2828" max="2828" width="13.88671875" customWidth="1"/>
    <col min="3073" max="3073" width="9.109375" bestFit="1" customWidth="1"/>
    <col min="3074" max="3074" width="48.33203125" bestFit="1" customWidth="1"/>
    <col min="3075" max="3075" width="6.44140625" bestFit="1" customWidth="1"/>
    <col min="3076" max="3076" width="9.44140625" bestFit="1" customWidth="1"/>
    <col min="3077" max="3077" width="7" bestFit="1" customWidth="1"/>
    <col min="3078" max="3078" width="10" customWidth="1"/>
    <col min="3079" max="3079" width="7" bestFit="1" customWidth="1"/>
    <col min="3080" max="3080" width="5.5546875" bestFit="1" customWidth="1"/>
    <col min="3081" max="3081" width="9.33203125" bestFit="1" customWidth="1"/>
    <col min="3082" max="3082" width="28.6640625" customWidth="1"/>
    <col min="3083" max="3083" width="15.109375" bestFit="1" customWidth="1"/>
    <col min="3084" max="3084" width="13.88671875" customWidth="1"/>
    <col min="3329" max="3329" width="9.109375" bestFit="1" customWidth="1"/>
    <col min="3330" max="3330" width="48.33203125" bestFit="1" customWidth="1"/>
    <col min="3331" max="3331" width="6.44140625" bestFit="1" customWidth="1"/>
    <col min="3332" max="3332" width="9.44140625" bestFit="1" customWidth="1"/>
    <col min="3333" max="3333" width="7" bestFit="1" customWidth="1"/>
    <col min="3334" max="3334" width="10" customWidth="1"/>
    <col min="3335" max="3335" width="7" bestFit="1" customWidth="1"/>
    <col min="3336" max="3336" width="5.5546875" bestFit="1" customWidth="1"/>
    <col min="3337" max="3337" width="9.33203125" bestFit="1" customWidth="1"/>
    <col min="3338" max="3338" width="28.6640625" customWidth="1"/>
    <col min="3339" max="3339" width="15.109375" bestFit="1" customWidth="1"/>
    <col min="3340" max="3340" width="13.88671875" customWidth="1"/>
    <col min="3585" max="3585" width="9.109375" bestFit="1" customWidth="1"/>
    <col min="3586" max="3586" width="48.33203125" bestFit="1" customWidth="1"/>
    <col min="3587" max="3587" width="6.44140625" bestFit="1" customWidth="1"/>
    <col min="3588" max="3588" width="9.44140625" bestFit="1" customWidth="1"/>
    <col min="3589" max="3589" width="7" bestFit="1" customWidth="1"/>
    <col min="3590" max="3590" width="10" customWidth="1"/>
    <col min="3591" max="3591" width="7" bestFit="1" customWidth="1"/>
    <col min="3592" max="3592" width="5.5546875" bestFit="1" customWidth="1"/>
    <col min="3593" max="3593" width="9.33203125" bestFit="1" customWidth="1"/>
    <col min="3594" max="3594" width="28.6640625" customWidth="1"/>
    <col min="3595" max="3595" width="15.109375" bestFit="1" customWidth="1"/>
    <col min="3596" max="3596" width="13.88671875" customWidth="1"/>
    <col min="3841" max="3841" width="9.109375" bestFit="1" customWidth="1"/>
    <col min="3842" max="3842" width="48.33203125" bestFit="1" customWidth="1"/>
    <col min="3843" max="3843" width="6.44140625" bestFit="1" customWidth="1"/>
    <col min="3844" max="3844" width="9.44140625" bestFit="1" customWidth="1"/>
    <col min="3845" max="3845" width="7" bestFit="1" customWidth="1"/>
    <col min="3846" max="3846" width="10" customWidth="1"/>
    <col min="3847" max="3847" width="7" bestFit="1" customWidth="1"/>
    <col min="3848" max="3848" width="5.5546875" bestFit="1" customWidth="1"/>
    <col min="3849" max="3849" width="9.33203125" bestFit="1" customWidth="1"/>
    <col min="3850" max="3850" width="28.6640625" customWidth="1"/>
    <col min="3851" max="3851" width="15.109375" bestFit="1" customWidth="1"/>
    <col min="3852" max="3852" width="13.88671875" customWidth="1"/>
    <col min="4097" max="4097" width="9.109375" bestFit="1" customWidth="1"/>
    <col min="4098" max="4098" width="48.33203125" bestFit="1" customWidth="1"/>
    <col min="4099" max="4099" width="6.44140625" bestFit="1" customWidth="1"/>
    <col min="4100" max="4100" width="9.44140625" bestFit="1" customWidth="1"/>
    <col min="4101" max="4101" width="7" bestFit="1" customWidth="1"/>
    <col min="4102" max="4102" width="10" customWidth="1"/>
    <col min="4103" max="4103" width="7" bestFit="1" customWidth="1"/>
    <col min="4104" max="4104" width="5.5546875" bestFit="1" customWidth="1"/>
    <col min="4105" max="4105" width="9.33203125" bestFit="1" customWidth="1"/>
    <col min="4106" max="4106" width="28.6640625" customWidth="1"/>
    <col min="4107" max="4107" width="15.109375" bestFit="1" customWidth="1"/>
    <col min="4108" max="4108" width="13.88671875" customWidth="1"/>
    <col min="4353" max="4353" width="9.109375" bestFit="1" customWidth="1"/>
    <col min="4354" max="4354" width="48.33203125" bestFit="1" customWidth="1"/>
    <col min="4355" max="4355" width="6.44140625" bestFit="1" customWidth="1"/>
    <col min="4356" max="4356" width="9.44140625" bestFit="1" customWidth="1"/>
    <col min="4357" max="4357" width="7" bestFit="1" customWidth="1"/>
    <col min="4358" max="4358" width="10" customWidth="1"/>
    <col min="4359" max="4359" width="7" bestFit="1" customWidth="1"/>
    <col min="4360" max="4360" width="5.5546875" bestFit="1" customWidth="1"/>
    <col min="4361" max="4361" width="9.33203125" bestFit="1" customWidth="1"/>
    <col min="4362" max="4362" width="28.6640625" customWidth="1"/>
    <col min="4363" max="4363" width="15.109375" bestFit="1" customWidth="1"/>
    <col min="4364" max="4364" width="13.88671875" customWidth="1"/>
    <col min="4609" max="4609" width="9.109375" bestFit="1" customWidth="1"/>
    <col min="4610" max="4610" width="48.33203125" bestFit="1" customWidth="1"/>
    <col min="4611" max="4611" width="6.44140625" bestFit="1" customWidth="1"/>
    <col min="4612" max="4612" width="9.44140625" bestFit="1" customWidth="1"/>
    <col min="4613" max="4613" width="7" bestFit="1" customWidth="1"/>
    <col min="4614" max="4614" width="10" customWidth="1"/>
    <col min="4615" max="4615" width="7" bestFit="1" customWidth="1"/>
    <col min="4616" max="4616" width="5.5546875" bestFit="1" customWidth="1"/>
    <col min="4617" max="4617" width="9.33203125" bestFit="1" customWidth="1"/>
    <col min="4618" max="4618" width="28.6640625" customWidth="1"/>
    <col min="4619" max="4619" width="15.109375" bestFit="1" customWidth="1"/>
    <col min="4620" max="4620" width="13.88671875" customWidth="1"/>
    <col min="4865" max="4865" width="9.109375" bestFit="1" customWidth="1"/>
    <col min="4866" max="4866" width="48.33203125" bestFit="1" customWidth="1"/>
    <col min="4867" max="4867" width="6.44140625" bestFit="1" customWidth="1"/>
    <col min="4868" max="4868" width="9.44140625" bestFit="1" customWidth="1"/>
    <col min="4869" max="4869" width="7" bestFit="1" customWidth="1"/>
    <col min="4870" max="4870" width="10" customWidth="1"/>
    <col min="4871" max="4871" width="7" bestFit="1" customWidth="1"/>
    <col min="4872" max="4872" width="5.5546875" bestFit="1" customWidth="1"/>
    <col min="4873" max="4873" width="9.33203125" bestFit="1" customWidth="1"/>
    <col min="4874" max="4874" width="28.6640625" customWidth="1"/>
    <col min="4875" max="4875" width="15.109375" bestFit="1" customWidth="1"/>
    <col min="4876" max="4876" width="13.88671875" customWidth="1"/>
    <col min="5121" max="5121" width="9.109375" bestFit="1" customWidth="1"/>
    <col min="5122" max="5122" width="48.33203125" bestFit="1" customWidth="1"/>
    <col min="5123" max="5123" width="6.44140625" bestFit="1" customWidth="1"/>
    <col min="5124" max="5124" width="9.44140625" bestFit="1" customWidth="1"/>
    <col min="5125" max="5125" width="7" bestFit="1" customWidth="1"/>
    <col min="5126" max="5126" width="10" customWidth="1"/>
    <col min="5127" max="5127" width="7" bestFit="1" customWidth="1"/>
    <col min="5128" max="5128" width="5.5546875" bestFit="1" customWidth="1"/>
    <col min="5129" max="5129" width="9.33203125" bestFit="1" customWidth="1"/>
    <col min="5130" max="5130" width="28.6640625" customWidth="1"/>
    <col min="5131" max="5131" width="15.109375" bestFit="1" customWidth="1"/>
    <col min="5132" max="5132" width="13.88671875" customWidth="1"/>
    <col min="5377" max="5377" width="9.109375" bestFit="1" customWidth="1"/>
    <col min="5378" max="5378" width="48.33203125" bestFit="1" customWidth="1"/>
    <col min="5379" max="5379" width="6.44140625" bestFit="1" customWidth="1"/>
    <col min="5380" max="5380" width="9.44140625" bestFit="1" customWidth="1"/>
    <col min="5381" max="5381" width="7" bestFit="1" customWidth="1"/>
    <col min="5382" max="5382" width="10" customWidth="1"/>
    <col min="5383" max="5383" width="7" bestFit="1" customWidth="1"/>
    <col min="5384" max="5384" width="5.5546875" bestFit="1" customWidth="1"/>
    <col min="5385" max="5385" width="9.33203125" bestFit="1" customWidth="1"/>
    <col min="5386" max="5386" width="28.6640625" customWidth="1"/>
    <col min="5387" max="5387" width="15.109375" bestFit="1" customWidth="1"/>
    <col min="5388" max="5388" width="13.88671875" customWidth="1"/>
    <col min="5633" max="5633" width="9.109375" bestFit="1" customWidth="1"/>
    <col min="5634" max="5634" width="48.33203125" bestFit="1" customWidth="1"/>
    <col min="5635" max="5635" width="6.44140625" bestFit="1" customWidth="1"/>
    <col min="5636" max="5636" width="9.44140625" bestFit="1" customWidth="1"/>
    <col min="5637" max="5637" width="7" bestFit="1" customWidth="1"/>
    <col min="5638" max="5638" width="10" customWidth="1"/>
    <col min="5639" max="5639" width="7" bestFit="1" customWidth="1"/>
    <col min="5640" max="5640" width="5.5546875" bestFit="1" customWidth="1"/>
    <col min="5641" max="5641" width="9.33203125" bestFit="1" customWidth="1"/>
    <col min="5642" max="5642" width="28.6640625" customWidth="1"/>
    <col min="5643" max="5643" width="15.109375" bestFit="1" customWidth="1"/>
    <col min="5644" max="5644" width="13.88671875" customWidth="1"/>
    <col min="5889" max="5889" width="9.109375" bestFit="1" customWidth="1"/>
    <col min="5890" max="5890" width="48.33203125" bestFit="1" customWidth="1"/>
    <col min="5891" max="5891" width="6.44140625" bestFit="1" customWidth="1"/>
    <col min="5892" max="5892" width="9.44140625" bestFit="1" customWidth="1"/>
    <col min="5893" max="5893" width="7" bestFit="1" customWidth="1"/>
    <col min="5894" max="5894" width="10" customWidth="1"/>
    <col min="5895" max="5895" width="7" bestFit="1" customWidth="1"/>
    <col min="5896" max="5896" width="5.5546875" bestFit="1" customWidth="1"/>
    <col min="5897" max="5897" width="9.33203125" bestFit="1" customWidth="1"/>
    <col min="5898" max="5898" width="28.6640625" customWidth="1"/>
    <col min="5899" max="5899" width="15.109375" bestFit="1" customWidth="1"/>
    <col min="5900" max="5900" width="13.88671875" customWidth="1"/>
    <col min="6145" max="6145" width="9.109375" bestFit="1" customWidth="1"/>
    <col min="6146" max="6146" width="48.33203125" bestFit="1" customWidth="1"/>
    <col min="6147" max="6147" width="6.44140625" bestFit="1" customWidth="1"/>
    <col min="6148" max="6148" width="9.44140625" bestFit="1" customWidth="1"/>
    <col min="6149" max="6149" width="7" bestFit="1" customWidth="1"/>
    <col min="6150" max="6150" width="10" customWidth="1"/>
    <col min="6151" max="6151" width="7" bestFit="1" customWidth="1"/>
    <col min="6152" max="6152" width="5.5546875" bestFit="1" customWidth="1"/>
    <col min="6153" max="6153" width="9.33203125" bestFit="1" customWidth="1"/>
    <col min="6154" max="6154" width="28.6640625" customWidth="1"/>
    <col min="6155" max="6155" width="15.109375" bestFit="1" customWidth="1"/>
    <col min="6156" max="6156" width="13.88671875" customWidth="1"/>
    <col min="6401" max="6401" width="9.109375" bestFit="1" customWidth="1"/>
    <col min="6402" max="6402" width="48.33203125" bestFit="1" customWidth="1"/>
    <col min="6403" max="6403" width="6.44140625" bestFit="1" customWidth="1"/>
    <col min="6404" max="6404" width="9.44140625" bestFit="1" customWidth="1"/>
    <col min="6405" max="6405" width="7" bestFit="1" customWidth="1"/>
    <col min="6406" max="6406" width="10" customWidth="1"/>
    <col min="6407" max="6407" width="7" bestFit="1" customWidth="1"/>
    <col min="6408" max="6408" width="5.5546875" bestFit="1" customWidth="1"/>
    <col min="6409" max="6409" width="9.33203125" bestFit="1" customWidth="1"/>
    <col min="6410" max="6410" width="28.6640625" customWidth="1"/>
    <col min="6411" max="6411" width="15.109375" bestFit="1" customWidth="1"/>
    <col min="6412" max="6412" width="13.88671875" customWidth="1"/>
    <col min="6657" max="6657" width="9.109375" bestFit="1" customWidth="1"/>
    <col min="6658" max="6658" width="48.33203125" bestFit="1" customWidth="1"/>
    <col min="6659" max="6659" width="6.44140625" bestFit="1" customWidth="1"/>
    <col min="6660" max="6660" width="9.44140625" bestFit="1" customWidth="1"/>
    <col min="6661" max="6661" width="7" bestFit="1" customWidth="1"/>
    <col min="6662" max="6662" width="10" customWidth="1"/>
    <col min="6663" max="6663" width="7" bestFit="1" customWidth="1"/>
    <col min="6664" max="6664" width="5.5546875" bestFit="1" customWidth="1"/>
    <col min="6665" max="6665" width="9.33203125" bestFit="1" customWidth="1"/>
    <col min="6666" max="6666" width="28.6640625" customWidth="1"/>
    <col min="6667" max="6667" width="15.109375" bestFit="1" customWidth="1"/>
    <col min="6668" max="6668" width="13.88671875" customWidth="1"/>
    <col min="6913" max="6913" width="9.109375" bestFit="1" customWidth="1"/>
    <col min="6914" max="6914" width="48.33203125" bestFit="1" customWidth="1"/>
    <col min="6915" max="6915" width="6.44140625" bestFit="1" customWidth="1"/>
    <col min="6916" max="6916" width="9.44140625" bestFit="1" customWidth="1"/>
    <col min="6917" max="6917" width="7" bestFit="1" customWidth="1"/>
    <col min="6918" max="6918" width="10" customWidth="1"/>
    <col min="6919" max="6919" width="7" bestFit="1" customWidth="1"/>
    <col min="6920" max="6920" width="5.5546875" bestFit="1" customWidth="1"/>
    <col min="6921" max="6921" width="9.33203125" bestFit="1" customWidth="1"/>
    <col min="6922" max="6922" width="28.6640625" customWidth="1"/>
    <col min="6923" max="6923" width="15.109375" bestFit="1" customWidth="1"/>
    <col min="6924" max="6924" width="13.88671875" customWidth="1"/>
    <col min="7169" max="7169" width="9.109375" bestFit="1" customWidth="1"/>
    <col min="7170" max="7170" width="48.33203125" bestFit="1" customWidth="1"/>
    <col min="7171" max="7171" width="6.44140625" bestFit="1" customWidth="1"/>
    <col min="7172" max="7172" width="9.44140625" bestFit="1" customWidth="1"/>
    <col min="7173" max="7173" width="7" bestFit="1" customWidth="1"/>
    <col min="7174" max="7174" width="10" customWidth="1"/>
    <col min="7175" max="7175" width="7" bestFit="1" customWidth="1"/>
    <col min="7176" max="7176" width="5.5546875" bestFit="1" customWidth="1"/>
    <col min="7177" max="7177" width="9.33203125" bestFit="1" customWidth="1"/>
    <col min="7178" max="7178" width="28.6640625" customWidth="1"/>
    <col min="7179" max="7179" width="15.109375" bestFit="1" customWidth="1"/>
    <col min="7180" max="7180" width="13.88671875" customWidth="1"/>
    <col min="7425" max="7425" width="9.109375" bestFit="1" customWidth="1"/>
    <col min="7426" max="7426" width="48.33203125" bestFit="1" customWidth="1"/>
    <col min="7427" max="7427" width="6.44140625" bestFit="1" customWidth="1"/>
    <col min="7428" max="7428" width="9.44140625" bestFit="1" customWidth="1"/>
    <col min="7429" max="7429" width="7" bestFit="1" customWidth="1"/>
    <col min="7430" max="7430" width="10" customWidth="1"/>
    <col min="7431" max="7431" width="7" bestFit="1" customWidth="1"/>
    <col min="7432" max="7432" width="5.5546875" bestFit="1" customWidth="1"/>
    <col min="7433" max="7433" width="9.33203125" bestFit="1" customWidth="1"/>
    <col min="7434" max="7434" width="28.6640625" customWidth="1"/>
    <col min="7435" max="7435" width="15.109375" bestFit="1" customWidth="1"/>
    <col min="7436" max="7436" width="13.88671875" customWidth="1"/>
    <col min="7681" max="7681" width="9.109375" bestFit="1" customWidth="1"/>
    <col min="7682" max="7682" width="48.33203125" bestFit="1" customWidth="1"/>
    <col min="7683" max="7683" width="6.44140625" bestFit="1" customWidth="1"/>
    <col min="7684" max="7684" width="9.44140625" bestFit="1" customWidth="1"/>
    <col min="7685" max="7685" width="7" bestFit="1" customWidth="1"/>
    <col min="7686" max="7686" width="10" customWidth="1"/>
    <col min="7687" max="7687" width="7" bestFit="1" customWidth="1"/>
    <col min="7688" max="7688" width="5.5546875" bestFit="1" customWidth="1"/>
    <col min="7689" max="7689" width="9.33203125" bestFit="1" customWidth="1"/>
    <col min="7690" max="7690" width="28.6640625" customWidth="1"/>
    <col min="7691" max="7691" width="15.109375" bestFit="1" customWidth="1"/>
    <col min="7692" max="7692" width="13.88671875" customWidth="1"/>
    <col min="7937" max="7937" width="9.109375" bestFit="1" customWidth="1"/>
    <col min="7938" max="7938" width="48.33203125" bestFit="1" customWidth="1"/>
    <col min="7939" max="7939" width="6.44140625" bestFit="1" customWidth="1"/>
    <col min="7940" max="7940" width="9.44140625" bestFit="1" customWidth="1"/>
    <col min="7941" max="7941" width="7" bestFit="1" customWidth="1"/>
    <col min="7942" max="7942" width="10" customWidth="1"/>
    <col min="7943" max="7943" width="7" bestFit="1" customWidth="1"/>
    <col min="7944" max="7944" width="5.5546875" bestFit="1" customWidth="1"/>
    <col min="7945" max="7945" width="9.33203125" bestFit="1" customWidth="1"/>
    <col min="7946" max="7946" width="28.6640625" customWidth="1"/>
    <col min="7947" max="7947" width="15.109375" bestFit="1" customWidth="1"/>
    <col min="7948" max="7948" width="13.88671875" customWidth="1"/>
    <col min="8193" max="8193" width="9.109375" bestFit="1" customWidth="1"/>
    <col min="8194" max="8194" width="48.33203125" bestFit="1" customWidth="1"/>
    <col min="8195" max="8195" width="6.44140625" bestFit="1" customWidth="1"/>
    <col min="8196" max="8196" width="9.44140625" bestFit="1" customWidth="1"/>
    <col min="8197" max="8197" width="7" bestFit="1" customWidth="1"/>
    <col min="8198" max="8198" width="10" customWidth="1"/>
    <col min="8199" max="8199" width="7" bestFit="1" customWidth="1"/>
    <col min="8200" max="8200" width="5.5546875" bestFit="1" customWidth="1"/>
    <col min="8201" max="8201" width="9.33203125" bestFit="1" customWidth="1"/>
    <col min="8202" max="8202" width="28.6640625" customWidth="1"/>
    <col min="8203" max="8203" width="15.109375" bestFit="1" customWidth="1"/>
    <col min="8204" max="8204" width="13.88671875" customWidth="1"/>
    <col min="8449" max="8449" width="9.109375" bestFit="1" customWidth="1"/>
    <col min="8450" max="8450" width="48.33203125" bestFit="1" customWidth="1"/>
    <col min="8451" max="8451" width="6.44140625" bestFit="1" customWidth="1"/>
    <col min="8452" max="8452" width="9.44140625" bestFit="1" customWidth="1"/>
    <col min="8453" max="8453" width="7" bestFit="1" customWidth="1"/>
    <col min="8454" max="8454" width="10" customWidth="1"/>
    <col min="8455" max="8455" width="7" bestFit="1" customWidth="1"/>
    <col min="8456" max="8456" width="5.5546875" bestFit="1" customWidth="1"/>
    <col min="8457" max="8457" width="9.33203125" bestFit="1" customWidth="1"/>
    <col min="8458" max="8458" width="28.6640625" customWidth="1"/>
    <col min="8459" max="8459" width="15.109375" bestFit="1" customWidth="1"/>
    <col min="8460" max="8460" width="13.88671875" customWidth="1"/>
    <col min="8705" max="8705" width="9.109375" bestFit="1" customWidth="1"/>
    <col min="8706" max="8706" width="48.33203125" bestFit="1" customWidth="1"/>
    <col min="8707" max="8707" width="6.44140625" bestFit="1" customWidth="1"/>
    <col min="8708" max="8708" width="9.44140625" bestFit="1" customWidth="1"/>
    <col min="8709" max="8709" width="7" bestFit="1" customWidth="1"/>
    <col min="8710" max="8710" width="10" customWidth="1"/>
    <col min="8711" max="8711" width="7" bestFit="1" customWidth="1"/>
    <col min="8712" max="8712" width="5.5546875" bestFit="1" customWidth="1"/>
    <col min="8713" max="8713" width="9.33203125" bestFit="1" customWidth="1"/>
    <col min="8714" max="8714" width="28.6640625" customWidth="1"/>
    <col min="8715" max="8715" width="15.109375" bestFit="1" customWidth="1"/>
    <col min="8716" max="8716" width="13.88671875" customWidth="1"/>
    <col min="8961" max="8961" width="9.109375" bestFit="1" customWidth="1"/>
    <col min="8962" max="8962" width="48.33203125" bestFit="1" customWidth="1"/>
    <col min="8963" max="8963" width="6.44140625" bestFit="1" customWidth="1"/>
    <col min="8964" max="8964" width="9.44140625" bestFit="1" customWidth="1"/>
    <col min="8965" max="8965" width="7" bestFit="1" customWidth="1"/>
    <col min="8966" max="8966" width="10" customWidth="1"/>
    <col min="8967" max="8967" width="7" bestFit="1" customWidth="1"/>
    <col min="8968" max="8968" width="5.5546875" bestFit="1" customWidth="1"/>
    <col min="8969" max="8969" width="9.33203125" bestFit="1" customWidth="1"/>
    <col min="8970" max="8970" width="28.6640625" customWidth="1"/>
    <col min="8971" max="8971" width="15.109375" bestFit="1" customWidth="1"/>
    <col min="8972" max="8972" width="13.88671875" customWidth="1"/>
    <col min="9217" max="9217" width="9.109375" bestFit="1" customWidth="1"/>
    <col min="9218" max="9218" width="48.33203125" bestFit="1" customWidth="1"/>
    <col min="9219" max="9219" width="6.44140625" bestFit="1" customWidth="1"/>
    <col min="9220" max="9220" width="9.44140625" bestFit="1" customWidth="1"/>
    <col min="9221" max="9221" width="7" bestFit="1" customWidth="1"/>
    <col min="9222" max="9222" width="10" customWidth="1"/>
    <col min="9223" max="9223" width="7" bestFit="1" customWidth="1"/>
    <col min="9224" max="9224" width="5.5546875" bestFit="1" customWidth="1"/>
    <col min="9225" max="9225" width="9.33203125" bestFit="1" customWidth="1"/>
    <col min="9226" max="9226" width="28.6640625" customWidth="1"/>
    <col min="9227" max="9227" width="15.109375" bestFit="1" customWidth="1"/>
    <col min="9228" max="9228" width="13.88671875" customWidth="1"/>
    <col min="9473" max="9473" width="9.109375" bestFit="1" customWidth="1"/>
    <col min="9474" max="9474" width="48.33203125" bestFit="1" customWidth="1"/>
    <col min="9475" max="9475" width="6.44140625" bestFit="1" customWidth="1"/>
    <col min="9476" max="9476" width="9.44140625" bestFit="1" customWidth="1"/>
    <col min="9477" max="9477" width="7" bestFit="1" customWidth="1"/>
    <col min="9478" max="9478" width="10" customWidth="1"/>
    <col min="9479" max="9479" width="7" bestFit="1" customWidth="1"/>
    <col min="9480" max="9480" width="5.5546875" bestFit="1" customWidth="1"/>
    <col min="9481" max="9481" width="9.33203125" bestFit="1" customWidth="1"/>
    <col min="9482" max="9482" width="28.6640625" customWidth="1"/>
    <col min="9483" max="9483" width="15.109375" bestFit="1" customWidth="1"/>
    <col min="9484" max="9484" width="13.88671875" customWidth="1"/>
    <col min="9729" max="9729" width="9.109375" bestFit="1" customWidth="1"/>
    <col min="9730" max="9730" width="48.33203125" bestFit="1" customWidth="1"/>
    <col min="9731" max="9731" width="6.44140625" bestFit="1" customWidth="1"/>
    <col min="9732" max="9732" width="9.44140625" bestFit="1" customWidth="1"/>
    <col min="9733" max="9733" width="7" bestFit="1" customWidth="1"/>
    <col min="9734" max="9734" width="10" customWidth="1"/>
    <col min="9735" max="9735" width="7" bestFit="1" customWidth="1"/>
    <col min="9736" max="9736" width="5.5546875" bestFit="1" customWidth="1"/>
    <col min="9737" max="9737" width="9.33203125" bestFit="1" customWidth="1"/>
    <col min="9738" max="9738" width="28.6640625" customWidth="1"/>
    <col min="9739" max="9739" width="15.109375" bestFit="1" customWidth="1"/>
    <col min="9740" max="9740" width="13.88671875" customWidth="1"/>
    <col min="9985" max="9985" width="9.109375" bestFit="1" customWidth="1"/>
    <col min="9986" max="9986" width="48.33203125" bestFit="1" customWidth="1"/>
    <col min="9987" max="9987" width="6.44140625" bestFit="1" customWidth="1"/>
    <col min="9988" max="9988" width="9.44140625" bestFit="1" customWidth="1"/>
    <col min="9989" max="9989" width="7" bestFit="1" customWidth="1"/>
    <col min="9990" max="9990" width="10" customWidth="1"/>
    <col min="9991" max="9991" width="7" bestFit="1" customWidth="1"/>
    <col min="9992" max="9992" width="5.5546875" bestFit="1" customWidth="1"/>
    <col min="9993" max="9993" width="9.33203125" bestFit="1" customWidth="1"/>
    <col min="9994" max="9994" width="28.6640625" customWidth="1"/>
    <col min="9995" max="9995" width="15.109375" bestFit="1" customWidth="1"/>
    <col min="9996" max="9996" width="13.88671875" customWidth="1"/>
    <col min="10241" max="10241" width="9.109375" bestFit="1" customWidth="1"/>
    <col min="10242" max="10242" width="48.33203125" bestFit="1" customWidth="1"/>
    <col min="10243" max="10243" width="6.44140625" bestFit="1" customWidth="1"/>
    <col min="10244" max="10244" width="9.44140625" bestFit="1" customWidth="1"/>
    <col min="10245" max="10245" width="7" bestFit="1" customWidth="1"/>
    <col min="10246" max="10246" width="10" customWidth="1"/>
    <col min="10247" max="10247" width="7" bestFit="1" customWidth="1"/>
    <col min="10248" max="10248" width="5.5546875" bestFit="1" customWidth="1"/>
    <col min="10249" max="10249" width="9.33203125" bestFit="1" customWidth="1"/>
    <col min="10250" max="10250" width="28.6640625" customWidth="1"/>
    <col min="10251" max="10251" width="15.109375" bestFit="1" customWidth="1"/>
    <col min="10252" max="10252" width="13.88671875" customWidth="1"/>
    <col min="10497" max="10497" width="9.109375" bestFit="1" customWidth="1"/>
    <col min="10498" max="10498" width="48.33203125" bestFit="1" customWidth="1"/>
    <col min="10499" max="10499" width="6.44140625" bestFit="1" customWidth="1"/>
    <col min="10500" max="10500" width="9.44140625" bestFit="1" customWidth="1"/>
    <col min="10501" max="10501" width="7" bestFit="1" customWidth="1"/>
    <col min="10502" max="10502" width="10" customWidth="1"/>
    <col min="10503" max="10503" width="7" bestFit="1" customWidth="1"/>
    <col min="10504" max="10504" width="5.5546875" bestFit="1" customWidth="1"/>
    <col min="10505" max="10505" width="9.33203125" bestFit="1" customWidth="1"/>
    <col min="10506" max="10506" width="28.6640625" customWidth="1"/>
    <col min="10507" max="10507" width="15.109375" bestFit="1" customWidth="1"/>
    <col min="10508" max="10508" width="13.88671875" customWidth="1"/>
    <col min="10753" max="10753" width="9.109375" bestFit="1" customWidth="1"/>
    <col min="10754" max="10754" width="48.33203125" bestFit="1" customWidth="1"/>
    <col min="10755" max="10755" width="6.44140625" bestFit="1" customWidth="1"/>
    <col min="10756" max="10756" width="9.44140625" bestFit="1" customWidth="1"/>
    <col min="10757" max="10757" width="7" bestFit="1" customWidth="1"/>
    <col min="10758" max="10758" width="10" customWidth="1"/>
    <col min="10759" max="10759" width="7" bestFit="1" customWidth="1"/>
    <col min="10760" max="10760" width="5.5546875" bestFit="1" customWidth="1"/>
    <col min="10761" max="10761" width="9.33203125" bestFit="1" customWidth="1"/>
    <col min="10762" max="10762" width="28.6640625" customWidth="1"/>
    <col min="10763" max="10763" width="15.109375" bestFit="1" customWidth="1"/>
    <col min="10764" max="10764" width="13.88671875" customWidth="1"/>
    <col min="11009" max="11009" width="9.109375" bestFit="1" customWidth="1"/>
    <col min="11010" max="11010" width="48.33203125" bestFit="1" customWidth="1"/>
    <col min="11011" max="11011" width="6.44140625" bestFit="1" customWidth="1"/>
    <col min="11012" max="11012" width="9.44140625" bestFit="1" customWidth="1"/>
    <col min="11013" max="11013" width="7" bestFit="1" customWidth="1"/>
    <col min="11014" max="11014" width="10" customWidth="1"/>
    <col min="11015" max="11015" width="7" bestFit="1" customWidth="1"/>
    <col min="11016" max="11016" width="5.5546875" bestFit="1" customWidth="1"/>
    <col min="11017" max="11017" width="9.33203125" bestFit="1" customWidth="1"/>
    <col min="11018" max="11018" width="28.6640625" customWidth="1"/>
    <col min="11019" max="11019" width="15.109375" bestFit="1" customWidth="1"/>
    <col min="11020" max="11020" width="13.88671875" customWidth="1"/>
    <col min="11265" max="11265" width="9.109375" bestFit="1" customWidth="1"/>
    <col min="11266" max="11266" width="48.33203125" bestFit="1" customWidth="1"/>
    <col min="11267" max="11267" width="6.44140625" bestFit="1" customWidth="1"/>
    <col min="11268" max="11268" width="9.44140625" bestFit="1" customWidth="1"/>
    <col min="11269" max="11269" width="7" bestFit="1" customWidth="1"/>
    <col min="11270" max="11270" width="10" customWidth="1"/>
    <col min="11271" max="11271" width="7" bestFit="1" customWidth="1"/>
    <col min="11272" max="11272" width="5.5546875" bestFit="1" customWidth="1"/>
    <col min="11273" max="11273" width="9.33203125" bestFit="1" customWidth="1"/>
    <col min="11274" max="11274" width="28.6640625" customWidth="1"/>
    <col min="11275" max="11275" width="15.109375" bestFit="1" customWidth="1"/>
    <col min="11276" max="11276" width="13.88671875" customWidth="1"/>
    <col min="11521" max="11521" width="9.109375" bestFit="1" customWidth="1"/>
    <col min="11522" max="11522" width="48.33203125" bestFit="1" customWidth="1"/>
    <col min="11523" max="11523" width="6.44140625" bestFit="1" customWidth="1"/>
    <col min="11524" max="11524" width="9.44140625" bestFit="1" customWidth="1"/>
    <col min="11525" max="11525" width="7" bestFit="1" customWidth="1"/>
    <col min="11526" max="11526" width="10" customWidth="1"/>
    <col min="11527" max="11527" width="7" bestFit="1" customWidth="1"/>
    <col min="11528" max="11528" width="5.5546875" bestFit="1" customWidth="1"/>
    <col min="11529" max="11529" width="9.33203125" bestFit="1" customWidth="1"/>
    <col min="11530" max="11530" width="28.6640625" customWidth="1"/>
    <col min="11531" max="11531" width="15.109375" bestFit="1" customWidth="1"/>
    <col min="11532" max="11532" width="13.88671875" customWidth="1"/>
    <col min="11777" max="11777" width="9.109375" bestFit="1" customWidth="1"/>
    <col min="11778" max="11778" width="48.33203125" bestFit="1" customWidth="1"/>
    <col min="11779" max="11779" width="6.44140625" bestFit="1" customWidth="1"/>
    <col min="11780" max="11780" width="9.44140625" bestFit="1" customWidth="1"/>
    <col min="11781" max="11781" width="7" bestFit="1" customWidth="1"/>
    <col min="11782" max="11782" width="10" customWidth="1"/>
    <col min="11783" max="11783" width="7" bestFit="1" customWidth="1"/>
    <col min="11784" max="11784" width="5.5546875" bestFit="1" customWidth="1"/>
    <col min="11785" max="11785" width="9.33203125" bestFit="1" customWidth="1"/>
    <col min="11786" max="11786" width="28.6640625" customWidth="1"/>
    <col min="11787" max="11787" width="15.109375" bestFit="1" customWidth="1"/>
    <col min="11788" max="11788" width="13.88671875" customWidth="1"/>
    <col min="12033" max="12033" width="9.109375" bestFit="1" customWidth="1"/>
    <col min="12034" max="12034" width="48.33203125" bestFit="1" customWidth="1"/>
    <col min="12035" max="12035" width="6.44140625" bestFit="1" customWidth="1"/>
    <col min="12036" max="12036" width="9.44140625" bestFit="1" customWidth="1"/>
    <col min="12037" max="12037" width="7" bestFit="1" customWidth="1"/>
    <col min="12038" max="12038" width="10" customWidth="1"/>
    <col min="12039" max="12039" width="7" bestFit="1" customWidth="1"/>
    <col min="12040" max="12040" width="5.5546875" bestFit="1" customWidth="1"/>
    <col min="12041" max="12041" width="9.33203125" bestFit="1" customWidth="1"/>
    <col min="12042" max="12042" width="28.6640625" customWidth="1"/>
    <col min="12043" max="12043" width="15.109375" bestFit="1" customWidth="1"/>
    <col min="12044" max="12044" width="13.88671875" customWidth="1"/>
    <col min="12289" max="12289" width="9.109375" bestFit="1" customWidth="1"/>
    <col min="12290" max="12290" width="48.33203125" bestFit="1" customWidth="1"/>
    <col min="12291" max="12291" width="6.44140625" bestFit="1" customWidth="1"/>
    <col min="12292" max="12292" width="9.44140625" bestFit="1" customWidth="1"/>
    <col min="12293" max="12293" width="7" bestFit="1" customWidth="1"/>
    <col min="12294" max="12294" width="10" customWidth="1"/>
    <col min="12295" max="12295" width="7" bestFit="1" customWidth="1"/>
    <col min="12296" max="12296" width="5.5546875" bestFit="1" customWidth="1"/>
    <col min="12297" max="12297" width="9.33203125" bestFit="1" customWidth="1"/>
    <col min="12298" max="12298" width="28.6640625" customWidth="1"/>
    <col min="12299" max="12299" width="15.109375" bestFit="1" customWidth="1"/>
    <col min="12300" max="12300" width="13.88671875" customWidth="1"/>
    <col min="12545" max="12545" width="9.109375" bestFit="1" customWidth="1"/>
    <col min="12546" max="12546" width="48.33203125" bestFit="1" customWidth="1"/>
    <col min="12547" max="12547" width="6.44140625" bestFit="1" customWidth="1"/>
    <col min="12548" max="12548" width="9.44140625" bestFit="1" customWidth="1"/>
    <col min="12549" max="12549" width="7" bestFit="1" customWidth="1"/>
    <col min="12550" max="12550" width="10" customWidth="1"/>
    <col min="12551" max="12551" width="7" bestFit="1" customWidth="1"/>
    <col min="12552" max="12552" width="5.5546875" bestFit="1" customWidth="1"/>
    <col min="12553" max="12553" width="9.33203125" bestFit="1" customWidth="1"/>
    <col min="12554" max="12554" width="28.6640625" customWidth="1"/>
    <col min="12555" max="12555" width="15.109375" bestFit="1" customWidth="1"/>
    <col min="12556" max="12556" width="13.88671875" customWidth="1"/>
    <col min="12801" max="12801" width="9.109375" bestFit="1" customWidth="1"/>
    <col min="12802" max="12802" width="48.33203125" bestFit="1" customWidth="1"/>
    <col min="12803" max="12803" width="6.44140625" bestFit="1" customWidth="1"/>
    <col min="12804" max="12804" width="9.44140625" bestFit="1" customWidth="1"/>
    <col min="12805" max="12805" width="7" bestFit="1" customWidth="1"/>
    <col min="12806" max="12806" width="10" customWidth="1"/>
    <col min="12807" max="12807" width="7" bestFit="1" customWidth="1"/>
    <col min="12808" max="12808" width="5.5546875" bestFit="1" customWidth="1"/>
    <col min="12809" max="12809" width="9.33203125" bestFit="1" customWidth="1"/>
    <col min="12810" max="12810" width="28.6640625" customWidth="1"/>
    <col min="12811" max="12811" width="15.109375" bestFit="1" customWidth="1"/>
    <col min="12812" max="12812" width="13.88671875" customWidth="1"/>
    <col min="13057" max="13057" width="9.109375" bestFit="1" customWidth="1"/>
    <col min="13058" max="13058" width="48.33203125" bestFit="1" customWidth="1"/>
    <col min="13059" max="13059" width="6.44140625" bestFit="1" customWidth="1"/>
    <col min="13060" max="13060" width="9.44140625" bestFit="1" customWidth="1"/>
    <col min="13061" max="13061" width="7" bestFit="1" customWidth="1"/>
    <col min="13062" max="13062" width="10" customWidth="1"/>
    <col min="13063" max="13063" width="7" bestFit="1" customWidth="1"/>
    <col min="13064" max="13064" width="5.5546875" bestFit="1" customWidth="1"/>
    <col min="13065" max="13065" width="9.33203125" bestFit="1" customWidth="1"/>
    <col min="13066" max="13066" width="28.6640625" customWidth="1"/>
    <col min="13067" max="13067" width="15.109375" bestFit="1" customWidth="1"/>
    <col min="13068" max="13068" width="13.88671875" customWidth="1"/>
    <col min="13313" max="13313" width="9.109375" bestFit="1" customWidth="1"/>
    <col min="13314" max="13314" width="48.33203125" bestFit="1" customWidth="1"/>
    <col min="13315" max="13315" width="6.44140625" bestFit="1" customWidth="1"/>
    <col min="13316" max="13316" width="9.44140625" bestFit="1" customWidth="1"/>
    <col min="13317" max="13317" width="7" bestFit="1" customWidth="1"/>
    <col min="13318" max="13318" width="10" customWidth="1"/>
    <col min="13319" max="13319" width="7" bestFit="1" customWidth="1"/>
    <col min="13320" max="13320" width="5.5546875" bestFit="1" customWidth="1"/>
    <col min="13321" max="13321" width="9.33203125" bestFit="1" customWidth="1"/>
    <col min="13322" max="13322" width="28.6640625" customWidth="1"/>
    <col min="13323" max="13323" width="15.109375" bestFit="1" customWidth="1"/>
    <col min="13324" max="13324" width="13.88671875" customWidth="1"/>
    <col min="13569" max="13569" width="9.109375" bestFit="1" customWidth="1"/>
    <col min="13570" max="13570" width="48.33203125" bestFit="1" customWidth="1"/>
    <col min="13571" max="13571" width="6.44140625" bestFit="1" customWidth="1"/>
    <col min="13572" max="13572" width="9.44140625" bestFit="1" customWidth="1"/>
    <col min="13573" max="13573" width="7" bestFit="1" customWidth="1"/>
    <col min="13574" max="13574" width="10" customWidth="1"/>
    <col min="13575" max="13575" width="7" bestFit="1" customWidth="1"/>
    <col min="13576" max="13576" width="5.5546875" bestFit="1" customWidth="1"/>
    <col min="13577" max="13577" width="9.33203125" bestFit="1" customWidth="1"/>
    <col min="13578" max="13578" width="28.6640625" customWidth="1"/>
    <col min="13579" max="13579" width="15.109375" bestFit="1" customWidth="1"/>
    <col min="13580" max="13580" width="13.88671875" customWidth="1"/>
    <col min="13825" max="13825" width="9.109375" bestFit="1" customWidth="1"/>
    <col min="13826" max="13826" width="48.33203125" bestFit="1" customWidth="1"/>
    <col min="13827" max="13827" width="6.44140625" bestFit="1" customWidth="1"/>
    <col min="13828" max="13828" width="9.44140625" bestFit="1" customWidth="1"/>
    <col min="13829" max="13829" width="7" bestFit="1" customWidth="1"/>
    <col min="13830" max="13830" width="10" customWidth="1"/>
    <col min="13831" max="13831" width="7" bestFit="1" customWidth="1"/>
    <col min="13832" max="13832" width="5.5546875" bestFit="1" customWidth="1"/>
    <col min="13833" max="13833" width="9.33203125" bestFit="1" customWidth="1"/>
    <col min="13834" max="13834" width="28.6640625" customWidth="1"/>
    <col min="13835" max="13835" width="15.109375" bestFit="1" customWidth="1"/>
    <col min="13836" max="13836" width="13.88671875" customWidth="1"/>
    <col min="14081" max="14081" width="9.109375" bestFit="1" customWidth="1"/>
    <col min="14082" max="14082" width="48.33203125" bestFit="1" customWidth="1"/>
    <col min="14083" max="14083" width="6.44140625" bestFit="1" customWidth="1"/>
    <col min="14084" max="14084" width="9.44140625" bestFit="1" customWidth="1"/>
    <col min="14085" max="14085" width="7" bestFit="1" customWidth="1"/>
    <col min="14086" max="14086" width="10" customWidth="1"/>
    <col min="14087" max="14087" width="7" bestFit="1" customWidth="1"/>
    <col min="14088" max="14088" width="5.5546875" bestFit="1" customWidth="1"/>
    <col min="14089" max="14089" width="9.33203125" bestFit="1" customWidth="1"/>
    <col min="14090" max="14090" width="28.6640625" customWidth="1"/>
    <col min="14091" max="14091" width="15.109375" bestFit="1" customWidth="1"/>
    <col min="14092" max="14092" width="13.88671875" customWidth="1"/>
    <col min="14337" max="14337" width="9.109375" bestFit="1" customWidth="1"/>
    <col min="14338" max="14338" width="48.33203125" bestFit="1" customWidth="1"/>
    <col min="14339" max="14339" width="6.44140625" bestFit="1" customWidth="1"/>
    <col min="14340" max="14340" width="9.44140625" bestFit="1" customWidth="1"/>
    <col min="14341" max="14341" width="7" bestFit="1" customWidth="1"/>
    <col min="14342" max="14342" width="10" customWidth="1"/>
    <col min="14343" max="14343" width="7" bestFit="1" customWidth="1"/>
    <col min="14344" max="14344" width="5.5546875" bestFit="1" customWidth="1"/>
    <col min="14345" max="14345" width="9.33203125" bestFit="1" customWidth="1"/>
    <col min="14346" max="14346" width="28.6640625" customWidth="1"/>
    <col min="14347" max="14347" width="15.109375" bestFit="1" customWidth="1"/>
    <col min="14348" max="14348" width="13.88671875" customWidth="1"/>
    <col min="14593" max="14593" width="9.109375" bestFit="1" customWidth="1"/>
    <col min="14594" max="14594" width="48.33203125" bestFit="1" customWidth="1"/>
    <col min="14595" max="14595" width="6.44140625" bestFit="1" customWidth="1"/>
    <col min="14596" max="14596" width="9.44140625" bestFit="1" customWidth="1"/>
    <col min="14597" max="14597" width="7" bestFit="1" customWidth="1"/>
    <col min="14598" max="14598" width="10" customWidth="1"/>
    <col min="14599" max="14599" width="7" bestFit="1" customWidth="1"/>
    <col min="14600" max="14600" width="5.5546875" bestFit="1" customWidth="1"/>
    <col min="14601" max="14601" width="9.33203125" bestFit="1" customWidth="1"/>
    <col min="14602" max="14602" width="28.6640625" customWidth="1"/>
    <col min="14603" max="14603" width="15.109375" bestFit="1" customWidth="1"/>
    <col min="14604" max="14604" width="13.88671875" customWidth="1"/>
    <col min="14849" max="14849" width="9.109375" bestFit="1" customWidth="1"/>
    <col min="14850" max="14850" width="48.33203125" bestFit="1" customWidth="1"/>
    <col min="14851" max="14851" width="6.44140625" bestFit="1" customWidth="1"/>
    <col min="14852" max="14852" width="9.44140625" bestFit="1" customWidth="1"/>
    <col min="14853" max="14853" width="7" bestFit="1" customWidth="1"/>
    <col min="14854" max="14854" width="10" customWidth="1"/>
    <col min="14855" max="14855" width="7" bestFit="1" customWidth="1"/>
    <col min="14856" max="14856" width="5.5546875" bestFit="1" customWidth="1"/>
    <col min="14857" max="14857" width="9.33203125" bestFit="1" customWidth="1"/>
    <col min="14858" max="14858" width="28.6640625" customWidth="1"/>
    <col min="14859" max="14859" width="15.109375" bestFit="1" customWidth="1"/>
    <col min="14860" max="14860" width="13.88671875" customWidth="1"/>
    <col min="15105" max="15105" width="9.109375" bestFit="1" customWidth="1"/>
    <col min="15106" max="15106" width="48.33203125" bestFit="1" customWidth="1"/>
    <col min="15107" max="15107" width="6.44140625" bestFit="1" customWidth="1"/>
    <col min="15108" max="15108" width="9.44140625" bestFit="1" customWidth="1"/>
    <col min="15109" max="15109" width="7" bestFit="1" customWidth="1"/>
    <col min="15110" max="15110" width="10" customWidth="1"/>
    <col min="15111" max="15111" width="7" bestFit="1" customWidth="1"/>
    <col min="15112" max="15112" width="5.5546875" bestFit="1" customWidth="1"/>
    <col min="15113" max="15113" width="9.33203125" bestFit="1" customWidth="1"/>
    <col min="15114" max="15114" width="28.6640625" customWidth="1"/>
    <col min="15115" max="15115" width="15.109375" bestFit="1" customWidth="1"/>
    <col min="15116" max="15116" width="13.88671875" customWidth="1"/>
    <col min="15361" max="15361" width="9.109375" bestFit="1" customWidth="1"/>
    <col min="15362" max="15362" width="48.33203125" bestFit="1" customWidth="1"/>
    <col min="15363" max="15363" width="6.44140625" bestFit="1" customWidth="1"/>
    <col min="15364" max="15364" width="9.44140625" bestFit="1" customWidth="1"/>
    <col min="15365" max="15365" width="7" bestFit="1" customWidth="1"/>
    <col min="15366" max="15366" width="10" customWidth="1"/>
    <col min="15367" max="15367" width="7" bestFit="1" customWidth="1"/>
    <col min="15368" max="15368" width="5.5546875" bestFit="1" customWidth="1"/>
    <col min="15369" max="15369" width="9.33203125" bestFit="1" customWidth="1"/>
    <col min="15370" max="15370" width="28.6640625" customWidth="1"/>
    <col min="15371" max="15371" width="15.109375" bestFit="1" customWidth="1"/>
    <col min="15372" max="15372" width="13.88671875" customWidth="1"/>
    <col min="15617" max="15617" width="9.109375" bestFit="1" customWidth="1"/>
    <col min="15618" max="15618" width="48.33203125" bestFit="1" customWidth="1"/>
    <col min="15619" max="15619" width="6.44140625" bestFit="1" customWidth="1"/>
    <col min="15620" max="15620" width="9.44140625" bestFit="1" customWidth="1"/>
    <col min="15621" max="15621" width="7" bestFit="1" customWidth="1"/>
    <col min="15622" max="15622" width="10" customWidth="1"/>
    <col min="15623" max="15623" width="7" bestFit="1" customWidth="1"/>
    <col min="15624" max="15624" width="5.5546875" bestFit="1" customWidth="1"/>
    <col min="15625" max="15625" width="9.33203125" bestFit="1" customWidth="1"/>
    <col min="15626" max="15626" width="28.6640625" customWidth="1"/>
    <col min="15627" max="15627" width="15.109375" bestFit="1" customWidth="1"/>
    <col min="15628" max="15628" width="13.88671875" customWidth="1"/>
    <col min="15873" max="15873" width="9.109375" bestFit="1" customWidth="1"/>
    <col min="15874" max="15874" width="48.33203125" bestFit="1" customWidth="1"/>
    <col min="15875" max="15875" width="6.44140625" bestFit="1" customWidth="1"/>
    <col min="15876" max="15876" width="9.44140625" bestFit="1" customWidth="1"/>
    <col min="15877" max="15877" width="7" bestFit="1" customWidth="1"/>
    <col min="15878" max="15878" width="10" customWidth="1"/>
    <col min="15879" max="15879" width="7" bestFit="1" customWidth="1"/>
    <col min="15880" max="15880" width="5.5546875" bestFit="1" customWidth="1"/>
    <col min="15881" max="15881" width="9.33203125" bestFit="1" customWidth="1"/>
    <col min="15882" max="15882" width="28.6640625" customWidth="1"/>
    <col min="15883" max="15883" width="15.109375" bestFit="1" customWidth="1"/>
    <col min="15884" max="15884" width="13.88671875" customWidth="1"/>
    <col min="16129" max="16129" width="9.109375" bestFit="1" customWidth="1"/>
    <col min="16130" max="16130" width="48.33203125" bestFit="1" customWidth="1"/>
    <col min="16131" max="16131" width="6.44140625" bestFit="1" customWidth="1"/>
    <col min="16132" max="16132" width="9.44140625" bestFit="1" customWidth="1"/>
    <col min="16133" max="16133" width="7" bestFit="1" customWidth="1"/>
    <col min="16134" max="16134" width="10" customWidth="1"/>
    <col min="16135" max="16135" width="7" bestFit="1" customWidth="1"/>
    <col min="16136" max="16136" width="5.5546875" bestFit="1" customWidth="1"/>
    <col min="16137" max="16137" width="9.33203125" bestFit="1" customWidth="1"/>
    <col min="16138" max="16138" width="28.6640625" customWidth="1"/>
    <col min="16139" max="16139" width="15.109375" bestFit="1" customWidth="1"/>
    <col min="16140" max="16140" width="13.88671875" customWidth="1"/>
  </cols>
  <sheetData>
    <row r="1" spans="1:173" s="326" customFormat="1" ht="12" customHeight="1">
      <c r="A1" s="60" t="s">
        <v>66</v>
      </c>
      <c r="B1" s="163"/>
      <c r="C1" s="304"/>
      <c r="D1" s="120"/>
      <c r="E1" s="304"/>
      <c r="F1" s="63"/>
      <c r="G1" s="63"/>
      <c r="H1" s="63"/>
      <c r="I1" s="64"/>
      <c r="J1" s="65"/>
      <c r="K1" s="63"/>
    </row>
    <row r="2" spans="1:173" s="326" customFormat="1" ht="12" customHeight="1">
      <c r="A2" s="66" t="s">
        <v>67</v>
      </c>
      <c r="B2" s="164"/>
      <c r="C2" s="304"/>
      <c r="D2" s="120"/>
      <c r="E2" s="304"/>
      <c r="F2" s="63"/>
      <c r="G2" s="63"/>
      <c r="H2" s="63"/>
      <c r="I2" s="64"/>
      <c r="J2" s="65"/>
      <c r="K2" s="63"/>
    </row>
    <row r="3" spans="1:173" s="326" customFormat="1" ht="12" customHeight="1">
      <c r="A3" s="67" t="s">
        <v>68</v>
      </c>
      <c r="B3" s="164"/>
      <c r="C3" s="304"/>
      <c r="D3" s="120"/>
      <c r="E3" s="304"/>
      <c r="F3" s="63"/>
      <c r="G3" s="63"/>
      <c r="H3" s="63"/>
      <c r="I3" s="64"/>
      <c r="J3" s="65"/>
      <c r="K3" s="63"/>
    </row>
    <row r="4" spans="1:173" s="326" customFormat="1" ht="15.6">
      <c r="A4" s="1625" t="s">
        <v>460</v>
      </c>
      <c r="B4" s="1625"/>
      <c r="C4" s="1625"/>
      <c r="D4" s="1625"/>
      <c r="E4" s="1625"/>
      <c r="F4" s="1625"/>
      <c r="G4" s="1625"/>
      <c r="H4" s="1625"/>
      <c r="I4" s="1625"/>
      <c r="J4" s="1625"/>
      <c r="K4" s="1625"/>
    </row>
    <row r="5" spans="1:173" s="326" customFormat="1" ht="13.8">
      <c r="A5" s="327"/>
      <c r="B5" s="165" t="s">
        <v>246</v>
      </c>
      <c r="C5" s="304"/>
      <c r="D5" s="62"/>
      <c r="E5" s="304"/>
      <c r="F5" s="63"/>
      <c r="G5" s="63"/>
      <c r="H5" s="63"/>
      <c r="I5" s="64"/>
      <c r="J5" s="65"/>
      <c r="K5" s="63"/>
    </row>
    <row r="6" spans="1:173" s="326" customFormat="1" ht="13.8">
      <c r="A6" s="68"/>
      <c r="B6" s="1626" t="s">
        <v>247</v>
      </c>
      <c r="C6" s="1626"/>
      <c r="D6" s="1626"/>
      <c r="E6" s="1626"/>
      <c r="F6" s="1626"/>
      <c r="G6" s="1626"/>
      <c r="H6" s="1626"/>
      <c r="I6" s="1626"/>
      <c r="J6" s="65"/>
      <c r="K6" s="63"/>
    </row>
    <row r="7" spans="1:173" s="326" customFormat="1" ht="14.4" thickBot="1">
      <c r="A7" s="68"/>
      <c r="B7" s="165" t="s">
        <v>70</v>
      </c>
      <c r="C7" s="304"/>
      <c r="D7" s="304"/>
      <c r="E7" s="304"/>
      <c r="F7" s="64"/>
      <c r="G7" s="64"/>
      <c r="H7" s="63"/>
      <c r="I7" s="64"/>
      <c r="J7" s="65"/>
      <c r="K7" s="63"/>
    </row>
    <row r="8" spans="1:173" s="125" customFormat="1" ht="15.6">
      <c r="A8" s="269" t="s">
        <v>65</v>
      </c>
      <c r="B8" s="270" t="s">
        <v>71</v>
      </c>
      <c r="C8" s="271" t="s">
        <v>72</v>
      </c>
      <c r="D8" s="270" t="s">
        <v>269</v>
      </c>
      <c r="E8" s="272" t="s">
        <v>270</v>
      </c>
      <c r="F8" s="270"/>
      <c r="G8" s="270" t="s">
        <v>271</v>
      </c>
      <c r="H8" s="272"/>
      <c r="I8" s="270" t="s">
        <v>81</v>
      </c>
      <c r="J8" s="273" t="s">
        <v>1</v>
      </c>
      <c r="K8" s="151"/>
    </row>
    <row r="9" spans="1:173" s="125" customFormat="1" ht="16.2" thickBot="1">
      <c r="A9" s="274"/>
      <c r="B9" s="275"/>
      <c r="C9" s="276"/>
      <c r="D9" s="275"/>
      <c r="E9" s="277" t="s">
        <v>272</v>
      </c>
      <c r="F9" s="275" t="s">
        <v>79</v>
      </c>
      <c r="G9" s="275" t="s">
        <v>78</v>
      </c>
      <c r="H9" s="277" t="s">
        <v>80</v>
      </c>
      <c r="I9" s="275"/>
      <c r="J9" s="278"/>
      <c r="K9" s="151"/>
      <c r="L9" s="167">
        <f>[15]VAL.PRINC!I15</f>
        <v>0</v>
      </c>
    </row>
    <row r="10" spans="1:173" s="125" customFormat="1" ht="15.6">
      <c r="A10" s="408" t="s">
        <v>32</v>
      </c>
      <c r="B10" s="409" t="s">
        <v>297</v>
      </c>
      <c r="C10" s="279"/>
      <c r="D10" s="280"/>
      <c r="E10" s="281"/>
      <c r="F10" s="280"/>
      <c r="G10" s="280"/>
      <c r="H10" s="281"/>
      <c r="I10" s="280"/>
      <c r="J10" s="282"/>
      <c r="K10" s="151"/>
      <c r="L10" s="167"/>
    </row>
    <row r="11" spans="1:173" s="108" customFormat="1" ht="16.2" thickBot="1">
      <c r="A11" s="283" t="s">
        <v>34</v>
      </c>
      <c r="B11" s="284" t="s">
        <v>298</v>
      </c>
      <c r="C11" s="285" t="s">
        <v>40</v>
      </c>
      <c r="D11" s="285">
        <v>0.1</v>
      </c>
      <c r="E11" s="306"/>
      <c r="F11" s="285"/>
      <c r="G11" s="285"/>
      <c r="H11" s="306"/>
      <c r="I11" s="286">
        <f>PRODUCT(D11:H11)</f>
        <v>0.1</v>
      </c>
      <c r="J11" s="287">
        <f>I11</f>
        <v>0.1</v>
      </c>
      <c r="K11" s="152"/>
      <c r="L11" s="167">
        <f>[15]VAL.PRINC!I16</f>
        <v>0</v>
      </c>
      <c r="M11" s="106"/>
      <c r="N11" s="106"/>
      <c r="O11" s="106"/>
      <c r="P11" s="106"/>
      <c r="Q11" s="106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  <c r="EA11" s="107"/>
      <c r="EB11" s="107"/>
      <c r="EC11" s="107"/>
      <c r="ED11" s="107"/>
      <c r="EE11" s="107"/>
      <c r="EF11" s="107"/>
      <c r="EG11" s="107"/>
      <c r="EH11" s="107"/>
      <c r="EI11" s="107"/>
      <c r="EJ11" s="107"/>
      <c r="EK11" s="107"/>
      <c r="EL11" s="107"/>
      <c r="EM11" s="107"/>
      <c r="EN11" s="107"/>
      <c r="EO11" s="107"/>
      <c r="EP11" s="107"/>
      <c r="EQ11" s="107"/>
      <c r="ER11" s="107"/>
      <c r="ES11" s="107"/>
      <c r="ET11" s="107"/>
      <c r="EU11" s="107"/>
      <c r="EV11" s="107"/>
      <c r="EW11" s="107"/>
      <c r="EX11" s="107"/>
      <c r="EY11" s="107"/>
      <c r="EZ11" s="107"/>
      <c r="FA11" s="107"/>
      <c r="FB11" s="107"/>
      <c r="FC11" s="107"/>
      <c r="FD11" s="107"/>
      <c r="FE11" s="107"/>
      <c r="FF11" s="107"/>
      <c r="FG11" s="107"/>
      <c r="FH11" s="107"/>
      <c r="FI11" s="107"/>
      <c r="FJ11" s="107"/>
      <c r="FK11" s="107"/>
      <c r="FL11" s="107"/>
      <c r="FM11" s="107"/>
      <c r="FN11" s="107"/>
      <c r="FO11" s="107"/>
      <c r="FP11" s="107"/>
      <c r="FQ11" s="107"/>
    </row>
    <row r="12" spans="1:173" ht="15.6" hidden="1">
      <c r="A12" s="283" t="s">
        <v>38</v>
      </c>
      <c r="B12" s="284" t="s">
        <v>299</v>
      </c>
      <c r="C12" s="285" t="s">
        <v>300</v>
      </c>
      <c r="D12" s="285">
        <v>1</v>
      </c>
      <c r="E12" s="306"/>
      <c r="F12" s="285">
        <v>0.5</v>
      </c>
      <c r="G12" s="285"/>
      <c r="H12" s="306"/>
      <c r="I12" s="286">
        <f>+D12*F12</f>
        <v>0.5</v>
      </c>
      <c r="J12" s="287">
        <f>+I12+0</f>
        <v>0.5</v>
      </c>
      <c r="K12" s="153"/>
      <c r="L12" s="167">
        <f>[15]VAL.PRINC!I17</f>
        <v>0</v>
      </c>
    </row>
    <row r="13" spans="1:173" ht="15.6">
      <c r="A13" s="288" t="s">
        <v>41</v>
      </c>
      <c r="B13" s="410" t="s">
        <v>301</v>
      </c>
      <c r="C13" s="285"/>
      <c r="D13" s="289"/>
      <c r="E13" s="290"/>
      <c r="F13" s="289"/>
      <c r="G13" s="289"/>
      <c r="H13" s="290"/>
      <c r="I13" s="411"/>
      <c r="J13" s="287"/>
      <c r="K13" s="153"/>
      <c r="L13" s="167">
        <f>[15]VAL.PRINC!I18</f>
        <v>0</v>
      </c>
    </row>
    <row r="14" spans="1:173" ht="15.6">
      <c r="A14" s="288" t="s">
        <v>42</v>
      </c>
      <c r="B14" s="410" t="s">
        <v>33</v>
      </c>
      <c r="C14" s="285"/>
      <c r="D14" s="289"/>
      <c r="E14" s="290"/>
      <c r="F14" s="289"/>
      <c r="G14" s="289"/>
      <c r="H14" s="290"/>
      <c r="I14" s="411"/>
      <c r="J14" s="287"/>
      <c r="K14" s="153"/>
      <c r="L14" s="167">
        <f>[15]VAL.PRINC!I19</f>
        <v>0</v>
      </c>
    </row>
    <row r="15" spans="1:173" ht="15.6">
      <c r="A15" s="283" t="s">
        <v>52</v>
      </c>
      <c r="B15" s="284" t="s">
        <v>302</v>
      </c>
      <c r="C15" s="285" t="s">
        <v>300</v>
      </c>
      <c r="D15" s="285">
        <v>1</v>
      </c>
      <c r="E15" s="306"/>
      <c r="F15" s="306">
        <v>13113</v>
      </c>
      <c r="G15" s="285"/>
      <c r="H15" s="306"/>
      <c r="I15" s="286">
        <f>+F15/1000</f>
        <v>13.113</v>
      </c>
      <c r="J15" s="287">
        <f>+I15+0</f>
        <v>13.113</v>
      </c>
      <c r="K15" s="153"/>
      <c r="L15" s="167">
        <f>[15]VAL.PRINC!I20</f>
        <v>0</v>
      </c>
    </row>
    <row r="16" spans="1:173" s="125" customFormat="1" ht="15.6">
      <c r="A16" s="288" t="s">
        <v>43</v>
      </c>
      <c r="B16" s="291" t="s">
        <v>303</v>
      </c>
      <c r="C16" s="412"/>
      <c r="D16" s="413"/>
      <c r="E16" s="292"/>
      <c r="F16" s="292"/>
      <c r="G16" s="293"/>
      <c r="H16" s="306"/>
      <c r="I16" s="292"/>
      <c r="J16" s="294"/>
      <c r="K16" s="153"/>
      <c r="L16" s="167">
        <f>[15]VAL.PRINC!I21</f>
        <v>0</v>
      </c>
    </row>
    <row r="17" spans="1:12" s="125" customFormat="1" ht="15.6" hidden="1">
      <c r="A17" s="283" t="s">
        <v>53</v>
      </c>
      <c r="B17" s="295" t="s">
        <v>304</v>
      </c>
      <c r="C17" s="412" t="s">
        <v>57</v>
      </c>
      <c r="D17" s="414" t="s">
        <v>273</v>
      </c>
      <c r="E17" s="292"/>
      <c r="F17" s="292"/>
      <c r="G17" s="293"/>
      <c r="H17" s="306"/>
      <c r="I17" s="292">
        <v>149325.91016447352</v>
      </c>
      <c r="J17" s="294">
        <f>I17</f>
        <v>149325.91016447352</v>
      </c>
      <c r="K17" s="154"/>
      <c r="L17" s="167">
        <f>[15]VAL.PRINC!I22</f>
        <v>0</v>
      </c>
    </row>
    <row r="18" spans="1:12" s="125" customFormat="1" ht="15.6" hidden="1">
      <c r="A18" s="283" t="s">
        <v>54</v>
      </c>
      <c r="B18" s="295" t="s">
        <v>305</v>
      </c>
      <c r="C18" s="412" t="s">
        <v>57</v>
      </c>
      <c r="D18" s="414" t="s">
        <v>273</v>
      </c>
      <c r="E18" s="292"/>
      <c r="F18" s="292"/>
      <c r="G18" s="293"/>
      <c r="H18" s="306"/>
      <c r="I18" s="292">
        <v>31607.950181052624</v>
      </c>
      <c r="J18" s="294">
        <f>I18</f>
        <v>31607.950181052624</v>
      </c>
      <c r="K18" s="154"/>
      <c r="L18" s="167">
        <f>[15]VAL.PRINC!I23</f>
        <v>0</v>
      </c>
    </row>
    <row r="19" spans="1:12" s="125" customFormat="1" ht="15.6" hidden="1">
      <c r="A19" s="283" t="s">
        <v>306</v>
      </c>
      <c r="B19" s="295" t="s">
        <v>307</v>
      </c>
      <c r="C19" s="412" t="s">
        <v>57</v>
      </c>
      <c r="D19" s="414" t="s">
        <v>273</v>
      </c>
      <c r="E19" s="292"/>
      <c r="F19" s="292"/>
      <c r="G19" s="293"/>
      <c r="H19" s="306"/>
      <c r="I19" s="292">
        <v>24567.562276315799</v>
      </c>
      <c r="J19" s="294">
        <f>I19</f>
        <v>24567.562276315799</v>
      </c>
      <c r="K19" s="154"/>
      <c r="L19" s="167">
        <f>[15]VAL.PRINC!I24</f>
        <v>0</v>
      </c>
    </row>
    <row r="20" spans="1:12" s="110" customFormat="1" ht="15.6" hidden="1">
      <c r="A20" s="283" t="s">
        <v>274</v>
      </c>
      <c r="B20" s="295" t="s">
        <v>118</v>
      </c>
      <c r="C20" s="412" t="s">
        <v>57</v>
      </c>
      <c r="D20" s="414" t="s">
        <v>273</v>
      </c>
      <c r="E20" s="292"/>
      <c r="F20" s="292"/>
      <c r="G20" s="293"/>
      <c r="H20" s="306"/>
      <c r="I20" s="292">
        <v>228.77620000000002</v>
      </c>
      <c r="J20" s="294">
        <f>I20</f>
        <v>228.77620000000002</v>
      </c>
      <c r="K20" s="154"/>
      <c r="L20" s="167">
        <f>[15]VAL.PRINC!I25</f>
        <v>0</v>
      </c>
    </row>
    <row r="21" spans="1:12" s="111" customFormat="1" ht="15.6" hidden="1">
      <c r="A21" s="283" t="s">
        <v>308</v>
      </c>
      <c r="B21" s="295" t="s">
        <v>309</v>
      </c>
      <c r="C21" s="296" t="s">
        <v>275</v>
      </c>
      <c r="D21" s="414" t="s">
        <v>273</v>
      </c>
      <c r="E21" s="292"/>
      <c r="F21" s="292"/>
      <c r="G21" s="306"/>
      <c r="H21" s="306"/>
      <c r="I21" s="292">
        <v>44389.869999999995</v>
      </c>
      <c r="J21" s="294">
        <f>+I21</f>
        <v>44389.869999999995</v>
      </c>
      <c r="K21" s="154"/>
      <c r="L21" s="167">
        <f>[15]VAL.PRINC!I26</f>
        <v>0</v>
      </c>
    </row>
    <row r="22" spans="1:12" s="113" customFormat="1" ht="16.2" hidden="1">
      <c r="A22" s="288" t="s">
        <v>51</v>
      </c>
      <c r="B22" s="291" t="s">
        <v>248</v>
      </c>
      <c r="C22" s="296"/>
      <c r="D22" s="414"/>
      <c r="E22" s="292"/>
      <c r="F22" s="292"/>
      <c r="G22" s="306"/>
      <c r="H22" s="306"/>
      <c r="I22" s="292"/>
      <c r="J22" s="294"/>
      <c r="K22" s="154"/>
      <c r="L22" s="167">
        <f>[15]VAL.PRINC!I27</f>
        <v>0</v>
      </c>
    </row>
    <row r="23" spans="1:12" s="113" customFormat="1" ht="16.2" hidden="1">
      <c r="A23" s="283" t="s">
        <v>55</v>
      </c>
      <c r="B23" s="295" t="s">
        <v>310</v>
      </c>
      <c r="C23" s="412" t="s">
        <v>57</v>
      </c>
      <c r="D23" s="414" t="s">
        <v>273</v>
      </c>
      <c r="E23" s="292"/>
      <c r="F23" s="292"/>
      <c r="G23" s="293"/>
      <c r="H23" s="306"/>
      <c r="I23" s="292">
        <v>115495.85</v>
      </c>
      <c r="J23" s="294">
        <f>I23</f>
        <v>115495.85</v>
      </c>
      <c r="K23" s="152"/>
      <c r="L23" s="167">
        <f>[15]VAL.PRINC!I28</f>
        <v>0</v>
      </c>
    </row>
    <row r="24" spans="1:12" ht="15.6" hidden="1">
      <c r="A24" s="283" t="s">
        <v>56</v>
      </c>
      <c r="B24" s="295" t="s">
        <v>311</v>
      </c>
      <c r="C24" s="412" t="s">
        <v>57</v>
      </c>
      <c r="D24" s="414" t="s">
        <v>273</v>
      </c>
      <c r="E24" s="292"/>
      <c r="F24" s="292"/>
      <c r="G24" s="293"/>
      <c r="H24" s="306"/>
      <c r="I24" s="292">
        <v>13323.83</v>
      </c>
      <c r="J24" s="294">
        <f>I24</f>
        <v>13323.83</v>
      </c>
      <c r="K24" s="152"/>
      <c r="L24" s="167">
        <f>[15]VAL.PRINC!I29</f>
        <v>0</v>
      </c>
    </row>
    <row r="25" spans="1:12" s="110" customFormat="1" ht="15.6">
      <c r="A25" s="288" t="s">
        <v>44</v>
      </c>
      <c r="B25" s="291" t="s">
        <v>312</v>
      </c>
      <c r="C25" s="296"/>
      <c r="D25" s="292"/>
      <c r="E25" s="415"/>
      <c r="F25" s="292"/>
      <c r="G25" s="297"/>
      <c r="H25" s="297"/>
      <c r="I25" s="292"/>
      <c r="J25" s="294"/>
      <c r="K25" s="152"/>
      <c r="L25" s="167">
        <f>[15]VAL.PRINC!I30</f>
        <v>0</v>
      </c>
    </row>
    <row r="26" spans="1:12" ht="15.6">
      <c r="A26" s="288" t="s">
        <v>46</v>
      </c>
      <c r="B26" s="291" t="s">
        <v>313</v>
      </c>
      <c r="C26" s="296"/>
      <c r="D26" s="292"/>
      <c r="E26" s="415"/>
      <c r="F26" s="292"/>
      <c r="G26" s="297"/>
      <c r="H26" s="297"/>
      <c r="I26" s="292"/>
      <c r="J26" s="294"/>
      <c r="K26" s="152"/>
      <c r="L26" s="167">
        <f>[15]VAL.PRINC!I31</f>
        <v>24.0306</v>
      </c>
    </row>
    <row r="27" spans="1:12" ht="15.6">
      <c r="A27" s="283" t="s">
        <v>48</v>
      </c>
      <c r="B27" s="295" t="s">
        <v>120</v>
      </c>
      <c r="C27" s="296" t="s">
        <v>275</v>
      </c>
      <c r="D27" s="292"/>
      <c r="E27" s="415"/>
      <c r="F27" s="292"/>
      <c r="G27" s="297"/>
      <c r="H27" s="297"/>
      <c r="I27" s="292"/>
      <c r="J27" s="294">
        <f>SUM(I28:I31)</f>
        <v>62.176499999999997</v>
      </c>
      <c r="K27" s="152"/>
      <c r="L27" s="167"/>
    </row>
    <row r="28" spans="1:12" ht="15.6">
      <c r="A28" s="283"/>
      <c r="B28" s="295"/>
      <c r="C28" s="296"/>
      <c r="D28" s="292">
        <v>5</v>
      </c>
      <c r="E28" s="415">
        <v>1</v>
      </c>
      <c r="F28" s="292">
        <v>4.2</v>
      </c>
      <c r="G28" s="297">
        <v>1.4</v>
      </c>
      <c r="H28" s="297"/>
      <c r="I28" s="292">
        <f>+G28*F28*E28*D28</f>
        <v>29.4</v>
      </c>
      <c r="J28" s="294"/>
      <c r="K28" s="152"/>
      <c r="L28" s="167"/>
    </row>
    <row r="29" spans="1:12" ht="15.6">
      <c r="A29" s="283"/>
      <c r="B29" s="295" t="s">
        <v>314</v>
      </c>
      <c r="C29" s="296"/>
      <c r="D29" s="292">
        <v>5</v>
      </c>
      <c r="E29" s="415">
        <v>1</v>
      </c>
      <c r="F29" s="292">
        <v>1.21</v>
      </c>
      <c r="G29" s="297">
        <v>2.93</v>
      </c>
      <c r="H29" s="297"/>
      <c r="I29" s="292">
        <f>+G29*F29*E29*D29</f>
        <v>17.726500000000001</v>
      </c>
      <c r="J29" s="294"/>
      <c r="K29" s="152"/>
      <c r="L29" s="167">
        <f>[15]VAL.PRINC!I32</f>
        <v>12.784000000000001</v>
      </c>
    </row>
    <row r="30" spans="1:12" ht="15.6">
      <c r="A30" s="283"/>
      <c r="B30" s="295" t="s">
        <v>315</v>
      </c>
      <c r="C30" s="296"/>
      <c r="D30" s="292">
        <v>5</v>
      </c>
      <c r="E30" s="415">
        <v>1</v>
      </c>
      <c r="F30" s="292">
        <v>2.11</v>
      </c>
      <c r="G30" s="297">
        <v>1</v>
      </c>
      <c r="H30" s="297"/>
      <c r="I30" s="292">
        <f>+G30*F30*E30*D30</f>
        <v>10.549999999999999</v>
      </c>
      <c r="J30" s="294"/>
      <c r="K30" s="152"/>
      <c r="L30" s="167"/>
    </row>
    <row r="31" spans="1:12" ht="15.6">
      <c r="A31" s="283"/>
      <c r="B31" s="295" t="s">
        <v>316</v>
      </c>
      <c r="C31" s="296"/>
      <c r="D31" s="292">
        <v>5</v>
      </c>
      <c r="E31" s="415">
        <v>1</v>
      </c>
      <c r="F31" s="292">
        <v>0.9</v>
      </c>
      <c r="G31" s="297">
        <v>1</v>
      </c>
      <c r="H31" s="297"/>
      <c r="I31" s="292">
        <f>+G31*F31*E31*D31</f>
        <v>4.5</v>
      </c>
      <c r="J31" s="294"/>
      <c r="K31" s="152"/>
      <c r="L31" s="167"/>
    </row>
    <row r="32" spans="1:12" ht="15.6">
      <c r="A32" s="283" t="s">
        <v>49</v>
      </c>
      <c r="B32" s="295" t="s">
        <v>317</v>
      </c>
      <c r="C32" s="296" t="s">
        <v>57</v>
      </c>
      <c r="D32" s="292"/>
      <c r="E32" s="415"/>
      <c r="F32" s="292"/>
      <c r="G32" s="297"/>
      <c r="H32" s="297"/>
      <c r="I32" s="292"/>
      <c r="J32" s="294">
        <f>SUM(I33:I36)</f>
        <v>54.160000000000011</v>
      </c>
      <c r="K32" s="152"/>
      <c r="L32" s="167"/>
    </row>
    <row r="33" spans="1:12" ht="15.6">
      <c r="A33" s="283"/>
      <c r="B33" s="295" t="s">
        <v>318</v>
      </c>
      <c r="C33" s="296"/>
      <c r="D33" s="292">
        <v>8</v>
      </c>
      <c r="E33" s="416">
        <v>1</v>
      </c>
      <c r="F33" s="298">
        <v>4.2</v>
      </c>
      <c r="G33" s="299">
        <v>1.4</v>
      </c>
      <c r="H33" s="299">
        <v>0.9</v>
      </c>
      <c r="I33" s="298">
        <f>+H33*G33*F33*E33*D33</f>
        <v>42.336000000000006</v>
      </c>
      <c r="J33" s="294"/>
      <c r="K33" s="152"/>
      <c r="L33" s="167"/>
    </row>
    <row r="34" spans="1:12" s="110" customFormat="1" ht="15.6">
      <c r="A34" s="283"/>
      <c r="B34" s="295" t="s">
        <v>319</v>
      </c>
      <c r="C34" s="296"/>
      <c r="D34" s="292">
        <v>8</v>
      </c>
      <c r="E34" s="416">
        <v>1</v>
      </c>
      <c r="F34" s="298" t="s">
        <v>320</v>
      </c>
      <c r="G34" s="299">
        <v>0.53</v>
      </c>
      <c r="H34" s="299">
        <v>0.8</v>
      </c>
      <c r="I34" s="298">
        <f>+H34*G34*E34*D34</f>
        <v>3.3920000000000003</v>
      </c>
      <c r="J34" s="294"/>
      <c r="K34" s="152"/>
      <c r="L34" s="167">
        <f>[15]VAL.PRINC!I33</f>
        <v>9.1212800000000005</v>
      </c>
    </row>
    <row r="35" spans="1:12" s="110" customFormat="1" ht="15.6">
      <c r="A35" s="283"/>
      <c r="B35" s="295" t="s">
        <v>321</v>
      </c>
      <c r="C35" s="296"/>
      <c r="D35" s="292">
        <v>8</v>
      </c>
      <c r="E35" s="416">
        <v>1</v>
      </c>
      <c r="F35" s="298" t="s">
        <v>320</v>
      </c>
      <c r="G35" s="299">
        <v>0.53</v>
      </c>
      <c r="H35" s="299">
        <v>0.8</v>
      </c>
      <c r="I35" s="298">
        <f>+H35*G35*E35*D35</f>
        <v>3.3920000000000003</v>
      </c>
      <c r="J35" s="294"/>
      <c r="K35" s="152"/>
      <c r="L35" s="167"/>
    </row>
    <row r="36" spans="1:12" s="110" customFormat="1" ht="15.6">
      <c r="A36" s="283"/>
      <c r="B36" s="295" t="s">
        <v>322</v>
      </c>
      <c r="C36" s="296"/>
      <c r="D36" s="292">
        <v>8</v>
      </c>
      <c r="E36" s="416">
        <v>1</v>
      </c>
      <c r="F36" s="298">
        <v>0.9</v>
      </c>
      <c r="G36" s="299">
        <v>1</v>
      </c>
      <c r="H36" s="299">
        <v>0.7</v>
      </c>
      <c r="I36" s="298">
        <f>+H36*G36*F36*E36*D36</f>
        <v>5.04</v>
      </c>
      <c r="J36" s="294"/>
      <c r="K36" s="152"/>
      <c r="L36" s="167"/>
    </row>
    <row r="37" spans="1:12" s="110" customFormat="1" ht="15.6">
      <c r="A37" s="283" t="s">
        <v>50</v>
      </c>
      <c r="B37" s="295" t="s">
        <v>323</v>
      </c>
      <c r="C37" s="296" t="s">
        <v>57</v>
      </c>
      <c r="D37" s="292"/>
      <c r="E37" s="416"/>
      <c r="F37" s="298"/>
      <c r="G37" s="299"/>
      <c r="H37" s="299"/>
      <c r="I37" s="298"/>
      <c r="J37" s="294">
        <f>SUM(I38:I45)</f>
        <v>31.721940000000004</v>
      </c>
      <c r="K37" s="152"/>
      <c r="L37" s="167"/>
    </row>
    <row r="38" spans="1:12" s="110" customFormat="1" ht="15.6">
      <c r="A38" s="283"/>
      <c r="B38" s="295" t="s">
        <v>324</v>
      </c>
      <c r="C38" s="296"/>
      <c r="D38" s="292">
        <v>5</v>
      </c>
      <c r="E38" s="416">
        <v>2</v>
      </c>
      <c r="F38" s="298">
        <v>1.34</v>
      </c>
      <c r="G38" s="299">
        <v>0.46</v>
      </c>
      <c r="H38" s="299">
        <v>0.41</v>
      </c>
      <c r="I38" s="298">
        <f>+H38*G38*F38*E38*D38</f>
        <v>2.5272399999999999</v>
      </c>
      <c r="J38" s="294"/>
      <c r="K38" s="152"/>
      <c r="L38" s="167"/>
    </row>
    <row r="39" spans="1:12" s="110" customFormat="1" ht="15.6">
      <c r="A39" s="283"/>
      <c r="B39" s="295" t="s">
        <v>325</v>
      </c>
      <c r="C39" s="296"/>
      <c r="D39" s="292">
        <v>5</v>
      </c>
      <c r="E39" s="416">
        <v>2</v>
      </c>
      <c r="F39" s="298">
        <v>1.21</v>
      </c>
      <c r="G39" s="299">
        <v>0.46</v>
      </c>
      <c r="H39" s="299">
        <v>0.45</v>
      </c>
      <c r="I39" s="298">
        <f>+H39*G39*F39*E39*D39</f>
        <v>2.5047000000000001</v>
      </c>
      <c r="J39" s="294"/>
      <c r="K39" s="152"/>
      <c r="L39" s="167"/>
    </row>
    <row r="40" spans="1:12" s="110" customFormat="1" ht="15.6">
      <c r="A40" s="283"/>
      <c r="B40" s="295" t="s">
        <v>326</v>
      </c>
      <c r="C40" s="296"/>
      <c r="D40" s="292">
        <v>5</v>
      </c>
      <c r="E40" s="416">
        <v>1</v>
      </c>
      <c r="F40" s="298" t="s">
        <v>320</v>
      </c>
      <c r="G40" s="299">
        <v>0.53</v>
      </c>
      <c r="H40" s="299">
        <v>0.2</v>
      </c>
      <c r="I40" s="298">
        <f>+H40*G40*E40*D40</f>
        <v>0.53</v>
      </c>
      <c r="J40" s="294"/>
      <c r="K40" s="152"/>
      <c r="L40" s="167">
        <f>[15]VAL.PRINC!I34</f>
        <v>385.34240000000005</v>
      </c>
    </row>
    <row r="41" spans="1:12" s="110" customFormat="1" ht="15.6">
      <c r="A41" s="283"/>
      <c r="B41" s="295" t="s">
        <v>327</v>
      </c>
      <c r="C41" s="296"/>
      <c r="D41" s="292">
        <v>5</v>
      </c>
      <c r="E41" s="416">
        <v>1</v>
      </c>
      <c r="F41" s="298" t="s">
        <v>320</v>
      </c>
      <c r="G41" s="299">
        <v>0.53</v>
      </c>
      <c r="H41" s="299">
        <v>0.2</v>
      </c>
      <c r="I41" s="298">
        <f>+H41*G41*E41*D41</f>
        <v>0.53</v>
      </c>
      <c r="J41" s="294"/>
      <c r="K41" s="152"/>
      <c r="L41" s="167"/>
    </row>
    <row r="42" spans="1:12" s="110" customFormat="1" ht="15.6">
      <c r="A42" s="283"/>
      <c r="B42" s="295" t="s">
        <v>328</v>
      </c>
      <c r="C42" s="296"/>
      <c r="D42" s="292">
        <v>5</v>
      </c>
      <c r="E42" s="416">
        <v>1</v>
      </c>
      <c r="F42" s="298">
        <v>4.5</v>
      </c>
      <c r="G42" s="299">
        <v>1.4</v>
      </c>
      <c r="H42" s="299">
        <v>0.2</v>
      </c>
      <c r="I42" s="298">
        <f>+H42*G42*F42*E42*D42</f>
        <v>6.2999999999999989</v>
      </c>
      <c r="J42" s="294"/>
      <c r="K42" s="152"/>
      <c r="L42" s="167"/>
    </row>
    <row r="43" spans="1:12" s="110" customFormat="1" ht="15.6">
      <c r="A43" s="283"/>
      <c r="B43" s="295" t="s">
        <v>329</v>
      </c>
      <c r="C43" s="296"/>
      <c r="D43" s="292">
        <v>5</v>
      </c>
      <c r="E43" s="416">
        <v>2</v>
      </c>
      <c r="F43" s="298">
        <v>4.5</v>
      </c>
      <c r="G43" s="299">
        <v>0.3</v>
      </c>
      <c r="H43" s="299">
        <v>0.8</v>
      </c>
      <c r="I43" s="298">
        <f>+H43*G43*F43*E43*D43</f>
        <v>10.8</v>
      </c>
      <c r="J43" s="294"/>
      <c r="K43" s="152"/>
      <c r="L43" s="167"/>
    </row>
    <row r="44" spans="1:12" ht="15.6">
      <c r="A44" s="283"/>
      <c r="B44" s="295" t="s">
        <v>330</v>
      </c>
      <c r="C44" s="296"/>
      <c r="D44" s="292">
        <v>5</v>
      </c>
      <c r="E44" s="416">
        <v>1</v>
      </c>
      <c r="F44" s="298">
        <v>1</v>
      </c>
      <c r="G44" s="299">
        <v>0.9</v>
      </c>
      <c r="H44" s="299">
        <v>0.9</v>
      </c>
      <c r="I44" s="298">
        <f>+H44*G44*F44*E44*D44</f>
        <v>4.0500000000000007</v>
      </c>
      <c r="J44" s="294"/>
      <c r="K44" s="152"/>
      <c r="L44" s="167">
        <f>[15]VAL.PRINC!I35</f>
        <v>7.8</v>
      </c>
    </row>
    <row r="45" spans="1:12" ht="15.6">
      <c r="A45" s="283"/>
      <c r="B45" s="295" t="s">
        <v>331</v>
      </c>
      <c r="C45" s="296"/>
      <c r="D45" s="292">
        <v>5</v>
      </c>
      <c r="E45" s="416">
        <v>2</v>
      </c>
      <c r="F45" s="298">
        <v>2.8</v>
      </c>
      <c r="G45" s="299">
        <v>0.2</v>
      </c>
      <c r="H45" s="299">
        <v>0.8</v>
      </c>
      <c r="I45" s="298">
        <f>+H45*G45*F45*E45*D45</f>
        <v>4.4800000000000004</v>
      </c>
      <c r="J45" s="294"/>
      <c r="K45" s="152"/>
      <c r="L45" s="167"/>
    </row>
    <row r="46" spans="1:12" ht="15.6">
      <c r="A46" s="283" t="s">
        <v>276</v>
      </c>
      <c r="B46" s="295" t="s">
        <v>332</v>
      </c>
      <c r="C46" s="296" t="s">
        <v>277</v>
      </c>
      <c r="D46" s="292"/>
      <c r="E46" s="415"/>
      <c r="F46" s="292"/>
      <c r="G46" s="300"/>
      <c r="H46" s="297"/>
      <c r="I46" s="292"/>
      <c r="J46" s="294">
        <f>+I47*D47</f>
        <v>2895</v>
      </c>
      <c r="K46" s="152"/>
      <c r="L46" s="167"/>
    </row>
    <row r="47" spans="1:12" ht="15.6">
      <c r="A47" s="283"/>
      <c r="B47" s="295"/>
      <c r="C47" s="296"/>
      <c r="D47" s="292">
        <v>15</v>
      </c>
      <c r="E47" s="415"/>
      <c r="F47" s="1634" t="s">
        <v>333</v>
      </c>
      <c r="G47" s="1634"/>
      <c r="H47" s="1634"/>
      <c r="I47" s="286">
        <v>193</v>
      </c>
      <c r="J47" s="294"/>
      <c r="K47" s="152"/>
      <c r="L47" s="167"/>
    </row>
    <row r="48" spans="1:12" s="125" customFormat="1" ht="15.6">
      <c r="A48" s="283" t="s">
        <v>278</v>
      </c>
      <c r="B48" s="295" t="s">
        <v>125</v>
      </c>
      <c r="C48" s="296" t="s">
        <v>275</v>
      </c>
      <c r="D48" s="292"/>
      <c r="E48" s="415"/>
      <c r="F48" s="292"/>
      <c r="G48" s="297"/>
      <c r="H48" s="297"/>
      <c r="I48" s="292"/>
      <c r="J48" s="294">
        <f>+I49</f>
        <v>16</v>
      </c>
      <c r="K48" s="152"/>
      <c r="L48" s="167">
        <f>[15]VAL.PRINC!I36</f>
        <v>2.1840000000000002</v>
      </c>
    </row>
    <row r="49" spans="1:13" s="125" customFormat="1" ht="15.6">
      <c r="A49" s="283"/>
      <c r="B49" s="295" t="s">
        <v>334</v>
      </c>
      <c r="C49" s="296"/>
      <c r="D49" s="292">
        <v>4</v>
      </c>
      <c r="E49" s="416">
        <v>2</v>
      </c>
      <c r="F49" s="298">
        <v>4</v>
      </c>
      <c r="G49" s="299"/>
      <c r="H49" s="299">
        <v>0.5</v>
      </c>
      <c r="I49" s="298">
        <f>E49*F49*H49*D49</f>
        <v>16</v>
      </c>
      <c r="J49" s="294"/>
      <c r="K49" s="152"/>
      <c r="L49" s="167"/>
    </row>
    <row r="50" spans="1:13" s="125" customFormat="1" ht="15.6">
      <c r="A50" s="283" t="s">
        <v>279</v>
      </c>
      <c r="B50" s="295" t="s">
        <v>335</v>
      </c>
      <c r="C50" s="296" t="s">
        <v>57</v>
      </c>
      <c r="D50" s="292"/>
      <c r="E50" s="416"/>
      <c r="F50" s="298"/>
      <c r="G50" s="299"/>
      <c r="H50" s="299"/>
      <c r="I50" s="298"/>
      <c r="J50" s="294">
        <f>SUM(I51)</f>
        <v>4.4799999999999995</v>
      </c>
      <c r="K50" s="152"/>
      <c r="L50" s="167"/>
    </row>
    <row r="51" spans="1:13" s="125" customFormat="1" ht="15.6">
      <c r="A51" s="301"/>
      <c r="B51" s="295" t="s">
        <v>336</v>
      </c>
      <c r="C51" s="296"/>
      <c r="D51" s="292">
        <v>4</v>
      </c>
      <c r="E51" s="416">
        <v>1</v>
      </c>
      <c r="F51" s="298">
        <v>4</v>
      </c>
      <c r="G51" s="299">
        <v>1.4</v>
      </c>
      <c r="H51" s="299">
        <v>0.2</v>
      </c>
      <c r="I51" s="298">
        <f>+H51*G51*F51*E51*D51</f>
        <v>4.4799999999999995</v>
      </c>
      <c r="J51" s="294"/>
      <c r="K51" s="152"/>
      <c r="L51" s="167"/>
    </row>
    <row r="52" spans="1:13" s="125" customFormat="1" ht="15.6">
      <c r="A52" s="283" t="s">
        <v>280</v>
      </c>
      <c r="B52" s="295" t="s">
        <v>337</v>
      </c>
      <c r="C52" s="296" t="s">
        <v>57</v>
      </c>
      <c r="D52" s="292"/>
      <c r="E52" s="416"/>
      <c r="F52" s="298"/>
      <c r="G52" s="299"/>
      <c r="H52" s="299"/>
      <c r="I52" s="298"/>
      <c r="J52" s="294">
        <f>SUM(I53:I55)</f>
        <v>4.1375999999999999</v>
      </c>
      <c r="K52" s="152"/>
      <c r="L52" s="167"/>
    </row>
    <row r="53" spans="1:13" s="105" customFormat="1" ht="15.6">
      <c r="A53" s="283"/>
      <c r="B53" s="295" t="s">
        <v>338</v>
      </c>
      <c r="C53" s="296"/>
      <c r="D53" s="292">
        <v>4</v>
      </c>
      <c r="E53" s="416">
        <v>2</v>
      </c>
      <c r="F53" s="298">
        <v>1.21</v>
      </c>
      <c r="G53" s="299">
        <v>0.2</v>
      </c>
      <c r="H53" s="299">
        <v>0.6</v>
      </c>
      <c r="I53" s="298">
        <f>+H53*G53*F53*E53*D53</f>
        <v>1.1616</v>
      </c>
      <c r="J53" s="294"/>
      <c r="K53" s="152"/>
      <c r="L53" s="167">
        <f>[15]VAL.PRINC!I37</f>
        <v>1.9296</v>
      </c>
    </row>
    <row r="54" spans="1:13" s="105" customFormat="1" ht="15.6">
      <c r="A54" s="283"/>
      <c r="B54" s="295" t="s">
        <v>339</v>
      </c>
      <c r="C54" s="296"/>
      <c r="D54" s="292">
        <v>4</v>
      </c>
      <c r="E54" s="416">
        <v>2</v>
      </c>
      <c r="F54" s="298">
        <v>1</v>
      </c>
      <c r="G54" s="299">
        <v>0.2</v>
      </c>
      <c r="H54" s="299">
        <v>0.6</v>
      </c>
      <c r="I54" s="298">
        <f>+H54*G54*F54*E54*D54</f>
        <v>0.96</v>
      </c>
      <c r="J54" s="294"/>
      <c r="K54" s="152"/>
      <c r="L54" s="167"/>
    </row>
    <row r="55" spans="1:13" s="105" customFormat="1" ht="15.6">
      <c r="A55" s="283"/>
      <c r="B55" s="295" t="s">
        <v>340</v>
      </c>
      <c r="C55" s="296"/>
      <c r="D55" s="292">
        <v>4</v>
      </c>
      <c r="E55" s="416">
        <v>2</v>
      </c>
      <c r="F55" s="298">
        <v>1.8</v>
      </c>
      <c r="G55" s="299">
        <v>0.2</v>
      </c>
      <c r="H55" s="299">
        <v>0.7</v>
      </c>
      <c r="I55" s="298">
        <f>+H55*G55*F55*E55*D55</f>
        <v>2.016</v>
      </c>
      <c r="J55" s="294"/>
      <c r="K55" s="152"/>
      <c r="L55" s="167"/>
    </row>
    <row r="56" spans="1:13" s="105" customFormat="1" ht="15.6">
      <c r="A56" s="283" t="s">
        <v>281</v>
      </c>
      <c r="B56" s="295" t="s">
        <v>341</v>
      </c>
      <c r="C56" s="296" t="s">
        <v>57</v>
      </c>
      <c r="D56" s="292"/>
      <c r="E56" s="416"/>
      <c r="F56" s="298"/>
      <c r="G56" s="299"/>
      <c r="H56" s="299"/>
      <c r="I56" s="298"/>
      <c r="J56" s="294">
        <f>SUM(I57:I60)</f>
        <v>0</v>
      </c>
      <c r="K56" s="152"/>
      <c r="L56" s="167"/>
    </row>
    <row r="57" spans="1:13" s="105" customFormat="1" ht="15.6">
      <c r="A57" s="283"/>
      <c r="B57" s="295" t="s">
        <v>334</v>
      </c>
      <c r="C57" s="296"/>
      <c r="D57" s="292">
        <v>4</v>
      </c>
      <c r="E57" s="416">
        <v>0</v>
      </c>
      <c r="F57" s="298">
        <v>3.9</v>
      </c>
      <c r="G57" s="299">
        <v>0.15</v>
      </c>
      <c r="H57" s="299">
        <v>0.8</v>
      </c>
      <c r="I57" s="298">
        <f>+H57*G57*F57*E57*D57</f>
        <v>0</v>
      </c>
      <c r="J57" s="294"/>
      <c r="K57" s="152"/>
      <c r="L57" s="167">
        <f>[15]VAL.PRINC!I38</f>
        <v>3.3521999999999998</v>
      </c>
      <c r="M57" s="112"/>
    </row>
    <row r="58" spans="1:13" s="105" customFormat="1" ht="15.6">
      <c r="A58" s="283"/>
      <c r="B58" s="295" t="s">
        <v>342</v>
      </c>
      <c r="C58" s="296"/>
      <c r="D58" s="292">
        <v>4</v>
      </c>
      <c r="E58" s="416">
        <v>0</v>
      </c>
      <c r="F58" s="298">
        <v>1.21</v>
      </c>
      <c r="G58" s="299">
        <v>0.15</v>
      </c>
      <c r="H58" s="299">
        <v>0.7</v>
      </c>
      <c r="I58" s="298">
        <f>+H58*G58*F58*E58*D58</f>
        <v>0</v>
      </c>
      <c r="J58" s="294"/>
      <c r="K58" s="152"/>
      <c r="L58" s="167"/>
      <c r="M58" s="112"/>
    </row>
    <row r="59" spans="1:13" s="105" customFormat="1" ht="15.6">
      <c r="A59" s="283"/>
      <c r="B59" s="295" t="s">
        <v>343</v>
      </c>
      <c r="C59" s="296"/>
      <c r="D59" s="292">
        <v>4</v>
      </c>
      <c r="E59" s="416">
        <v>0</v>
      </c>
      <c r="F59" s="298">
        <v>1</v>
      </c>
      <c r="G59" s="299">
        <v>0.15</v>
      </c>
      <c r="H59" s="299">
        <v>0.7</v>
      </c>
      <c r="I59" s="298">
        <f>+H59*G59*F59*E59*D59</f>
        <v>0</v>
      </c>
      <c r="J59" s="294"/>
      <c r="K59" s="152"/>
      <c r="L59" s="167"/>
      <c r="M59" s="112"/>
    </row>
    <row r="60" spans="1:13" s="105" customFormat="1" ht="15.6">
      <c r="A60" s="283"/>
      <c r="B60" s="295" t="s">
        <v>344</v>
      </c>
      <c r="C60" s="296"/>
      <c r="D60" s="292">
        <v>4</v>
      </c>
      <c r="E60" s="416">
        <v>0</v>
      </c>
      <c r="F60" s="298">
        <v>2.2999999999999998</v>
      </c>
      <c r="G60" s="299">
        <v>0.15</v>
      </c>
      <c r="H60" s="299">
        <v>0.8</v>
      </c>
      <c r="I60" s="298">
        <f>+H60*G60*F60*E60*D60</f>
        <v>0</v>
      </c>
      <c r="J60" s="294"/>
      <c r="K60" s="152"/>
      <c r="L60" s="167"/>
      <c r="M60" s="112"/>
    </row>
    <row r="61" spans="1:13" s="105" customFormat="1" ht="15.6">
      <c r="A61" s="176"/>
      <c r="B61" s="182"/>
      <c r="C61" s="189"/>
      <c r="D61" s="122"/>
      <c r="E61" s="115"/>
      <c r="F61" s="115"/>
      <c r="G61" s="115"/>
      <c r="H61" s="136"/>
      <c r="I61" s="143"/>
      <c r="J61" s="146"/>
      <c r="K61" s="152"/>
      <c r="L61" s="167"/>
      <c r="M61" s="112"/>
    </row>
    <row r="62" spans="1:13" s="105" customFormat="1" ht="15.6" hidden="1">
      <c r="A62" s="178" t="s">
        <v>103</v>
      </c>
      <c r="B62" s="183" t="s">
        <v>123</v>
      </c>
      <c r="C62" s="190"/>
      <c r="D62" s="122"/>
      <c r="E62" s="115"/>
      <c r="F62" s="115"/>
      <c r="G62" s="115"/>
      <c r="H62" s="136"/>
      <c r="I62" s="143">
        <f t="shared" ref="I62:I125" si="0">PRODUCT(D62:H62)</f>
        <v>0</v>
      </c>
      <c r="J62" s="146"/>
      <c r="K62" s="152"/>
      <c r="L62" s="167">
        <f>[15]VAL.PRINC!I39</f>
        <v>0</v>
      </c>
      <c r="M62" s="112"/>
    </row>
    <row r="63" spans="1:13" s="105" customFormat="1" ht="15.6" hidden="1">
      <c r="A63" s="176" t="s">
        <v>103</v>
      </c>
      <c r="B63" s="181" t="s">
        <v>120</v>
      </c>
      <c r="C63" s="190" t="s">
        <v>36</v>
      </c>
      <c r="D63" s="122"/>
      <c r="E63" s="115"/>
      <c r="F63" s="115"/>
      <c r="G63" s="115"/>
      <c r="H63" s="136"/>
      <c r="I63" s="143">
        <f t="shared" si="0"/>
        <v>0</v>
      </c>
      <c r="J63" s="119"/>
      <c r="K63" s="152"/>
      <c r="L63" s="167">
        <f>[15]VAL.PRINC!I40</f>
        <v>0</v>
      </c>
      <c r="M63" s="112"/>
    </row>
    <row r="64" spans="1:13" s="105" customFormat="1" ht="15.6" hidden="1">
      <c r="A64" s="176" t="s">
        <v>103</v>
      </c>
      <c r="B64" s="181" t="s">
        <v>124</v>
      </c>
      <c r="C64" s="190" t="s">
        <v>39</v>
      </c>
      <c r="D64" s="138"/>
      <c r="E64" s="118"/>
      <c r="F64" s="118"/>
      <c r="G64" s="118"/>
      <c r="H64" s="118"/>
      <c r="I64" s="143">
        <f t="shared" si="0"/>
        <v>0</v>
      </c>
      <c r="J64" s="119"/>
      <c r="K64" s="155"/>
      <c r="L64" s="167">
        <f>[15]VAL.PRINC!I41</f>
        <v>0</v>
      </c>
      <c r="M64" s="112"/>
    </row>
    <row r="65" spans="1:13" s="105" customFormat="1" ht="15.6" hidden="1">
      <c r="A65" s="176" t="s">
        <v>103</v>
      </c>
      <c r="B65" s="181" t="s">
        <v>125</v>
      </c>
      <c r="C65" s="190" t="s">
        <v>36</v>
      </c>
      <c r="D65" s="138"/>
      <c r="E65" s="118"/>
      <c r="F65" s="118"/>
      <c r="G65" s="118"/>
      <c r="H65" s="118"/>
      <c r="I65" s="143">
        <f t="shared" si="0"/>
        <v>0</v>
      </c>
      <c r="J65" s="117"/>
      <c r="K65" s="152"/>
      <c r="L65" s="167">
        <f>[15]VAL.PRINC!I42</f>
        <v>0</v>
      </c>
      <c r="M65" s="112"/>
    </row>
    <row r="66" spans="1:13" s="105" customFormat="1" ht="15.6" hidden="1">
      <c r="A66" s="176" t="s">
        <v>103</v>
      </c>
      <c r="B66" s="181" t="s">
        <v>126</v>
      </c>
      <c r="C66" s="190" t="s">
        <v>39</v>
      </c>
      <c r="D66" s="138"/>
      <c r="E66" s="118"/>
      <c r="F66" s="118"/>
      <c r="G66" s="118"/>
      <c r="H66" s="118"/>
      <c r="I66" s="143">
        <f t="shared" si="0"/>
        <v>0</v>
      </c>
      <c r="J66" s="117"/>
      <c r="K66" s="152"/>
      <c r="L66" s="167">
        <f>[15]VAL.PRINC!I43</f>
        <v>0</v>
      </c>
    </row>
    <row r="67" spans="1:13" s="105" customFormat="1" ht="15.6" hidden="1">
      <c r="A67" s="176" t="s">
        <v>103</v>
      </c>
      <c r="B67" s="181" t="s">
        <v>127</v>
      </c>
      <c r="C67" s="189" t="s">
        <v>37</v>
      </c>
      <c r="D67" s="122"/>
      <c r="E67" s="115"/>
      <c r="F67" s="115"/>
      <c r="G67" s="115"/>
      <c r="H67" s="115"/>
      <c r="I67" s="143">
        <f t="shared" si="0"/>
        <v>0</v>
      </c>
      <c r="J67" s="119"/>
      <c r="K67" s="152"/>
      <c r="L67" s="167">
        <f>[15]VAL.PRINC!I44</f>
        <v>0</v>
      </c>
      <c r="M67" s="112"/>
    </row>
    <row r="68" spans="1:13" s="114" customFormat="1" ht="15.6" hidden="1">
      <c r="A68" s="176" t="s">
        <v>103</v>
      </c>
      <c r="B68" s="181" t="s">
        <v>128</v>
      </c>
      <c r="C68" s="189" t="s">
        <v>37</v>
      </c>
      <c r="D68" s="121"/>
      <c r="E68" s="118"/>
      <c r="F68" s="118"/>
      <c r="G68" s="118"/>
      <c r="H68" s="118"/>
      <c r="I68" s="143">
        <f t="shared" si="0"/>
        <v>0</v>
      </c>
      <c r="J68" s="119"/>
      <c r="K68" s="156"/>
      <c r="L68" s="167">
        <f>[15]VAL.PRINC!I45</f>
        <v>0</v>
      </c>
    </row>
    <row r="69" spans="1:13" s="114" customFormat="1" ht="15.6" hidden="1">
      <c r="A69" s="176" t="s">
        <v>103</v>
      </c>
      <c r="B69" s="181" t="s">
        <v>241</v>
      </c>
      <c r="C69" s="192" t="s">
        <v>36</v>
      </c>
      <c r="D69" s="121"/>
      <c r="E69" s="118"/>
      <c r="F69" s="118"/>
      <c r="G69" s="118"/>
      <c r="H69" s="118"/>
      <c r="I69" s="143">
        <f t="shared" si="0"/>
        <v>0</v>
      </c>
      <c r="J69" s="119"/>
      <c r="K69" s="156"/>
      <c r="L69" s="167">
        <f>[15]VAL.PRINC!I46</f>
        <v>0</v>
      </c>
    </row>
    <row r="70" spans="1:13" s="114" customFormat="1" ht="15.6" hidden="1">
      <c r="A70" s="176" t="s">
        <v>103</v>
      </c>
      <c r="B70" s="181" t="s">
        <v>122</v>
      </c>
      <c r="C70" s="190" t="s">
        <v>39</v>
      </c>
      <c r="D70" s="121"/>
      <c r="E70" s="118"/>
      <c r="F70" s="118"/>
      <c r="G70" s="118"/>
      <c r="H70" s="118"/>
      <c r="I70" s="143">
        <f t="shared" si="0"/>
        <v>0</v>
      </c>
      <c r="J70" s="119"/>
      <c r="K70" s="156"/>
      <c r="L70" s="167">
        <f>[15]VAL.PRINC!I47</f>
        <v>0</v>
      </c>
    </row>
    <row r="71" spans="1:13" ht="15.6" hidden="1">
      <c r="A71" s="178" t="s">
        <v>104</v>
      </c>
      <c r="B71" s="184" t="s">
        <v>105</v>
      </c>
      <c r="C71" s="191"/>
      <c r="D71" s="121"/>
      <c r="E71" s="118"/>
      <c r="F71" s="118"/>
      <c r="G71" s="118"/>
      <c r="H71" s="118"/>
      <c r="I71" s="143">
        <f t="shared" si="0"/>
        <v>0</v>
      </c>
      <c r="J71" s="119"/>
      <c r="K71" s="156"/>
      <c r="L71" s="167">
        <f>[15]VAL.PRINC!I48</f>
        <v>0</v>
      </c>
    </row>
    <row r="72" spans="1:13" ht="15.6" hidden="1">
      <c r="A72" s="176" t="s">
        <v>104</v>
      </c>
      <c r="B72" s="181" t="s">
        <v>129</v>
      </c>
      <c r="C72" s="190" t="s">
        <v>37</v>
      </c>
      <c r="D72" s="121"/>
      <c r="E72" s="118"/>
      <c r="F72" s="118"/>
      <c r="G72" s="118"/>
      <c r="H72" s="118"/>
      <c r="I72" s="143">
        <f t="shared" si="0"/>
        <v>0</v>
      </c>
      <c r="J72" s="119"/>
      <c r="K72" s="156"/>
      <c r="L72" s="167">
        <f>[15]VAL.PRINC!I49</f>
        <v>0</v>
      </c>
    </row>
    <row r="73" spans="1:13" ht="15.6" hidden="1">
      <c r="A73" s="176" t="s">
        <v>104</v>
      </c>
      <c r="B73" s="181" t="s">
        <v>130</v>
      </c>
      <c r="C73" s="189" t="s">
        <v>37</v>
      </c>
      <c r="D73" s="121"/>
      <c r="E73" s="118"/>
      <c r="F73" s="118"/>
      <c r="G73" s="118"/>
      <c r="H73" s="118"/>
      <c r="I73" s="143">
        <f t="shared" si="0"/>
        <v>0</v>
      </c>
      <c r="J73" s="119"/>
      <c r="K73" s="156"/>
      <c r="L73" s="167">
        <f>[15]VAL.PRINC!I50</f>
        <v>0</v>
      </c>
    </row>
    <row r="74" spans="1:13" ht="15.6" hidden="1">
      <c r="A74" s="176" t="s">
        <v>104</v>
      </c>
      <c r="B74" s="181" t="s">
        <v>131</v>
      </c>
      <c r="C74" s="190" t="s">
        <v>37</v>
      </c>
      <c r="D74" s="121"/>
      <c r="E74" s="118"/>
      <c r="F74" s="118"/>
      <c r="G74" s="118"/>
      <c r="H74" s="118"/>
      <c r="I74" s="143">
        <f t="shared" si="0"/>
        <v>0</v>
      </c>
      <c r="J74" s="119"/>
      <c r="K74" s="156"/>
      <c r="L74" s="167">
        <f>[15]VAL.PRINC!I51</f>
        <v>0</v>
      </c>
    </row>
    <row r="75" spans="1:13" ht="15.6" hidden="1">
      <c r="A75" s="177" t="s">
        <v>106</v>
      </c>
      <c r="B75" s="185" t="s">
        <v>107</v>
      </c>
      <c r="C75" s="191"/>
      <c r="D75" s="121"/>
      <c r="E75" s="118"/>
      <c r="F75" s="118"/>
      <c r="G75" s="118"/>
      <c r="H75" s="118"/>
      <c r="I75" s="143">
        <f t="shared" si="0"/>
        <v>0</v>
      </c>
      <c r="J75" s="119"/>
      <c r="K75" s="156"/>
      <c r="L75" s="167">
        <f>[15]VAL.PRINC!I52</f>
        <v>0</v>
      </c>
    </row>
    <row r="76" spans="1:13" ht="15.6" hidden="1">
      <c r="A76" s="178" t="s">
        <v>108</v>
      </c>
      <c r="B76" s="184" t="s">
        <v>96</v>
      </c>
      <c r="C76" s="190"/>
      <c r="D76" s="121"/>
      <c r="E76" s="118"/>
      <c r="F76" s="118"/>
      <c r="G76" s="137"/>
      <c r="H76" s="118"/>
      <c r="I76" s="143">
        <f t="shared" si="0"/>
        <v>0</v>
      </c>
      <c r="J76" s="119"/>
      <c r="K76" s="157"/>
      <c r="L76" s="167">
        <f>[15]VAL.PRINC!I53</f>
        <v>0</v>
      </c>
    </row>
    <row r="77" spans="1:13" ht="15.6" hidden="1">
      <c r="A77" s="176" t="s">
        <v>108</v>
      </c>
      <c r="B77" s="181" t="s">
        <v>132</v>
      </c>
      <c r="C77" s="190" t="s">
        <v>36</v>
      </c>
      <c r="D77" s="121"/>
      <c r="E77" s="118"/>
      <c r="F77" s="118"/>
      <c r="G77" s="137"/>
      <c r="H77" s="118"/>
      <c r="I77" s="143">
        <f t="shared" si="0"/>
        <v>0</v>
      </c>
      <c r="J77" s="119"/>
      <c r="K77" s="157"/>
      <c r="L77" s="167">
        <f>[15]VAL.PRINC!I54</f>
        <v>0</v>
      </c>
    </row>
    <row r="78" spans="1:13" ht="15.6" hidden="1">
      <c r="A78" s="176" t="s">
        <v>108</v>
      </c>
      <c r="B78" s="181" t="s">
        <v>120</v>
      </c>
      <c r="C78" s="190" t="s">
        <v>36</v>
      </c>
      <c r="D78" s="121"/>
      <c r="E78" s="118"/>
      <c r="F78" s="118"/>
      <c r="G78" s="137"/>
      <c r="H78" s="118"/>
      <c r="I78" s="143">
        <f t="shared" si="0"/>
        <v>0</v>
      </c>
      <c r="J78" s="119"/>
      <c r="K78" s="157"/>
      <c r="L78" s="167">
        <f>[15]VAL.PRINC!I55</f>
        <v>0</v>
      </c>
    </row>
    <row r="79" spans="1:13" ht="15.6" hidden="1">
      <c r="A79" s="176" t="s">
        <v>108</v>
      </c>
      <c r="B79" s="181" t="s">
        <v>133</v>
      </c>
      <c r="C79" s="190" t="s">
        <v>242</v>
      </c>
      <c r="D79" s="121"/>
      <c r="E79" s="118"/>
      <c r="F79" s="118"/>
      <c r="G79" s="137"/>
      <c r="H79" s="118"/>
      <c r="I79" s="143">
        <f t="shared" si="0"/>
        <v>0</v>
      </c>
      <c r="J79" s="117"/>
      <c r="K79" s="157"/>
      <c r="L79" s="167">
        <f>[15]VAL.PRINC!I56</f>
        <v>0</v>
      </c>
    </row>
    <row r="80" spans="1:13" ht="15.6" hidden="1">
      <c r="A80" s="178" t="s">
        <v>109</v>
      </c>
      <c r="B80" s="184" t="s">
        <v>98</v>
      </c>
      <c r="C80" s="190"/>
      <c r="D80" s="121"/>
      <c r="E80" s="118"/>
      <c r="F80" s="118"/>
      <c r="G80" s="137"/>
      <c r="H80" s="118"/>
      <c r="I80" s="143">
        <f t="shared" si="0"/>
        <v>0</v>
      </c>
      <c r="J80" s="117"/>
      <c r="K80" s="157"/>
      <c r="L80" s="167">
        <f>[15]VAL.PRINC!I57</f>
        <v>0</v>
      </c>
    </row>
    <row r="81" spans="1:12" ht="15.6" hidden="1">
      <c r="A81" s="179" t="s">
        <v>110</v>
      </c>
      <c r="B81" s="186" t="s">
        <v>134</v>
      </c>
      <c r="C81" s="189"/>
      <c r="D81" s="121"/>
      <c r="E81" s="118"/>
      <c r="F81" s="118"/>
      <c r="G81" s="137"/>
      <c r="H81" s="118"/>
      <c r="I81" s="143">
        <f t="shared" si="0"/>
        <v>0</v>
      </c>
      <c r="J81" s="117"/>
      <c r="K81" s="157"/>
      <c r="L81" s="167">
        <f>[15]VAL.PRINC!I58</f>
        <v>0</v>
      </c>
    </row>
    <row r="82" spans="1:12" ht="15.6" hidden="1">
      <c r="A82" s="176" t="s">
        <v>110</v>
      </c>
      <c r="B82" s="181" t="s">
        <v>135</v>
      </c>
      <c r="C82" s="190" t="s">
        <v>39</v>
      </c>
      <c r="D82" s="121"/>
      <c r="E82" s="118"/>
      <c r="F82" s="118"/>
      <c r="G82" s="137"/>
      <c r="H82" s="118"/>
      <c r="I82" s="143">
        <f t="shared" si="0"/>
        <v>0</v>
      </c>
      <c r="J82" s="117"/>
      <c r="K82" s="157"/>
      <c r="L82" s="167">
        <f>[15]VAL.PRINC!I59</f>
        <v>0</v>
      </c>
    </row>
    <row r="83" spans="1:12" ht="15.6" hidden="1">
      <c r="A83" s="176" t="s">
        <v>110</v>
      </c>
      <c r="B83" s="181" t="s">
        <v>136</v>
      </c>
      <c r="C83" s="190" t="s">
        <v>39</v>
      </c>
      <c r="D83" s="121"/>
      <c r="E83" s="118"/>
      <c r="F83" s="118"/>
      <c r="G83" s="137"/>
      <c r="H83" s="118"/>
      <c r="I83" s="143">
        <f t="shared" si="0"/>
        <v>0</v>
      </c>
      <c r="J83" s="117"/>
      <c r="K83" s="157"/>
      <c r="L83" s="167">
        <f>[15]VAL.PRINC!I60</f>
        <v>0</v>
      </c>
    </row>
    <row r="84" spans="1:12" ht="15.6" hidden="1">
      <c r="A84" s="176" t="s">
        <v>110</v>
      </c>
      <c r="B84" s="181" t="s">
        <v>137</v>
      </c>
      <c r="C84" s="190" t="s">
        <v>39</v>
      </c>
      <c r="D84" s="121"/>
      <c r="E84" s="118"/>
      <c r="F84" s="118"/>
      <c r="G84" s="137"/>
      <c r="H84" s="118"/>
      <c r="I84" s="143">
        <f t="shared" si="0"/>
        <v>0</v>
      </c>
      <c r="J84" s="117"/>
      <c r="K84" s="157"/>
      <c r="L84" s="167">
        <f>[15]VAL.PRINC!I61</f>
        <v>0</v>
      </c>
    </row>
    <row r="85" spans="1:12" ht="15.6" hidden="1">
      <c r="A85" s="179" t="s">
        <v>111</v>
      </c>
      <c r="B85" s="186" t="s">
        <v>112</v>
      </c>
      <c r="C85" s="193"/>
      <c r="D85" s="121"/>
      <c r="E85" s="118"/>
      <c r="F85" s="118"/>
      <c r="G85" s="137"/>
      <c r="H85" s="118"/>
      <c r="I85" s="143">
        <f t="shared" si="0"/>
        <v>0</v>
      </c>
      <c r="J85" s="117"/>
      <c r="K85" s="157"/>
      <c r="L85" s="167">
        <f>[15]VAL.PRINC!I62</f>
        <v>0</v>
      </c>
    </row>
    <row r="86" spans="1:12" ht="15.6" hidden="1">
      <c r="A86" s="176" t="s">
        <v>111</v>
      </c>
      <c r="B86" s="181" t="s">
        <v>122</v>
      </c>
      <c r="C86" s="194" t="s">
        <v>39</v>
      </c>
      <c r="D86" s="121"/>
      <c r="E86" s="118"/>
      <c r="F86" s="118"/>
      <c r="G86" s="137"/>
      <c r="H86" s="118"/>
      <c r="I86" s="143">
        <f t="shared" si="0"/>
        <v>0</v>
      </c>
      <c r="J86" s="117"/>
      <c r="K86" s="157"/>
      <c r="L86" s="167">
        <f>[15]VAL.PRINC!I63</f>
        <v>0</v>
      </c>
    </row>
    <row r="87" spans="1:12" ht="15.6" hidden="1">
      <c r="A87" s="179" t="s">
        <v>113</v>
      </c>
      <c r="B87" s="186" t="s">
        <v>243</v>
      </c>
      <c r="C87" s="195"/>
      <c r="D87" s="121"/>
      <c r="E87" s="118"/>
      <c r="F87" s="118"/>
      <c r="G87" s="137"/>
      <c r="H87" s="118"/>
      <c r="I87" s="143">
        <f t="shared" si="0"/>
        <v>0</v>
      </c>
      <c r="J87" s="117"/>
      <c r="K87" s="157"/>
      <c r="L87" s="167">
        <f>[15]VAL.PRINC!I64</f>
        <v>0</v>
      </c>
    </row>
    <row r="88" spans="1:12" ht="15.6" hidden="1">
      <c r="A88" s="176" t="s">
        <v>113</v>
      </c>
      <c r="B88" s="181" t="s">
        <v>119</v>
      </c>
      <c r="C88" s="189" t="s">
        <v>240</v>
      </c>
      <c r="D88" s="121"/>
      <c r="E88" s="118"/>
      <c r="F88" s="118"/>
      <c r="G88" s="137"/>
      <c r="H88" s="118"/>
      <c r="I88" s="143">
        <f t="shared" si="0"/>
        <v>0</v>
      </c>
      <c r="J88" s="117"/>
      <c r="K88" s="157"/>
      <c r="L88" s="167">
        <f>[15]VAL.PRINC!I65</f>
        <v>0</v>
      </c>
    </row>
    <row r="89" spans="1:12" ht="15.6" hidden="1">
      <c r="A89" s="178" t="s">
        <v>114</v>
      </c>
      <c r="B89" s="184" t="s">
        <v>115</v>
      </c>
      <c r="C89" s="190"/>
      <c r="D89" s="121"/>
      <c r="E89" s="118"/>
      <c r="F89" s="118"/>
      <c r="G89" s="137"/>
      <c r="H89" s="118"/>
      <c r="I89" s="143">
        <f t="shared" si="0"/>
        <v>0</v>
      </c>
      <c r="J89" s="117"/>
      <c r="K89" s="157"/>
      <c r="L89" s="167">
        <f>[15]VAL.PRINC!I66</f>
        <v>0</v>
      </c>
    </row>
    <row r="90" spans="1:12" ht="15.6" hidden="1">
      <c r="A90" s="179" t="s">
        <v>116</v>
      </c>
      <c r="B90" s="186" t="s">
        <v>138</v>
      </c>
      <c r="C90" s="190"/>
      <c r="D90" s="121"/>
      <c r="E90" s="118"/>
      <c r="F90" s="118"/>
      <c r="G90" s="137"/>
      <c r="H90" s="118"/>
      <c r="I90" s="143">
        <f t="shared" si="0"/>
        <v>0</v>
      </c>
      <c r="J90" s="117"/>
      <c r="K90" s="157"/>
      <c r="L90" s="167">
        <f>[15]VAL.PRINC!I67</f>
        <v>0</v>
      </c>
    </row>
    <row r="91" spans="1:12" ht="15.6" hidden="1">
      <c r="A91" s="176" t="s">
        <v>116</v>
      </c>
      <c r="B91" s="181" t="s">
        <v>139</v>
      </c>
      <c r="C91" s="192" t="s">
        <v>36</v>
      </c>
      <c r="D91" s="121"/>
      <c r="E91" s="118"/>
      <c r="F91" s="118"/>
      <c r="G91" s="137"/>
      <c r="H91" s="118"/>
      <c r="I91" s="143">
        <f t="shared" si="0"/>
        <v>0</v>
      </c>
      <c r="J91" s="141"/>
      <c r="K91" s="156"/>
      <c r="L91" s="167">
        <f>[15]VAL.PRINC!I68</f>
        <v>0</v>
      </c>
    </row>
    <row r="92" spans="1:12" ht="15.6" hidden="1">
      <c r="A92" s="176" t="s">
        <v>116</v>
      </c>
      <c r="B92" s="181" t="s">
        <v>162</v>
      </c>
      <c r="C92" s="190" t="s">
        <v>36</v>
      </c>
      <c r="D92" s="121"/>
      <c r="E92" s="118"/>
      <c r="F92" s="118"/>
      <c r="G92" s="137"/>
      <c r="H92" s="118"/>
      <c r="I92" s="143">
        <f t="shared" si="0"/>
        <v>0</v>
      </c>
      <c r="J92" s="141"/>
      <c r="K92" s="158"/>
      <c r="L92" s="167">
        <f>[15]VAL.PRINC!I69</f>
        <v>0</v>
      </c>
    </row>
    <row r="93" spans="1:12" ht="15.6" hidden="1">
      <c r="A93" s="176" t="s">
        <v>116</v>
      </c>
      <c r="B93" s="181" t="s">
        <v>163</v>
      </c>
      <c r="C93" s="189" t="s">
        <v>36</v>
      </c>
      <c r="D93" s="121"/>
      <c r="E93" s="118"/>
      <c r="F93" s="118"/>
      <c r="G93" s="137"/>
      <c r="H93" s="118"/>
      <c r="I93" s="143">
        <f t="shared" si="0"/>
        <v>0</v>
      </c>
      <c r="J93" s="119"/>
      <c r="K93" s="153"/>
      <c r="L93" s="167">
        <f>[15]VAL.PRINC!I70</f>
        <v>0</v>
      </c>
    </row>
    <row r="94" spans="1:12" ht="15.6" hidden="1">
      <c r="A94" s="179" t="s">
        <v>140</v>
      </c>
      <c r="B94" s="186" t="s">
        <v>164</v>
      </c>
      <c r="C94" s="189"/>
      <c r="D94" s="121"/>
      <c r="E94" s="118"/>
      <c r="F94" s="118"/>
      <c r="G94" s="137"/>
      <c r="H94" s="118"/>
      <c r="I94" s="143">
        <f t="shared" si="0"/>
        <v>0</v>
      </c>
      <c r="J94" s="119"/>
      <c r="K94" s="153"/>
      <c r="L94" s="167">
        <f>[15]VAL.PRINC!I71</f>
        <v>0</v>
      </c>
    </row>
    <row r="95" spans="1:12" ht="15.6" hidden="1">
      <c r="A95" s="176" t="s">
        <v>140</v>
      </c>
      <c r="B95" s="181" t="s">
        <v>165</v>
      </c>
      <c r="C95" s="189" t="s">
        <v>36</v>
      </c>
      <c r="D95" s="121"/>
      <c r="E95" s="118"/>
      <c r="F95" s="118"/>
      <c r="G95" s="137"/>
      <c r="H95" s="118"/>
      <c r="I95" s="143">
        <f t="shared" si="0"/>
        <v>0</v>
      </c>
      <c r="J95" s="119"/>
      <c r="K95" s="153"/>
      <c r="L95" s="167">
        <f>[15]VAL.PRINC!I72</f>
        <v>0</v>
      </c>
    </row>
    <row r="96" spans="1:12" ht="15.6" hidden="1">
      <c r="A96" s="178" t="s">
        <v>141</v>
      </c>
      <c r="B96" s="184" t="s">
        <v>142</v>
      </c>
      <c r="C96" s="196"/>
      <c r="D96" s="121"/>
      <c r="E96" s="118"/>
      <c r="F96" s="118"/>
      <c r="G96" s="137"/>
      <c r="H96" s="118"/>
      <c r="I96" s="143">
        <f t="shared" si="0"/>
        <v>0</v>
      </c>
      <c r="J96" s="119"/>
      <c r="K96" s="153"/>
      <c r="L96" s="167">
        <f>[15]VAL.PRINC!I73</f>
        <v>0</v>
      </c>
    </row>
    <row r="97" spans="1:12" ht="15.6" hidden="1">
      <c r="A97" s="176" t="s">
        <v>141</v>
      </c>
      <c r="B97" s="181" t="s">
        <v>166</v>
      </c>
      <c r="C97" s="190" t="s">
        <v>39</v>
      </c>
      <c r="D97" s="121"/>
      <c r="E97" s="118"/>
      <c r="F97" s="118"/>
      <c r="G97" s="137"/>
      <c r="H97" s="118"/>
      <c r="I97" s="143">
        <f t="shared" si="0"/>
        <v>0</v>
      </c>
      <c r="J97" s="119"/>
      <c r="K97" s="153"/>
      <c r="L97" s="167">
        <f>[15]VAL.PRINC!I74</f>
        <v>0</v>
      </c>
    </row>
    <row r="98" spans="1:12" ht="15.6" hidden="1">
      <c r="A98" s="176" t="s">
        <v>141</v>
      </c>
      <c r="B98" s="181" t="s">
        <v>167</v>
      </c>
      <c r="C98" s="190" t="s">
        <v>39</v>
      </c>
      <c r="D98" s="121"/>
      <c r="E98" s="118"/>
      <c r="F98" s="118"/>
      <c r="G98" s="137"/>
      <c r="H98" s="118"/>
      <c r="I98" s="143">
        <f t="shared" si="0"/>
        <v>0</v>
      </c>
      <c r="J98" s="119"/>
      <c r="K98" s="153"/>
      <c r="L98" s="167">
        <f>[15]VAL.PRINC!I75</f>
        <v>0</v>
      </c>
    </row>
    <row r="99" spans="1:12" ht="15.6" hidden="1">
      <c r="A99" s="176" t="s">
        <v>141</v>
      </c>
      <c r="B99" s="181" t="s">
        <v>102</v>
      </c>
      <c r="C99" s="189" t="s">
        <v>39</v>
      </c>
      <c r="D99" s="121"/>
      <c r="E99" s="118"/>
      <c r="F99" s="118"/>
      <c r="G99" s="137"/>
      <c r="H99" s="118"/>
      <c r="I99" s="143">
        <f t="shared" si="0"/>
        <v>0</v>
      </c>
      <c r="J99" s="119"/>
      <c r="K99" s="153"/>
      <c r="L99" s="167">
        <f>[15]VAL.PRINC!I76</f>
        <v>0</v>
      </c>
    </row>
    <row r="100" spans="1:12" ht="15.6" hidden="1">
      <c r="A100" s="176" t="s">
        <v>141</v>
      </c>
      <c r="B100" s="181" t="s">
        <v>143</v>
      </c>
      <c r="C100" s="190" t="s">
        <v>39</v>
      </c>
      <c r="D100" s="121"/>
      <c r="E100" s="118"/>
      <c r="F100" s="118"/>
      <c r="G100" s="137"/>
      <c r="H100" s="118"/>
      <c r="I100" s="143">
        <f t="shared" si="0"/>
        <v>0</v>
      </c>
      <c r="J100" s="119"/>
      <c r="K100" s="153"/>
      <c r="L100" s="167">
        <f>[15]VAL.PRINC!I77</f>
        <v>0</v>
      </c>
    </row>
    <row r="101" spans="1:12" ht="15.6" hidden="1">
      <c r="A101" s="178" t="s">
        <v>144</v>
      </c>
      <c r="B101" s="184" t="s">
        <v>145</v>
      </c>
      <c r="C101" s="188"/>
      <c r="D101" s="121"/>
      <c r="E101" s="118"/>
      <c r="F101" s="118"/>
      <c r="G101" s="137"/>
      <c r="H101" s="118"/>
      <c r="I101" s="143">
        <f t="shared" si="0"/>
        <v>0</v>
      </c>
      <c r="J101" s="119"/>
      <c r="K101" s="156"/>
      <c r="L101" s="167">
        <f>[15]VAL.PRINC!I78</f>
        <v>0</v>
      </c>
    </row>
    <row r="102" spans="1:12" ht="15.6" hidden="1">
      <c r="A102" s="179" t="s">
        <v>146</v>
      </c>
      <c r="B102" s="186" t="s">
        <v>147</v>
      </c>
      <c r="C102" s="190"/>
      <c r="D102" s="121"/>
      <c r="E102" s="118"/>
      <c r="F102" s="118"/>
      <c r="G102" s="137"/>
      <c r="H102" s="118"/>
      <c r="I102" s="143">
        <f t="shared" si="0"/>
        <v>0</v>
      </c>
      <c r="J102" s="119"/>
      <c r="K102" s="159"/>
      <c r="L102" s="167">
        <f>[15]VAL.PRINC!I79</f>
        <v>0</v>
      </c>
    </row>
    <row r="103" spans="1:12" ht="15.6" hidden="1">
      <c r="A103" s="176" t="s">
        <v>146</v>
      </c>
      <c r="B103" s="181" t="s">
        <v>148</v>
      </c>
      <c r="C103" s="189" t="s">
        <v>39</v>
      </c>
      <c r="D103" s="121"/>
      <c r="E103" s="118"/>
      <c r="F103" s="118"/>
      <c r="G103" s="137"/>
      <c r="H103" s="118"/>
      <c r="I103" s="143">
        <f t="shared" si="0"/>
        <v>0</v>
      </c>
      <c r="J103" s="119"/>
      <c r="K103" s="159"/>
      <c r="L103" s="167">
        <f>[15]VAL.PRINC!I80</f>
        <v>0</v>
      </c>
    </row>
    <row r="104" spans="1:12" ht="15.6" hidden="1">
      <c r="A104" s="176" t="s">
        <v>146</v>
      </c>
      <c r="B104" s="181" t="s">
        <v>149</v>
      </c>
      <c r="C104" s="190" t="s">
        <v>39</v>
      </c>
      <c r="D104" s="121"/>
      <c r="E104" s="118"/>
      <c r="F104" s="118"/>
      <c r="G104" s="137"/>
      <c r="H104" s="118"/>
      <c r="I104" s="143">
        <f t="shared" si="0"/>
        <v>0</v>
      </c>
      <c r="J104" s="119"/>
      <c r="K104" s="156"/>
      <c r="L104" s="167">
        <f>[15]VAL.PRINC!I81</f>
        <v>0</v>
      </c>
    </row>
    <row r="105" spans="1:12" ht="15.6" hidden="1">
      <c r="A105" s="176" t="s">
        <v>146</v>
      </c>
      <c r="B105" s="181" t="s">
        <v>150</v>
      </c>
      <c r="C105" s="190" t="s">
        <v>36</v>
      </c>
      <c r="D105" s="121"/>
      <c r="E105" s="118"/>
      <c r="F105" s="118"/>
      <c r="G105" s="137"/>
      <c r="H105" s="118"/>
      <c r="I105" s="143">
        <f t="shared" si="0"/>
        <v>0</v>
      </c>
      <c r="J105" s="119"/>
      <c r="K105" s="160"/>
      <c r="L105" s="167">
        <f>[15]VAL.PRINC!I82</f>
        <v>0</v>
      </c>
    </row>
    <row r="106" spans="1:12" ht="15.6" hidden="1">
      <c r="A106" s="179" t="s">
        <v>151</v>
      </c>
      <c r="B106" s="186" t="s">
        <v>152</v>
      </c>
      <c r="C106" s="197"/>
      <c r="D106" s="147"/>
      <c r="E106" s="148"/>
      <c r="F106" s="148"/>
      <c r="G106" s="148"/>
      <c r="H106" s="148"/>
      <c r="I106" s="143">
        <f t="shared" si="0"/>
        <v>0</v>
      </c>
      <c r="J106" s="148"/>
      <c r="K106" s="161"/>
      <c r="L106" s="167">
        <f>[15]VAL.PRINC!I83</f>
        <v>0</v>
      </c>
    </row>
    <row r="107" spans="1:12" ht="15.6" hidden="1">
      <c r="A107" s="176" t="s">
        <v>151</v>
      </c>
      <c r="B107" s="181" t="s">
        <v>168</v>
      </c>
      <c r="C107" s="190" t="s">
        <v>47</v>
      </c>
      <c r="D107" s="147"/>
      <c r="E107" s="148"/>
      <c r="F107" s="148"/>
      <c r="G107" s="148"/>
      <c r="H107" s="148"/>
      <c r="I107" s="143">
        <f t="shared" si="0"/>
        <v>0</v>
      </c>
      <c r="J107" s="148"/>
      <c r="K107" s="161"/>
      <c r="L107" s="167">
        <f>[15]VAL.PRINC!I84</f>
        <v>0</v>
      </c>
    </row>
    <row r="108" spans="1:12" ht="15.6" hidden="1">
      <c r="A108" s="176" t="s">
        <v>151</v>
      </c>
      <c r="B108" s="181" t="s">
        <v>169</v>
      </c>
      <c r="C108" s="192" t="s">
        <v>47</v>
      </c>
      <c r="D108" s="147"/>
      <c r="E108" s="148"/>
      <c r="F108" s="148"/>
      <c r="G108" s="148"/>
      <c r="H108" s="148"/>
      <c r="I108" s="143">
        <f t="shared" si="0"/>
        <v>0</v>
      </c>
      <c r="J108" s="148"/>
      <c r="K108" s="161"/>
      <c r="L108" s="167">
        <f>[15]VAL.PRINC!I85</f>
        <v>0</v>
      </c>
    </row>
    <row r="109" spans="1:12" ht="15.6" hidden="1">
      <c r="A109" s="176" t="s">
        <v>151</v>
      </c>
      <c r="B109" s="181" t="s">
        <v>170</v>
      </c>
      <c r="C109" s="190" t="s">
        <v>47</v>
      </c>
      <c r="D109" s="147"/>
      <c r="E109" s="148"/>
      <c r="F109" s="148"/>
      <c r="G109" s="148"/>
      <c r="H109" s="148"/>
      <c r="I109" s="143">
        <f t="shared" si="0"/>
        <v>0</v>
      </c>
      <c r="J109" s="148"/>
      <c r="K109" s="161"/>
      <c r="L109" s="167">
        <f>[15]VAL.PRINC!I86</f>
        <v>0</v>
      </c>
    </row>
    <row r="110" spans="1:12" ht="15.6" hidden="1">
      <c r="A110" s="179" t="s">
        <v>153</v>
      </c>
      <c r="B110" s="186" t="s">
        <v>171</v>
      </c>
      <c r="C110" s="191"/>
      <c r="D110" s="147"/>
      <c r="E110" s="148"/>
      <c r="F110" s="148"/>
      <c r="G110" s="148"/>
      <c r="H110" s="148"/>
      <c r="I110" s="143">
        <f t="shared" si="0"/>
        <v>0</v>
      </c>
      <c r="J110" s="148"/>
      <c r="K110" s="161"/>
      <c r="L110" s="167">
        <f>[15]VAL.PRINC!I87</f>
        <v>0</v>
      </c>
    </row>
    <row r="111" spans="1:12" ht="15.6" hidden="1">
      <c r="A111" s="176" t="s">
        <v>153</v>
      </c>
      <c r="B111" s="181" t="s">
        <v>172</v>
      </c>
      <c r="C111" s="190" t="s">
        <v>244</v>
      </c>
      <c r="D111" s="147"/>
      <c r="E111" s="148"/>
      <c r="F111" s="148"/>
      <c r="G111" s="148"/>
      <c r="H111" s="148"/>
      <c r="I111" s="143">
        <f t="shared" si="0"/>
        <v>0</v>
      </c>
      <c r="J111" s="148"/>
      <c r="K111" s="161"/>
      <c r="L111" s="167">
        <f>[15]VAL.PRINC!I88</f>
        <v>0</v>
      </c>
    </row>
    <row r="112" spans="1:12" ht="15.6" hidden="1">
      <c r="A112" s="176" t="s">
        <v>153</v>
      </c>
      <c r="B112" s="181" t="s">
        <v>173</v>
      </c>
      <c r="C112" s="190" t="s">
        <v>244</v>
      </c>
      <c r="D112" s="147"/>
      <c r="E112" s="148"/>
      <c r="F112" s="148"/>
      <c r="G112" s="148"/>
      <c r="H112" s="148"/>
      <c r="I112" s="143">
        <f t="shared" si="0"/>
        <v>0</v>
      </c>
      <c r="J112" s="148"/>
      <c r="K112" s="161"/>
      <c r="L112" s="167">
        <f>[15]VAL.PRINC!I89</f>
        <v>0</v>
      </c>
    </row>
    <row r="113" spans="1:12" ht="15.6" hidden="1">
      <c r="A113" s="176" t="s">
        <v>153</v>
      </c>
      <c r="B113" s="181" t="s">
        <v>174</v>
      </c>
      <c r="C113" s="189" t="s">
        <v>244</v>
      </c>
      <c r="D113" s="147"/>
      <c r="E113" s="148"/>
      <c r="F113" s="148"/>
      <c r="G113" s="148"/>
      <c r="H113" s="148"/>
      <c r="I113" s="143">
        <f t="shared" si="0"/>
        <v>0</v>
      </c>
      <c r="J113" s="148"/>
      <c r="K113" s="161"/>
      <c r="L113" s="167">
        <f>[15]VAL.PRINC!I90</f>
        <v>0</v>
      </c>
    </row>
    <row r="114" spans="1:12" ht="15.6" hidden="1">
      <c r="A114" s="176" t="s">
        <v>153</v>
      </c>
      <c r="B114" s="181" t="s">
        <v>175</v>
      </c>
      <c r="C114" s="190" t="s">
        <v>244</v>
      </c>
      <c r="D114" s="147"/>
      <c r="E114" s="148"/>
      <c r="F114" s="148"/>
      <c r="G114" s="148"/>
      <c r="H114" s="148"/>
      <c r="I114" s="143">
        <f t="shared" si="0"/>
        <v>0</v>
      </c>
      <c r="J114" s="148"/>
      <c r="K114" s="161"/>
      <c r="L114" s="167">
        <f>[15]VAL.PRINC!I91</f>
        <v>0</v>
      </c>
    </row>
    <row r="115" spans="1:12" ht="15.6" hidden="1">
      <c r="A115" s="178" t="s">
        <v>154</v>
      </c>
      <c r="B115" s="184" t="s">
        <v>155</v>
      </c>
      <c r="C115" s="188"/>
      <c r="D115" s="147"/>
      <c r="E115" s="148"/>
      <c r="F115" s="148"/>
      <c r="G115" s="148"/>
      <c r="H115" s="148"/>
      <c r="I115" s="143">
        <f t="shared" si="0"/>
        <v>0</v>
      </c>
      <c r="J115" s="148"/>
      <c r="K115" s="161"/>
      <c r="L115" s="167">
        <f>[15]VAL.PRINC!I92</f>
        <v>0</v>
      </c>
    </row>
    <row r="116" spans="1:12" ht="15.6" hidden="1">
      <c r="A116" s="179" t="s">
        <v>156</v>
      </c>
      <c r="B116" s="186" t="s">
        <v>157</v>
      </c>
      <c r="C116" s="190"/>
      <c r="D116" s="147"/>
      <c r="E116" s="148"/>
      <c r="F116" s="148"/>
      <c r="G116" s="148"/>
      <c r="H116" s="148"/>
      <c r="I116" s="143">
        <f t="shared" si="0"/>
        <v>0</v>
      </c>
      <c r="J116" s="148"/>
      <c r="K116" s="161"/>
      <c r="L116" s="167">
        <f>[15]VAL.PRINC!I93</f>
        <v>0</v>
      </c>
    </row>
    <row r="117" spans="1:12" ht="15.6" hidden="1">
      <c r="A117" s="176" t="s">
        <v>156</v>
      </c>
      <c r="B117" s="181" t="s">
        <v>176</v>
      </c>
      <c r="C117" s="189" t="s">
        <v>37</v>
      </c>
      <c r="D117" s="147"/>
      <c r="E117" s="148"/>
      <c r="F117" s="148"/>
      <c r="G117" s="148"/>
      <c r="H117" s="148"/>
      <c r="I117" s="143">
        <f t="shared" si="0"/>
        <v>0</v>
      </c>
      <c r="J117" s="148"/>
      <c r="K117" s="161"/>
      <c r="L117" s="167">
        <f>[15]VAL.PRINC!I94</f>
        <v>0</v>
      </c>
    </row>
    <row r="118" spans="1:12" ht="15.6" hidden="1">
      <c r="A118" s="179" t="s">
        <v>158</v>
      </c>
      <c r="B118" s="186" t="s">
        <v>159</v>
      </c>
      <c r="C118" s="190"/>
      <c r="D118" s="147"/>
      <c r="E118" s="148"/>
      <c r="F118" s="148"/>
      <c r="G118" s="148"/>
      <c r="H118" s="148"/>
      <c r="I118" s="143">
        <f t="shared" si="0"/>
        <v>0</v>
      </c>
      <c r="J118" s="148"/>
      <c r="K118" s="161"/>
      <c r="L118" s="167">
        <f>[15]VAL.PRINC!I95</f>
        <v>0</v>
      </c>
    </row>
    <row r="119" spans="1:12" ht="15.6" hidden="1">
      <c r="A119" s="176" t="s">
        <v>158</v>
      </c>
      <c r="B119" s="181" t="s">
        <v>177</v>
      </c>
      <c r="C119" s="190" t="s">
        <v>37</v>
      </c>
      <c r="D119" s="147"/>
      <c r="E119" s="148"/>
      <c r="F119" s="148"/>
      <c r="G119" s="148"/>
      <c r="H119" s="148"/>
      <c r="I119" s="143">
        <f t="shared" si="0"/>
        <v>0</v>
      </c>
      <c r="J119" s="148"/>
      <c r="K119" s="161"/>
      <c r="L119" s="167">
        <f>[15]VAL.PRINC!I96</f>
        <v>0</v>
      </c>
    </row>
    <row r="120" spans="1:12" ht="15.6" hidden="1">
      <c r="A120" s="179" t="s">
        <v>160</v>
      </c>
      <c r="B120" s="186" t="s">
        <v>161</v>
      </c>
      <c r="C120" s="191"/>
      <c r="D120" s="147"/>
      <c r="E120" s="148"/>
      <c r="F120" s="148"/>
      <c r="G120" s="148"/>
      <c r="H120" s="148"/>
      <c r="I120" s="143">
        <f t="shared" si="0"/>
        <v>0</v>
      </c>
      <c r="J120" s="148"/>
      <c r="K120" s="161"/>
      <c r="L120" s="167">
        <f>[15]VAL.PRINC!I97</f>
        <v>0</v>
      </c>
    </row>
    <row r="121" spans="1:12" ht="15.6" hidden="1">
      <c r="A121" s="176" t="s">
        <v>160</v>
      </c>
      <c r="B121" s="181" t="s">
        <v>215</v>
      </c>
      <c r="C121" s="190" t="s">
        <v>36</v>
      </c>
      <c r="D121" s="147"/>
      <c r="E121" s="148"/>
      <c r="F121" s="148"/>
      <c r="G121" s="148"/>
      <c r="H121" s="148"/>
      <c r="I121" s="143">
        <f t="shared" si="0"/>
        <v>0</v>
      </c>
      <c r="J121" s="148"/>
      <c r="K121" s="161"/>
      <c r="L121" s="167">
        <f>[15]VAL.PRINC!I98</f>
        <v>0</v>
      </c>
    </row>
    <row r="122" spans="1:12" ht="15.6" hidden="1">
      <c r="A122" s="179" t="s">
        <v>178</v>
      </c>
      <c r="B122" s="186" t="s">
        <v>179</v>
      </c>
      <c r="C122" s="190"/>
      <c r="D122" s="147"/>
      <c r="E122" s="148"/>
      <c r="F122" s="148"/>
      <c r="G122" s="148"/>
      <c r="H122" s="148"/>
      <c r="I122" s="143">
        <f t="shared" si="0"/>
        <v>0</v>
      </c>
      <c r="J122" s="148"/>
      <c r="K122" s="161"/>
      <c r="L122" s="167">
        <f>[15]VAL.PRINC!I99</f>
        <v>0</v>
      </c>
    </row>
    <row r="123" spans="1:12" ht="15.6" hidden="1">
      <c r="A123" s="176" t="s">
        <v>178</v>
      </c>
      <c r="B123" s="181" t="s">
        <v>216</v>
      </c>
      <c r="C123" s="192" t="s">
        <v>35</v>
      </c>
      <c r="D123" s="147"/>
      <c r="E123" s="148"/>
      <c r="F123" s="148"/>
      <c r="G123" s="148"/>
      <c r="H123" s="148"/>
      <c r="I123" s="143">
        <f t="shared" si="0"/>
        <v>0</v>
      </c>
      <c r="J123" s="148"/>
      <c r="K123" s="161"/>
      <c r="L123" s="167">
        <f>[15]VAL.PRINC!I100</f>
        <v>0</v>
      </c>
    </row>
    <row r="124" spans="1:12" ht="15.6" hidden="1">
      <c r="A124" s="176" t="s">
        <v>178</v>
      </c>
      <c r="B124" s="181" t="s">
        <v>217</v>
      </c>
      <c r="C124" s="190" t="s">
        <v>35</v>
      </c>
      <c r="D124" s="147"/>
      <c r="E124" s="148"/>
      <c r="F124" s="148"/>
      <c r="G124" s="148"/>
      <c r="H124" s="148"/>
      <c r="I124" s="143">
        <f t="shared" si="0"/>
        <v>0</v>
      </c>
      <c r="J124" s="148"/>
      <c r="K124" s="161"/>
      <c r="L124" s="167">
        <f>[15]VAL.PRINC!I101</f>
        <v>0</v>
      </c>
    </row>
    <row r="125" spans="1:12" ht="15.6" hidden="1">
      <c r="A125" s="179" t="s">
        <v>180</v>
      </c>
      <c r="B125" s="186" t="s">
        <v>181</v>
      </c>
      <c r="C125" s="191"/>
      <c r="D125" s="147"/>
      <c r="E125" s="148"/>
      <c r="F125" s="148"/>
      <c r="G125" s="148"/>
      <c r="H125" s="148"/>
      <c r="I125" s="143">
        <f t="shared" si="0"/>
        <v>0</v>
      </c>
      <c r="J125" s="148"/>
      <c r="K125" s="161"/>
      <c r="L125" s="167">
        <f>[15]VAL.PRINC!I102</f>
        <v>0</v>
      </c>
    </row>
    <row r="126" spans="1:12" ht="15.6" hidden="1">
      <c r="A126" s="176" t="s">
        <v>180</v>
      </c>
      <c r="B126" s="181" t="s">
        <v>218</v>
      </c>
      <c r="C126" s="190" t="s">
        <v>244</v>
      </c>
      <c r="D126" s="147"/>
      <c r="E126" s="148"/>
      <c r="F126" s="148"/>
      <c r="G126" s="148"/>
      <c r="H126" s="148"/>
      <c r="I126" s="143">
        <f t="shared" ref="I126:I171" si="1">PRODUCT(D126:H126)</f>
        <v>0</v>
      </c>
      <c r="J126" s="148"/>
      <c r="K126" s="161"/>
      <c r="L126" s="167">
        <f>[15]VAL.PRINC!I103</f>
        <v>0</v>
      </c>
    </row>
    <row r="127" spans="1:12" ht="15.6" hidden="1">
      <c r="A127" s="179" t="s">
        <v>182</v>
      </c>
      <c r="B127" s="186" t="s">
        <v>183</v>
      </c>
      <c r="C127" s="193"/>
      <c r="D127" s="147"/>
      <c r="E127" s="148"/>
      <c r="F127" s="148"/>
      <c r="G127" s="148"/>
      <c r="H127" s="148"/>
      <c r="I127" s="143">
        <f t="shared" si="1"/>
        <v>0</v>
      </c>
      <c r="J127" s="148"/>
      <c r="K127" s="161"/>
      <c r="L127" s="167">
        <f>[15]VAL.PRINC!I104</f>
        <v>0</v>
      </c>
    </row>
    <row r="128" spans="1:12" ht="15.6" hidden="1">
      <c r="A128" s="176" t="s">
        <v>182</v>
      </c>
      <c r="B128" s="181" t="s">
        <v>219</v>
      </c>
      <c r="C128" s="190" t="s">
        <v>35</v>
      </c>
      <c r="D128" s="147"/>
      <c r="E128" s="148"/>
      <c r="F128" s="148"/>
      <c r="G128" s="148"/>
      <c r="H128" s="148"/>
      <c r="I128" s="143">
        <f t="shared" si="1"/>
        <v>0</v>
      </c>
      <c r="J128" s="148"/>
      <c r="K128" s="161"/>
      <c r="L128" s="167">
        <f>[15]VAL.PRINC!I105</f>
        <v>0</v>
      </c>
    </row>
    <row r="129" spans="1:12" ht="15.6" hidden="1">
      <c r="A129" s="179" t="s">
        <v>184</v>
      </c>
      <c r="B129" s="186" t="s">
        <v>185</v>
      </c>
      <c r="C129" s="193"/>
      <c r="D129" s="147"/>
      <c r="E129" s="148"/>
      <c r="F129" s="148"/>
      <c r="G129" s="148"/>
      <c r="H129" s="148"/>
      <c r="I129" s="143">
        <f t="shared" si="1"/>
        <v>0</v>
      </c>
      <c r="J129" s="148"/>
      <c r="K129" s="161"/>
      <c r="L129" s="167">
        <f>[15]VAL.PRINC!I106</f>
        <v>0</v>
      </c>
    </row>
    <row r="130" spans="1:12" ht="15.6" hidden="1">
      <c r="A130" s="176" t="s">
        <v>184</v>
      </c>
      <c r="B130" s="181" t="s">
        <v>220</v>
      </c>
      <c r="C130" s="195" t="s">
        <v>47</v>
      </c>
      <c r="D130" s="147"/>
      <c r="E130" s="148"/>
      <c r="F130" s="148"/>
      <c r="G130" s="148"/>
      <c r="H130" s="148"/>
      <c r="I130" s="143">
        <f t="shared" si="1"/>
        <v>0</v>
      </c>
      <c r="J130" s="148"/>
      <c r="K130" s="161"/>
      <c r="L130" s="167">
        <f>[15]VAL.PRINC!I107</f>
        <v>0</v>
      </c>
    </row>
    <row r="131" spans="1:12" ht="15.6" hidden="1">
      <c r="A131" s="176" t="s">
        <v>184</v>
      </c>
      <c r="B131" s="181" t="s">
        <v>125</v>
      </c>
      <c r="C131" s="188" t="s">
        <v>36</v>
      </c>
      <c r="D131" s="147"/>
      <c r="E131" s="148"/>
      <c r="F131" s="148"/>
      <c r="G131" s="148"/>
      <c r="H131" s="148"/>
      <c r="I131" s="143">
        <f t="shared" si="1"/>
        <v>0</v>
      </c>
      <c r="J131" s="148"/>
      <c r="K131" s="161"/>
      <c r="L131" s="167">
        <f>[15]VAL.PRINC!I108</f>
        <v>0</v>
      </c>
    </row>
    <row r="132" spans="1:12" ht="15.6" hidden="1">
      <c r="A132" s="176" t="s">
        <v>184</v>
      </c>
      <c r="B132" s="181" t="s">
        <v>121</v>
      </c>
      <c r="C132" s="190" t="s">
        <v>39</v>
      </c>
      <c r="D132" s="147"/>
      <c r="E132" s="148"/>
      <c r="F132" s="148"/>
      <c r="G132" s="148"/>
      <c r="H132" s="148"/>
      <c r="I132" s="143">
        <f t="shared" si="1"/>
        <v>0</v>
      </c>
      <c r="J132" s="148"/>
      <c r="K132" s="161"/>
      <c r="L132" s="167">
        <f>[15]VAL.PRINC!I109</f>
        <v>0</v>
      </c>
    </row>
    <row r="133" spans="1:12" ht="15.6" hidden="1">
      <c r="A133" s="176" t="s">
        <v>184</v>
      </c>
      <c r="B133" s="181" t="s">
        <v>221</v>
      </c>
      <c r="C133" s="189" t="s">
        <v>36</v>
      </c>
      <c r="D133" s="147"/>
      <c r="E133" s="148"/>
      <c r="F133" s="148"/>
      <c r="G133" s="148"/>
      <c r="H133" s="148"/>
      <c r="I133" s="143">
        <f t="shared" si="1"/>
        <v>0</v>
      </c>
      <c r="J133" s="148"/>
      <c r="K133" s="161"/>
      <c r="L133" s="167">
        <f>[15]VAL.PRINC!I110</f>
        <v>0</v>
      </c>
    </row>
    <row r="134" spans="1:12" ht="15.6" hidden="1">
      <c r="A134" s="177" t="s">
        <v>186</v>
      </c>
      <c r="B134" s="185" t="s">
        <v>187</v>
      </c>
      <c r="C134" s="190"/>
      <c r="D134" s="147"/>
      <c r="E134" s="148"/>
      <c r="F134" s="148"/>
      <c r="G134" s="148"/>
      <c r="H134" s="148"/>
      <c r="I134" s="143">
        <f t="shared" si="1"/>
        <v>0</v>
      </c>
      <c r="J134" s="148"/>
      <c r="K134" s="161"/>
      <c r="L134" s="167">
        <f>[15]VAL.PRINC!I111</f>
        <v>0</v>
      </c>
    </row>
    <row r="135" spans="1:12" ht="15.6" hidden="1">
      <c r="A135" s="176" t="s">
        <v>186</v>
      </c>
      <c r="B135" s="181" t="s">
        <v>222</v>
      </c>
      <c r="C135" s="190" t="s">
        <v>35</v>
      </c>
      <c r="D135" s="147"/>
      <c r="E135" s="148"/>
      <c r="F135" s="148"/>
      <c r="G135" s="148"/>
      <c r="H135" s="148"/>
      <c r="I135" s="143">
        <f t="shared" si="1"/>
        <v>0</v>
      </c>
      <c r="J135" s="148"/>
      <c r="K135" s="161"/>
      <c r="L135" s="167">
        <f>[15]VAL.PRINC!I112</f>
        <v>0</v>
      </c>
    </row>
    <row r="136" spans="1:12" ht="15.6" hidden="1">
      <c r="A136" s="176" t="s">
        <v>186</v>
      </c>
      <c r="B136" s="181" t="s">
        <v>223</v>
      </c>
      <c r="C136" s="190" t="s">
        <v>35</v>
      </c>
      <c r="D136" s="147"/>
      <c r="E136" s="148"/>
      <c r="F136" s="148"/>
      <c r="G136" s="148"/>
      <c r="H136" s="148"/>
      <c r="I136" s="143">
        <f t="shared" si="1"/>
        <v>0</v>
      </c>
      <c r="J136" s="148"/>
      <c r="K136" s="161"/>
      <c r="L136" s="167">
        <f>[15]VAL.PRINC!I113</f>
        <v>0</v>
      </c>
    </row>
    <row r="137" spans="1:12" ht="15.6" hidden="1">
      <c r="A137" s="176" t="s">
        <v>186</v>
      </c>
      <c r="B137" s="181" t="s">
        <v>224</v>
      </c>
      <c r="C137" s="196" t="s">
        <v>35</v>
      </c>
      <c r="D137" s="147"/>
      <c r="E137" s="148"/>
      <c r="F137" s="148"/>
      <c r="G137" s="148"/>
      <c r="H137" s="148"/>
      <c r="I137" s="143">
        <f t="shared" si="1"/>
        <v>0</v>
      </c>
      <c r="J137" s="148"/>
      <c r="K137" s="161"/>
      <c r="L137" s="167">
        <f>[15]VAL.PRINC!I114</f>
        <v>0</v>
      </c>
    </row>
    <row r="138" spans="1:12" ht="15.6" hidden="1">
      <c r="A138" s="176" t="s">
        <v>186</v>
      </c>
      <c r="B138" s="181" t="s">
        <v>225</v>
      </c>
      <c r="C138" s="190" t="s">
        <v>35</v>
      </c>
      <c r="D138" s="147"/>
      <c r="E138" s="148"/>
      <c r="F138" s="148"/>
      <c r="G138" s="148"/>
      <c r="H138" s="148"/>
      <c r="I138" s="143">
        <f t="shared" si="1"/>
        <v>0</v>
      </c>
      <c r="J138" s="148"/>
      <c r="K138" s="161"/>
      <c r="L138" s="167">
        <f>[15]VAL.PRINC!I115</f>
        <v>0</v>
      </c>
    </row>
    <row r="139" spans="1:12" ht="15.6" hidden="1">
      <c r="A139" s="176" t="s">
        <v>186</v>
      </c>
      <c r="B139" s="181" t="s">
        <v>226</v>
      </c>
      <c r="C139" s="192" t="s">
        <v>35</v>
      </c>
      <c r="D139" s="147"/>
      <c r="E139" s="148"/>
      <c r="F139" s="148"/>
      <c r="G139" s="148"/>
      <c r="H139" s="148"/>
      <c r="I139" s="143">
        <f t="shared" si="1"/>
        <v>0</v>
      </c>
      <c r="J139" s="148"/>
      <c r="K139" s="161"/>
      <c r="L139" s="167">
        <f>[15]VAL.PRINC!I116</f>
        <v>0</v>
      </c>
    </row>
    <row r="140" spans="1:12" ht="15.6" hidden="1">
      <c r="A140" s="176" t="s">
        <v>186</v>
      </c>
      <c r="B140" s="181" t="s">
        <v>227</v>
      </c>
      <c r="C140" s="190" t="s">
        <v>63</v>
      </c>
      <c r="D140" s="147"/>
      <c r="E140" s="148"/>
      <c r="F140" s="148"/>
      <c r="G140" s="148"/>
      <c r="H140" s="148"/>
      <c r="I140" s="143">
        <f t="shared" si="1"/>
        <v>0</v>
      </c>
      <c r="J140" s="148"/>
      <c r="K140" s="161"/>
      <c r="L140" s="167">
        <f>[15]VAL.PRINC!I117</f>
        <v>0</v>
      </c>
    </row>
    <row r="141" spans="1:12" ht="15.6" hidden="1">
      <c r="A141" s="176" t="s">
        <v>186</v>
      </c>
      <c r="B141" s="181" t="s">
        <v>228</v>
      </c>
      <c r="C141" s="189" t="s">
        <v>35</v>
      </c>
      <c r="D141" s="147"/>
      <c r="E141" s="148"/>
      <c r="F141" s="148"/>
      <c r="G141" s="148"/>
      <c r="H141" s="148"/>
      <c r="I141" s="143">
        <f t="shared" si="1"/>
        <v>0</v>
      </c>
      <c r="J141" s="148"/>
      <c r="K141" s="161"/>
      <c r="L141" s="167">
        <f>[15]VAL.PRINC!I118</f>
        <v>0</v>
      </c>
    </row>
    <row r="142" spans="1:12" ht="15.6" hidden="1">
      <c r="A142" s="177" t="s">
        <v>188</v>
      </c>
      <c r="B142" s="185" t="s">
        <v>189</v>
      </c>
      <c r="C142" s="190"/>
      <c r="D142" s="147"/>
      <c r="E142" s="148"/>
      <c r="F142" s="148"/>
      <c r="G142" s="148"/>
      <c r="H142" s="148"/>
      <c r="I142" s="143">
        <f t="shared" si="1"/>
        <v>0</v>
      </c>
      <c r="J142" s="148"/>
      <c r="K142" s="161"/>
      <c r="L142" s="167">
        <f>[15]VAL.PRINC!I119</f>
        <v>0</v>
      </c>
    </row>
    <row r="143" spans="1:12" ht="15.6" hidden="1">
      <c r="A143" s="176" t="s">
        <v>188</v>
      </c>
      <c r="B143" s="181" t="s">
        <v>190</v>
      </c>
      <c r="C143" s="189" t="s">
        <v>35</v>
      </c>
      <c r="D143" s="147"/>
      <c r="E143" s="148"/>
      <c r="F143" s="148"/>
      <c r="G143" s="148"/>
      <c r="H143" s="148"/>
      <c r="I143" s="143">
        <f t="shared" si="1"/>
        <v>0</v>
      </c>
      <c r="J143" s="148"/>
      <c r="K143" s="161"/>
      <c r="L143" s="167">
        <f>[15]VAL.PRINC!I120</f>
        <v>0</v>
      </c>
    </row>
    <row r="144" spans="1:12" ht="15.6" hidden="1">
      <c r="A144" s="176" t="s">
        <v>188</v>
      </c>
      <c r="B144" s="181" t="s">
        <v>191</v>
      </c>
      <c r="C144" s="189" t="s">
        <v>35</v>
      </c>
      <c r="D144" s="147"/>
      <c r="E144" s="148"/>
      <c r="F144" s="148"/>
      <c r="G144" s="148"/>
      <c r="H144" s="148"/>
      <c r="I144" s="143">
        <f t="shared" si="1"/>
        <v>0</v>
      </c>
      <c r="J144" s="148"/>
      <c r="K144" s="161"/>
      <c r="L144" s="167">
        <f>[15]VAL.PRINC!I121</f>
        <v>0</v>
      </c>
    </row>
    <row r="145" spans="1:12" ht="15.6" hidden="1">
      <c r="A145" s="176" t="s">
        <v>188</v>
      </c>
      <c r="B145" s="181" t="s">
        <v>192</v>
      </c>
      <c r="C145" s="189" t="s">
        <v>35</v>
      </c>
      <c r="D145" s="147"/>
      <c r="E145" s="148"/>
      <c r="F145" s="148"/>
      <c r="G145" s="148"/>
      <c r="H145" s="148"/>
      <c r="I145" s="143">
        <f t="shared" si="1"/>
        <v>0</v>
      </c>
      <c r="J145" s="148"/>
      <c r="K145" s="161"/>
      <c r="L145" s="167">
        <f>[15]VAL.PRINC!I122</f>
        <v>0</v>
      </c>
    </row>
    <row r="146" spans="1:12" ht="15.6" hidden="1">
      <c r="A146" s="176" t="s">
        <v>188</v>
      </c>
      <c r="B146" s="181" t="s">
        <v>193</v>
      </c>
      <c r="C146" s="189" t="s">
        <v>35</v>
      </c>
      <c r="D146" s="147"/>
      <c r="E146" s="148"/>
      <c r="F146" s="148"/>
      <c r="G146" s="148"/>
      <c r="H146" s="148"/>
      <c r="I146" s="143">
        <f t="shared" si="1"/>
        <v>0</v>
      </c>
      <c r="J146" s="148"/>
      <c r="K146" s="161"/>
      <c r="L146" s="167">
        <f>[15]VAL.PRINC!I123</f>
        <v>0</v>
      </c>
    </row>
    <row r="147" spans="1:12" ht="15.6">
      <c r="A147" s="177" t="s">
        <v>194</v>
      </c>
      <c r="B147" s="185" t="s">
        <v>195</v>
      </c>
      <c r="C147" s="190"/>
      <c r="D147" s="147"/>
      <c r="E147" s="148"/>
      <c r="F147" s="148"/>
      <c r="G147" s="148"/>
      <c r="H147" s="148"/>
      <c r="I147" s="143">
        <f t="shared" si="1"/>
        <v>0</v>
      </c>
      <c r="J147" s="148"/>
      <c r="K147" s="161"/>
      <c r="L147" s="167">
        <f>[15]VAL.PRINC!I124</f>
        <v>0</v>
      </c>
    </row>
    <row r="148" spans="1:12" ht="15.6">
      <c r="A148" s="176" t="s">
        <v>194</v>
      </c>
      <c r="B148" s="181" t="s">
        <v>196</v>
      </c>
      <c r="C148" s="189" t="s">
        <v>63</v>
      </c>
      <c r="D148" s="147"/>
      <c r="E148" s="148"/>
      <c r="F148" s="148"/>
      <c r="G148" s="148"/>
      <c r="H148" s="148"/>
      <c r="I148" s="143">
        <f t="shared" si="1"/>
        <v>0</v>
      </c>
      <c r="J148" s="148"/>
      <c r="K148" s="161"/>
      <c r="L148" s="167">
        <f>[15]VAL.PRINC!I125</f>
        <v>0</v>
      </c>
    </row>
    <row r="149" spans="1:12" ht="15.6" hidden="1">
      <c r="A149" s="177" t="s">
        <v>197</v>
      </c>
      <c r="B149" s="185" t="s">
        <v>198</v>
      </c>
      <c r="C149" s="190"/>
      <c r="D149" s="147"/>
      <c r="E149" s="148"/>
      <c r="F149" s="148"/>
      <c r="G149" s="148"/>
      <c r="H149" s="148"/>
      <c r="I149" s="143">
        <f t="shared" si="1"/>
        <v>0</v>
      </c>
      <c r="J149" s="148"/>
      <c r="K149" s="161"/>
      <c r="L149" s="167">
        <f>[15]VAL.PRINC!I126</f>
        <v>0</v>
      </c>
    </row>
    <row r="150" spans="1:12" ht="15.6" hidden="1">
      <c r="A150" s="178" t="s">
        <v>199</v>
      </c>
      <c r="B150" s="184" t="s">
        <v>229</v>
      </c>
      <c r="C150" s="190"/>
      <c r="D150" s="147"/>
      <c r="E150" s="148"/>
      <c r="F150" s="148"/>
      <c r="G150" s="148"/>
      <c r="H150" s="148"/>
      <c r="I150" s="143">
        <f t="shared" si="1"/>
        <v>0</v>
      </c>
      <c r="J150" s="148"/>
      <c r="K150" s="161"/>
      <c r="L150" s="167">
        <f>[15]VAL.PRINC!I127</f>
        <v>0</v>
      </c>
    </row>
    <row r="151" spans="1:12" ht="15.6" hidden="1">
      <c r="A151" s="176" t="s">
        <v>199</v>
      </c>
      <c r="B151" s="181" t="s">
        <v>230</v>
      </c>
      <c r="C151" s="189" t="s">
        <v>39</v>
      </c>
      <c r="D151" s="147"/>
      <c r="E151" s="148"/>
      <c r="F151" s="148"/>
      <c r="G151" s="148"/>
      <c r="H151" s="148"/>
      <c r="I151" s="143">
        <f t="shared" si="1"/>
        <v>0</v>
      </c>
      <c r="J151" s="148"/>
      <c r="K151" s="161"/>
      <c r="L151" s="167">
        <f>[15]VAL.PRINC!I128</f>
        <v>0</v>
      </c>
    </row>
    <row r="152" spans="1:12" ht="15.6" hidden="1">
      <c r="A152" s="176" t="s">
        <v>199</v>
      </c>
      <c r="B152" s="181" t="s">
        <v>231</v>
      </c>
      <c r="C152" s="189" t="s">
        <v>39</v>
      </c>
      <c r="D152" s="147"/>
      <c r="E152" s="148"/>
      <c r="F152" s="148"/>
      <c r="G152" s="148"/>
      <c r="H152" s="148"/>
      <c r="I152" s="143">
        <f t="shared" si="1"/>
        <v>0</v>
      </c>
      <c r="J152" s="148"/>
      <c r="K152" s="161"/>
      <c r="L152" s="167">
        <f>[15]VAL.PRINC!I129</f>
        <v>0</v>
      </c>
    </row>
    <row r="153" spans="1:12" ht="15.6" hidden="1">
      <c r="A153" s="176" t="s">
        <v>199</v>
      </c>
      <c r="B153" s="181" t="s">
        <v>232</v>
      </c>
      <c r="C153" s="189" t="s">
        <v>245</v>
      </c>
      <c r="D153" s="147"/>
      <c r="E153" s="148"/>
      <c r="F153" s="148"/>
      <c r="G153" s="148"/>
      <c r="H153" s="148"/>
      <c r="I153" s="143">
        <f>PRODUCT(D153:H153)</f>
        <v>0</v>
      </c>
      <c r="J153" s="148"/>
      <c r="K153" s="161"/>
      <c r="L153" s="167">
        <f>[15]VAL.PRINC!I130</f>
        <v>0</v>
      </c>
    </row>
    <row r="154" spans="1:12" ht="15.6" hidden="1">
      <c r="A154" s="176" t="s">
        <v>199</v>
      </c>
      <c r="B154" s="181" t="s">
        <v>233</v>
      </c>
      <c r="C154" s="189" t="s">
        <v>39</v>
      </c>
      <c r="D154" s="147"/>
      <c r="E154" s="148"/>
      <c r="F154" s="148"/>
      <c r="G154" s="148"/>
      <c r="H154" s="148"/>
      <c r="I154" s="143">
        <f t="shared" si="1"/>
        <v>0</v>
      </c>
      <c r="J154" s="148"/>
      <c r="K154" s="161"/>
      <c r="L154" s="167">
        <f>[15]VAL.PRINC!I131</f>
        <v>0</v>
      </c>
    </row>
    <row r="155" spans="1:12" ht="15.6" hidden="1">
      <c r="A155" s="176" t="s">
        <v>199</v>
      </c>
      <c r="B155" s="181" t="s">
        <v>234</v>
      </c>
      <c r="C155" s="189" t="s">
        <v>36</v>
      </c>
      <c r="D155" s="147"/>
      <c r="E155" s="148"/>
      <c r="F155" s="148"/>
      <c r="G155" s="148"/>
      <c r="H155" s="148"/>
      <c r="I155" s="143">
        <f t="shared" si="1"/>
        <v>0</v>
      </c>
      <c r="J155" s="148"/>
      <c r="K155" s="161"/>
      <c r="L155" s="167">
        <f>[15]VAL.PRINC!I132</f>
        <v>0</v>
      </c>
    </row>
    <row r="156" spans="1:12" ht="15.6" hidden="1">
      <c r="A156" s="176" t="s">
        <v>199</v>
      </c>
      <c r="B156" s="181" t="s">
        <v>235</v>
      </c>
      <c r="C156" s="192" t="s">
        <v>36</v>
      </c>
      <c r="D156" s="147"/>
      <c r="E156" s="148"/>
      <c r="F156" s="148"/>
      <c r="G156" s="148"/>
      <c r="H156" s="148"/>
      <c r="I156" s="143">
        <f t="shared" si="1"/>
        <v>0</v>
      </c>
      <c r="J156" s="148"/>
      <c r="K156" s="161"/>
      <c r="L156" s="167">
        <f>[15]VAL.PRINC!I133</f>
        <v>0</v>
      </c>
    </row>
    <row r="157" spans="1:12" ht="15.6" hidden="1">
      <c r="A157" s="178" t="s">
        <v>200</v>
      </c>
      <c r="B157" s="184" t="s">
        <v>201</v>
      </c>
      <c r="C157" s="190"/>
      <c r="D157" s="147"/>
      <c r="E157" s="148"/>
      <c r="F157" s="148"/>
      <c r="G157" s="148"/>
      <c r="H157" s="148"/>
      <c r="I157" s="143">
        <f t="shared" si="1"/>
        <v>0</v>
      </c>
      <c r="J157" s="148"/>
      <c r="K157" s="161"/>
      <c r="L157" s="167">
        <f>[15]VAL.PRINC!I134</f>
        <v>0</v>
      </c>
    </row>
    <row r="158" spans="1:12" ht="15.6" hidden="1">
      <c r="A158" s="176" t="s">
        <v>200</v>
      </c>
      <c r="B158" s="181" t="s">
        <v>202</v>
      </c>
      <c r="C158" s="189" t="s">
        <v>63</v>
      </c>
      <c r="D158" s="147"/>
      <c r="E158" s="148"/>
      <c r="F158" s="148"/>
      <c r="G158" s="148"/>
      <c r="H158" s="148"/>
      <c r="I158" s="143">
        <f t="shared" si="1"/>
        <v>0</v>
      </c>
      <c r="J158" s="148"/>
      <c r="K158" s="161"/>
      <c r="L158" s="167">
        <f>[15]VAL.PRINC!I135</f>
        <v>0</v>
      </c>
    </row>
    <row r="159" spans="1:12" ht="15.6" hidden="1">
      <c r="A159" s="176" t="s">
        <v>200</v>
      </c>
      <c r="B159" s="181" t="s">
        <v>203</v>
      </c>
      <c r="C159" s="189" t="s">
        <v>63</v>
      </c>
      <c r="D159" s="147"/>
      <c r="E159" s="148"/>
      <c r="F159" s="148"/>
      <c r="G159" s="148"/>
      <c r="H159" s="148"/>
      <c r="I159" s="143">
        <f t="shared" si="1"/>
        <v>0</v>
      </c>
      <c r="J159" s="148"/>
      <c r="K159" s="161"/>
      <c r="L159" s="167">
        <f>[15]VAL.PRINC!I136</f>
        <v>0</v>
      </c>
    </row>
    <row r="160" spans="1:12" ht="15.6" hidden="1">
      <c r="A160" s="176" t="s">
        <v>200</v>
      </c>
      <c r="B160" s="181" t="s">
        <v>204</v>
      </c>
      <c r="C160" s="192" t="s">
        <v>63</v>
      </c>
      <c r="D160" s="147"/>
      <c r="E160" s="148"/>
      <c r="F160" s="148"/>
      <c r="G160" s="148"/>
      <c r="H160" s="148"/>
      <c r="I160" s="143">
        <f t="shared" si="1"/>
        <v>0</v>
      </c>
      <c r="J160" s="148"/>
      <c r="K160" s="161"/>
      <c r="L160" s="167">
        <f>[15]VAL.PRINC!I137</f>
        <v>0</v>
      </c>
    </row>
    <row r="161" spans="1:12" ht="15.6" hidden="1">
      <c r="A161" s="178" t="s">
        <v>205</v>
      </c>
      <c r="B161" s="184" t="s">
        <v>206</v>
      </c>
      <c r="C161" s="189"/>
      <c r="D161" s="147"/>
      <c r="E161" s="148"/>
      <c r="F161" s="148"/>
      <c r="G161" s="148"/>
      <c r="H161" s="148"/>
      <c r="I161" s="143">
        <f t="shared" si="1"/>
        <v>0</v>
      </c>
      <c r="J161" s="148"/>
      <c r="K161" s="161"/>
      <c r="L161" s="167">
        <f>[15]VAL.PRINC!I138</f>
        <v>0</v>
      </c>
    </row>
    <row r="162" spans="1:12" ht="15.6" hidden="1">
      <c r="A162" s="176" t="s">
        <v>205</v>
      </c>
      <c r="B162" s="181" t="s">
        <v>239</v>
      </c>
      <c r="C162" s="189" t="s">
        <v>63</v>
      </c>
      <c r="D162" s="147"/>
      <c r="E162" s="148"/>
      <c r="F162" s="148"/>
      <c r="G162" s="148"/>
      <c r="H162" s="148"/>
      <c r="I162" s="143">
        <f t="shared" si="1"/>
        <v>0</v>
      </c>
      <c r="J162" s="148"/>
      <c r="K162" s="161"/>
      <c r="L162" s="167">
        <f>[15]VAL.PRINC!I139</f>
        <v>0</v>
      </c>
    </row>
    <row r="163" spans="1:12" ht="15.6" hidden="1">
      <c r="A163" s="176" t="s">
        <v>205</v>
      </c>
      <c r="B163" s="181" t="s">
        <v>236</v>
      </c>
      <c r="C163" s="189" t="s">
        <v>63</v>
      </c>
      <c r="D163" s="147"/>
      <c r="E163" s="148"/>
      <c r="F163" s="148"/>
      <c r="G163" s="148"/>
      <c r="H163" s="148"/>
      <c r="I163" s="143">
        <f t="shared" si="1"/>
        <v>0</v>
      </c>
      <c r="J163" s="148"/>
      <c r="K163" s="161"/>
      <c r="L163" s="167">
        <f>[15]VAL.PRINC!I140</f>
        <v>0</v>
      </c>
    </row>
    <row r="164" spans="1:12" ht="15.6" hidden="1">
      <c r="A164" s="176" t="s">
        <v>205</v>
      </c>
      <c r="B164" s="181" t="s">
        <v>237</v>
      </c>
      <c r="C164" s="189" t="s">
        <v>63</v>
      </c>
      <c r="D164" s="147"/>
      <c r="E164" s="148"/>
      <c r="F164" s="148"/>
      <c r="G164" s="148"/>
      <c r="H164" s="148"/>
      <c r="I164" s="143">
        <f t="shared" si="1"/>
        <v>0</v>
      </c>
      <c r="J164" s="148"/>
      <c r="K164" s="161"/>
      <c r="L164" s="167">
        <f>[15]VAL.PRINC!I141</f>
        <v>0</v>
      </c>
    </row>
    <row r="165" spans="1:12" ht="15.6" hidden="1">
      <c r="A165" s="176" t="s">
        <v>205</v>
      </c>
      <c r="B165" s="181" t="s">
        <v>238</v>
      </c>
      <c r="C165" s="189" t="s">
        <v>63</v>
      </c>
      <c r="D165" s="147"/>
      <c r="E165" s="148"/>
      <c r="F165" s="148"/>
      <c r="G165" s="148"/>
      <c r="H165" s="148"/>
      <c r="I165" s="143">
        <f t="shared" si="1"/>
        <v>0</v>
      </c>
      <c r="J165" s="148"/>
      <c r="K165" s="161"/>
      <c r="L165" s="167">
        <f>[15]VAL.PRINC!I142</f>
        <v>0</v>
      </c>
    </row>
    <row r="166" spans="1:12" ht="15.6">
      <c r="A166" s="177" t="s">
        <v>207</v>
      </c>
      <c r="B166" s="185" t="s">
        <v>208</v>
      </c>
      <c r="C166" s="190"/>
      <c r="D166" s="147"/>
      <c r="E166" s="148"/>
      <c r="F166" s="148"/>
      <c r="G166" s="148"/>
      <c r="H166" s="148"/>
      <c r="I166" s="143">
        <f t="shared" si="1"/>
        <v>0</v>
      </c>
      <c r="J166" s="148"/>
      <c r="K166" s="161"/>
      <c r="L166" s="167">
        <f>[15]VAL.PRINC!I143</f>
        <v>0</v>
      </c>
    </row>
    <row r="167" spans="1:12" ht="15.6">
      <c r="A167" s="176" t="s">
        <v>207</v>
      </c>
      <c r="B167" s="181" t="s">
        <v>209</v>
      </c>
      <c r="C167" s="190" t="s">
        <v>63</v>
      </c>
      <c r="D167" s="147"/>
      <c r="E167" s="148"/>
      <c r="F167" s="148"/>
      <c r="G167" s="148"/>
      <c r="H167" s="148"/>
      <c r="I167" s="143">
        <f t="shared" si="1"/>
        <v>0</v>
      </c>
      <c r="J167" s="148"/>
      <c r="K167" s="161"/>
      <c r="L167" s="167">
        <f>[15]VAL.PRINC!I144</f>
        <v>0</v>
      </c>
    </row>
    <row r="168" spans="1:12" ht="15.6">
      <c r="A168" s="176" t="s">
        <v>207</v>
      </c>
      <c r="B168" s="181" t="s">
        <v>210</v>
      </c>
      <c r="C168" s="192" t="s">
        <v>63</v>
      </c>
      <c r="D168" s="147"/>
      <c r="E168" s="148"/>
      <c r="F168" s="148"/>
      <c r="G168" s="148"/>
      <c r="H168" s="148"/>
      <c r="I168" s="143">
        <f t="shared" si="1"/>
        <v>0</v>
      </c>
      <c r="J168" s="148"/>
      <c r="K168" s="161"/>
      <c r="L168" s="167">
        <f>[15]VAL.PRINC!I145</f>
        <v>0</v>
      </c>
    </row>
    <row r="169" spans="1:12" ht="15.6">
      <c r="A169" s="176" t="s">
        <v>207</v>
      </c>
      <c r="B169" s="181" t="s">
        <v>211</v>
      </c>
      <c r="C169" s="190" t="s">
        <v>63</v>
      </c>
      <c r="D169" s="147"/>
      <c r="E169" s="148"/>
      <c r="F169" s="148"/>
      <c r="G169" s="148"/>
      <c r="H169" s="148"/>
      <c r="I169" s="143">
        <f t="shared" si="1"/>
        <v>0</v>
      </c>
      <c r="J169" s="148"/>
      <c r="K169" s="161"/>
      <c r="L169" s="167">
        <f>[15]VAL.PRINC!I146</f>
        <v>0</v>
      </c>
    </row>
    <row r="170" spans="1:12" ht="15.6" hidden="1">
      <c r="A170" s="177" t="s">
        <v>212</v>
      </c>
      <c r="B170" s="185" t="s">
        <v>213</v>
      </c>
      <c r="C170" s="191"/>
      <c r="D170" s="147"/>
      <c r="E170" s="148"/>
      <c r="F170" s="148"/>
      <c r="G170" s="148"/>
      <c r="H170" s="148"/>
      <c r="I170" s="143">
        <f t="shared" si="1"/>
        <v>0</v>
      </c>
      <c r="J170" s="148"/>
      <c r="K170" s="161"/>
      <c r="L170" s="167">
        <f>[15]VAL.PRINC!I147</f>
        <v>0</v>
      </c>
    </row>
    <row r="171" spans="1:12" ht="16.2" hidden="1" thickBot="1">
      <c r="A171" s="180" t="s">
        <v>212</v>
      </c>
      <c r="B171" s="187" t="s">
        <v>214</v>
      </c>
      <c r="C171" s="198" t="s">
        <v>63</v>
      </c>
      <c r="D171" s="149"/>
      <c r="E171" s="150"/>
      <c r="F171" s="150"/>
      <c r="G171" s="150"/>
      <c r="H171" s="150"/>
      <c r="I171" s="143">
        <f t="shared" si="1"/>
        <v>0</v>
      </c>
      <c r="J171" s="150"/>
      <c r="K171" s="162"/>
      <c r="L171" s="167">
        <f>[15]VAL.PRINC!I148</f>
        <v>0</v>
      </c>
    </row>
  </sheetData>
  <mergeCells count="3">
    <mergeCell ref="A4:K4"/>
    <mergeCell ref="B6:I6"/>
    <mergeCell ref="F47:H47"/>
  </mergeCells>
  <pageMargins left="0.70866141732283472" right="0.70866141732283472" top="0.74803149606299213" bottom="0.74803149606299213" header="0.31496062992125984" footer="0.31496062992125984"/>
  <pageSetup scale="61" orientation="landscape" r:id="rId1"/>
  <rowBreaks count="2" manualBreakCount="2">
    <brk id="125" max="10" man="1"/>
    <brk id="171" max="10" man="1"/>
  </rowBreaks>
  <colBreaks count="2" manualBreakCount="2">
    <brk id="15" max="1048575" man="1"/>
    <brk id="22" max="84" man="1"/>
  </colBreaks>
  <drawing r:id="rId2"/>
  <legacyDrawing r:id="rId3"/>
  <oleObjects>
    <mc:AlternateContent xmlns:mc="http://schemas.openxmlformats.org/markup-compatibility/2006">
      <mc:Choice Requires="x14">
        <oleObject progId="Word.Picture.8" shapeId="36865" r:id="rId4">
          <objectPr defaultSize="0" autoPict="0" r:id="rId5">
            <anchor moveWithCells="1" sizeWithCells="1">
              <from>
                <xdr:col>10</xdr:col>
                <xdr:colOff>0</xdr:colOff>
                <xdr:row>0</xdr:row>
                <xdr:rowOff>99060</xdr:rowOff>
              </from>
              <to>
                <xdr:col>10</xdr:col>
                <xdr:colOff>769620</xdr:colOff>
                <xdr:row>6</xdr:row>
                <xdr:rowOff>0</xdr:rowOff>
              </to>
            </anchor>
          </objectPr>
        </oleObject>
      </mc:Choice>
      <mc:Fallback>
        <oleObject progId="Word.Picture.8" shapeId="36865" r:id="rId4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N178"/>
  <sheetViews>
    <sheetView workbookViewId="0"/>
  </sheetViews>
  <sheetFormatPr baseColWidth="10" defaultColWidth="11.44140625" defaultRowHeight="15"/>
  <cols>
    <col min="1" max="1" width="11.44140625" style="417"/>
    <col min="2" max="2" width="9.5546875" style="417" customWidth="1"/>
    <col min="3" max="3" width="68.6640625" style="417" customWidth="1"/>
    <col min="4" max="4" width="11.109375" style="417" bestFit="1" customWidth="1"/>
    <col min="5" max="5" width="8" style="417" bestFit="1" customWidth="1"/>
    <col min="6" max="6" width="14.44140625" style="417" customWidth="1"/>
    <col min="7" max="11" width="13.88671875" style="417" customWidth="1"/>
    <col min="12" max="14" width="16.5546875" style="417" customWidth="1"/>
    <col min="15" max="16384" width="11.44140625" style="417"/>
  </cols>
  <sheetData>
    <row r="1" spans="1:11">
      <c r="A1" s="417" t="s">
        <v>459</v>
      </c>
    </row>
    <row r="6" spans="1:11" ht="22.8">
      <c r="B6" s="1643" t="s">
        <v>458</v>
      </c>
      <c r="C6" s="1643"/>
      <c r="D6" s="1643"/>
      <c r="E6" s="1643"/>
      <c r="F6" s="1643"/>
      <c r="G6" s="1643"/>
      <c r="H6" s="1643"/>
      <c r="I6" s="1643"/>
      <c r="J6" s="506"/>
      <c r="K6" s="597"/>
    </row>
    <row r="7" spans="1:11">
      <c r="B7" s="483"/>
      <c r="C7" s="483"/>
      <c r="D7" s="483"/>
      <c r="E7" s="483"/>
      <c r="F7" s="484"/>
      <c r="G7" s="483"/>
      <c r="H7" s="483"/>
    </row>
    <row r="8" spans="1:11">
      <c r="B8" s="481"/>
      <c r="C8" s="480" t="s">
        <v>457</v>
      </c>
      <c r="D8" s="479" t="s">
        <v>456</v>
      </c>
      <c r="E8" s="479" t="s">
        <v>520</v>
      </c>
      <c r="F8" s="482"/>
      <c r="G8" s="482"/>
      <c r="H8" s="482"/>
    </row>
    <row r="9" spans="1:11">
      <c r="B9" s="481"/>
      <c r="C9" s="480" t="s">
        <v>6</v>
      </c>
      <c r="D9" s="479" t="s">
        <v>455</v>
      </c>
      <c r="E9" s="479" t="s">
        <v>454</v>
      </c>
      <c r="F9" s="478"/>
      <c r="G9" s="478"/>
      <c r="H9" s="479"/>
    </row>
    <row r="10" spans="1:11">
      <c r="B10" s="481"/>
      <c r="C10" s="480" t="s">
        <v>453</v>
      </c>
      <c r="D10" s="479" t="s">
        <v>452</v>
      </c>
      <c r="E10" s="479" t="s">
        <v>451</v>
      </c>
      <c r="F10" s="478"/>
      <c r="G10" s="478"/>
      <c r="H10" s="479"/>
    </row>
    <row r="11" spans="1:11">
      <c r="B11" s="481"/>
      <c r="C11" s="480" t="s">
        <v>450</v>
      </c>
      <c r="D11" s="479" t="s">
        <v>1781</v>
      </c>
      <c r="E11" s="479" t="s">
        <v>449</v>
      </c>
      <c r="F11" s="478"/>
      <c r="G11" s="478"/>
      <c r="H11" s="479"/>
    </row>
    <row r="12" spans="1:11">
      <c r="B12" s="481"/>
      <c r="C12" s="480" t="s">
        <v>7</v>
      </c>
      <c r="D12" s="479" t="s">
        <v>1782</v>
      </c>
      <c r="E12" s="479" t="s">
        <v>1783</v>
      </c>
      <c r="F12" s="478"/>
      <c r="G12" s="478"/>
      <c r="H12" s="479"/>
    </row>
    <row r="13" spans="1:11">
      <c r="B13" s="481"/>
      <c r="C13" s="480" t="s">
        <v>448</v>
      </c>
      <c r="D13" s="479" t="s">
        <v>447</v>
      </c>
      <c r="E13" s="479" t="s">
        <v>446</v>
      </c>
      <c r="F13" s="478"/>
      <c r="G13" s="478"/>
      <c r="H13" s="479" t="s">
        <v>8</v>
      </c>
    </row>
    <row r="14" spans="1:11">
      <c r="B14" s="481"/>
      <c r="C14" s="480" t="s">
        <v>445</v>
      </c>
      <c r="D14" s="479" t="s">
        <v>444</v>
      </c>
      <c r="E14" s="479" t="s">
        <v>443</v>
      </c>
      <c r="F14" s="478"/>
      <c r="G14" s="478"/>
      <c r="H14" s="479"/>
    </row>
    <row r="15" spans="1:11">
      <c r="B15" s="481"/>
      <c r="C15" s="480" t="s">
        <v>5</v>
      </c>
      <c r="D15" s="479" t="s">
        <v>442</v>
      </c>
      <c r="E15" s="479"/>
      <c r="F15" s="478"/>
      <c r="G15" s="478"/>
      <c r="H15" s="478"/>
    </row>
    <row r="16" spans="1:11" ht="15.6" thickBot="1"/>
    <row r="17" spans="2:14" ht="15.6" thickBot="1">
      <c r="B17" s="1641" t="s">
        <v>441</v>
      </c>
      <c r="C17" s="1641" t="s">
        <v>440</v>
      </c>
      <c r="D17" s="1641" t="s">
        <v>439</v>
      </c>
      <c r="E17" s="1641" t="s">
        <v>438</v>
      </c>
      <c r="F17" s="1641" t="s">
        <v>437</v>
      </c>
      <c r="G17" s="1644" t="s">
        <v>436</v>
      </c>
      <c r="H17" s="1645"/>
      <c r="I17" s="1645"/>
      <c r="J17" s="536"/>
      <c r="K17" s="536"/>
      <c r="L17" s="1639"/>
      <c r="M17" s="1639"/>
    </row>
    <row r="18" spans="2:14" ht="15.75" customHeight="1" thickBot="1">
      <c r="B18" s="1641"/>
      <c r="C18" s="1641"/>
      <c r="D18" s="1641"/>
      <c r="E18" s="1641"/>
      <c r="F18" s="1641"/>
      <c r="G18" s="1639" t="s">
        <v>1784</v>
      </c>
      <c r="H18" s="1639" t="s">
        <v>435</v>
      </c>
      <c r="I18" s="1639" t="s">
        <v>434</v>
      </c>
      <c r="J18" s="1639" t="s">
        <v>515</v>
      </c>
      <c r="K18" s="1639" t="s">
        <v>517</v>
      </c>
      <c r="L18" s="1640"/>
      <c r="M18" s="1640"/>
    </row>
    <row r="19" spans="2:14">
      <c r="B19" s="1642"/>
      <c r="C19" s="1642"/>
      <c r="D19" s="1642"/>
      <c r="E19" s="1642"/>
      <c r="F19" s="1642"/>
      <c r="G19" s="1640"/>
      <c r="H19" s="1640"/>
      <c r="I19" s="1640"/>
      <c r="J19" s="1640"/>
      <c r="K19" s="1640"/>
      <c r="L19" s="1640"/>
      <c r="M19" s="1640"/>
    </row>
    <row r="20" spans="2:14" s="451" customFormat="1" ht="20.399999999999999">
      <c r="B20" s="477" t="s">
        <v>433</v>
      </c>
      <c r="C20" s="476" t="s">
        <v>432</v>
      </c>
      <c r="D20" s="447"/>
      <c r="E20" s="447"/>
      <c r="F20" s="474">
        <f t="shared" ref="F20:K20" si="0">F21</f>
        <v>1289323.9083465999</v>
      </c>
      <c r="G20" s="474">
        <f t="shared" si="0"/>
        <v>511408.48900410003</v>
      </c>
      <c r="H20" s="474">
        <f t="shared" si="0"/>
        <v>606219.67934249993</v>
      </c>
      <c r="I20" s="474">
        <f t="shared" si="0"/>
        <v>93536.22</v>
      </c>
      <c r="J20" s="474">
        <f t="shared" si="0"/>
        <v>78159.520000000004</v>
      </c>
      <c r="K20" s="474">
        <f t="shared" si="0"/>
        <v>78183.520000000004</v>
      </c>
      <c r="L20" s="475"/>
      <c r="M20" s="474"/>
      <c r="N20" s="452"/>
    </row>
    <row r="21" spans="2:14" s="451" customFormat="1">
      <c r="B21" s="473" t="s">
        <v>431</v>
      </c>
      <c r="C21" s="472" t="s">
        <v>430</v>
      </c>
      <c r="D21" s="447"/>
      <c r="E21" s="447"/>
      <c r="F21" s="470">
        <f t="shared" ref="F21:K21" si="1">F22+F25+F37+F60+F119+F127+F132+F134+F151+F155</f>
        <v>1289323.9083465999</v>
      </c>
      <c r="G21" s="470">
        <f t="shared" si="1"/>
        <v>511408.48900410003</v>
      </c>
      <c r="H21" s="470">
        <f t="shared" si="1"/>
        <v>606219.67934249993</v>
      </c>
      <c r="I21" s="470">
        <f t="shared" si="1"/>
        <v>93536.22</v>
      </c>
      <c r="J21" s="470">
        <f t="shared" si="1"/>
        <v>78159.520000000004</v>
      </c>
      <c r="K21" s="470">
        <f t="shared" si="1"/>
        <v>78183.520000000004</v>
      </c>
      <c r="L21" s="471"/>
      <c r="M21" s="470"/>
      <c r="N21" s="452"/>
    </row>
    <row r="22" spans="2:14" s="451" customFormat="1">
      <c r="B22" s="460" t="s">
        <v>292</v>
      </c>
      <c r="C22" s="459" t="s">
        <v>93</v>
      </c>
      <c r="D22" s="447"/>
      <c r="E22" s="447"/>
      <c r="F22" s="457">
        <f t="shared" ref="F22:K22" si="2">SUM(F23:F24)</f>
        <v>19848.202499999999</v>
      </c>
      <c r="G22" s="457">
        <f t="shared" si="2"/>
        <v>9924.1012499999997</v>
      </c>
      <c r="H22" s="457">
        <f t="shared" si="2"/>
        <v>9924.1012499999997</v>
      </c>
      <c r="I22" s="457">
        <f t="shared" si="2"/>
        <v>0</v>
      </c>
      <c r="J22" s="457">
        <f t="shared" si="2"/>
        <v>0</v>
      </c>
      <c r="K22" s="457">
        <f t="shared" si="2"/>
        <v>0</v>
      </c>
      <c r="L22" s="424">
        <f>SUM(G22:J22)</f>
        <v>19848.202499999999</v>
      </c>
      <c r="M22" s="447">
        <f t="shared" ref="M22:M85" si="3">F22-L22</f>
        <v>0</v>
      </c>
      <c r="N22" s="452"/>
    </row>
    <row r="23" spans="2:14" s="451" customFormat="1">
      <c r="B23" s="462" t="s">
        <v>292</v>
      </c>
      <c r="C23" s="461" t="s">
        <v>429</v>
      </c>
      <c r="D23" s="453">
        <f>[16]VAL.PRINC!N15</f>
        <v>0.25</v>
      </c>
      <c r="E23" s="453">
        <v>79392.81</v>
      </c>
      <c r="F23" s="453">
        <f>D23*E23</f>
        <v>19848.202499999999</v>
      </c>
      <c r="G23" s="453">
        <v>9924.1012499999997</v>
      </c>
      <c r="H23" s="453">
        <f>F23/2</f>
        <v>9924.1012499999997</v>
      </c>
      <c r="I23" s="453"/>
      <c r="J23" s="453"/>
      <c r="K23" s="453"/>
      <c r="L23" s="424">
        <f t="shared" ref="L23:L86" si="4">SUM(G23:J23)</f>
        <v>19848.202499999999</v>
      </c>
      <c r="M23" s="447">
        <f t="shared" si="3"/>
        <v>0</v>
      </c>
      <c r="N23" s="452"/>
    </row>
    <row r="24" spans="2:14" s="451" customFormat="1">
      <c r="B24" s="462" t="s">
        <v>292</v>
      </c>
      <c r="C24" s="461" t="s">
        <v>428</v>
      </c>
      <c r="D24" s="453">
        <f>[16]VAL.PRINC!N16</f>
        <v>0</v>
      </c>
      <c r="E24" s="453">
        <v>23856</v>
      </c>
      <c r="F24" s="453"/>
      <c r="G24" s="453"/>
      <c r="H24" s="463"/>
      <c r="I24" s="463"/>
      <c r="J24" s="463"/>
      <c r="K24" s="463"/>
      <c r="L24" s="424">
        <f t="shared" si="4"/>
        <v>0</v>
      </c>
      <c r="M24" s="447">
        <f t="shared" si="3"/>
        <v>0</v>
      </c>
      <c r="N24" s="452"/>
    </row>
    <row r="25" spans="2:14" s="451" customFormat="1">
      <c r="B25" s="460" t="s">
        <v>94</v>
      </c>
      <c r="C25" s="459" t="s">
        <v>95</v>
      </c>
      <c r="D25" s="458"/>
      <c r="E25" s="447"/>
      <c r="F25" s="457">
        <f t="shared" ref="F25:K25" si="5">F26+F28+F34</f>
        <v>1004862.5031450001</v>
      </c>
      <c r="G25" s="457">
        <f t="shared" si="5"/>
        <v>501479.57705250004</v>
      </c>
      <c r="H25" s="457">
        <f t="shared" si="5"/>
        <v>503382.92609249998</v>
      </c>
      <c r="I25" s="457">
        <f t="shared" si="5"/>
        <v>0</v>
      </c>
      <c r="J25" s="457">
        <f t="shared" si="5"/>
        <v>0</v>
      </c>
      <c r="K25" s="457">
        <f t="shared" si="5"/>
        <v>1</v>
      </c>
      <c r="L25" s="424">
        <f t="shared" si="4"/>
        <v>1004862.503145</v>
      </c>
      <c r="M25" s="447">
        <f t="shared" si="3"/>
        <v>0</v>
      </c>
      <c r="N25" s="452"/>
    </row>
    <row r="26" spans="2:14" s="451" customFormat="1">
      <c r="B26" s="466" t="s">
        <v>293</v>
      </c>
      <c r="C26" s="465" t="s">
        <v>96</v>
      </c>
      <c r="D26" s="458"/>
      <c r="E26" s="447"/>
      <c r="F26" s="464">
        <f t="shared" ref="F26:K26" si="6">SUM(F27)</f>
        <v>0</v>
      </c>
      <c r="G26" s="464">
        <f t="shared" si="6"/>
        <v>0</v>
      </c>
      <c r="H26" s="464">
        <f t="shared" si="6"/>
        <v>0</v>
      </c>
      <c r="I26" s="464">
        <f t="shared" si="6"/>
        <v>0</v>
      </c>
      <c r="J26" s="464">
        <f t="shared" si="6"/>
        <v>0</v>
      </c>
      <c r="K26" s="464">
        <f t="shared" si="6"/>
        <v>0</v>
      </c>
      <c r="L26" s="424">
        <f t="shared" si="4"/>
        <v>0</v>
      </c>
      <c r="M26" s="447">
        <f t="shared" si="3"/>
        <v>0</v>
      </c>
      <c r="N26" s="452"/>
    </row>
    <row r="27" spans="2:14" s="451" customFormat="1">
      <c r="B27" s="462" t="s">
        <v>293</v>
      </c>
      <c r="C27" s="461" t="s">
        <v>427</v>
      </c>
      <c r="D27" s="453">
        <f>[16]VAL.PRINC!N19</f>
        <v>0</v>
      </c>
      <c r="E27" s="453">
        <v>2433.71</v>
      </c>
      <c r="F27" s="453">
        <f>D27*E27</f>
        <v>0</v>
      </c>
      <c r="G27" s="453"/>
      <c r="H27" s="463"/>
      <c r="I27" s="463"/>
      <c r="J27" s="463"/>
      <c r="K27" s="463"/>
      <c r="L27" s="424">
        <f t="shared" si="4"/>
        <v>0</v>
      </c>
      <c r="M27" s="447">
        <f t="shared" si="3"/>
        <v>0</v>
      </c>
      <c r="N27" s="452"/>
    </row>
    <row r="28" spans="2:14" s="451" customFormat="1">
      <c r="B28" s="466" t="s">
        <v>97</v>
      </c>
      <c r="C28" s="465" t="s">
        <v>98</v>
      </c>
      <c r="D28" s="458"/>
      <c r="E28" s="447"/>
      <c r="F28" s="464">
        <f t="shared" ref="F28:K28" si="7">SUM(F29:F33)</f>
        <v>436654.90912500012</v>
      </c>
      <c r="G28" s="464">
        <f t="shared" si="7"/>
        <v>213964.87956250005</v>
      </c>
      <c r="H28" s="464">
        <f t="shared" si="7"/>
        <v>222690.02956250004</v>
      </c>
      <c r="I28" s="464">
        <f t="shared" si="7"/>
        <v>0</v>
      </c>
      <c r="J28" s="464">
        <f t="shared" si="7"/>
        <v>0</v>
      </c>
      <c r="K28" s="464">
        <f t="shared" si="7"/>
        <v>0</v>
      </c>
      <c r="L28" s="424">
        <f>SUM(G28:J28)</f>
        <v>436654.90912500012</v>
      </c>
      <c r="M28" s="447">
        <f t="shared" si="3"/>
        <v>0</v>
      </c>
      <c r="N28" s="452"/>
    </row>
    <row r="29" spans="2:14" s="451" customFormat="1">
      <c r="B29" s="462" t="s">
        <v>97</v>
      </c>
      <c r="C29" s="461" t="s">
        <v>426</v>
      </c>
      <c r="D29" s="453">
        <f>[16]VAL.PRINC!N21</f>
        <v>0</v>
      </c>
      <c r="E29" s="453">
        <v>4.71</v>
      </c>
      <c r="F29" s="453">
        <f>D29*E29</f>
        <v>0</v>
      </c>
      <c r="G29" s="453"/>
      <c r="H29" s="453"/>
      <c r="I29" s="453"/>
      <c r="J29" s="453"/>
      <c r="K29" s="453"/>
      <c r="L29" s="424">
        <f t="shared" si="4"/>
        <v>0</v>
      </c>
      <c r="M29" s="447">
        <f t="shared" si="3"/>
        <v>0</v>
      </c>
      <c r="N29" s="452"/>
    </row>
    <row r="30" spans="2:14" s="451" customFormat="1">
      <c r="B30" s="462" t="s">
        <v>97</v>
      </c>
      <c r="C30" s="461" t="s">
        <v>425</v>
      </c>
      <c r="D30" s="453">
        <f>[16]VAL.PRINC!N22</f>
        <v>6806.6327500000007</v>
      </c>
      <c r="E30" s="453">
        <v>34.4</v>
      </c>
      <c r="F30" s="453">
        <f>D30*E30</f>
        <v>234148.16660000003</v>
      </c>
      <c r="G30" s="453">
        <f>F30/2</f>
        <v>117074.08330000001</v>
      </c>
      <c r="H30" s="453">
        <f>F30/2</f>
        <v>117074.08330000001</v>
      </c>
      <c r="I30" s="453"/>
      <c r="J30" s="453"/>
      <c r="K30" s="453"/>
      <c r="L30" s="424">
        <f t="shared" si="4"/>
        <v>234148.16660000003</v>
      </c>
      <c r="M30" s="447">
        <f t="shared" si="3"/>
        <v>0</v>
      </c>
      <c r="N30" s="452"/>
    </row>
    <row r="31" spans="2:14" s="451" customFormat="1">
      <c r="B31" s="462" t="s">
        <v>97</v>
      </c>
      <c r="C31" s="461" t="s">
        <v>424</v>
      </c>
      <c r="D31" s="453">
        <f>[16]VAL.PRINC!N23</f>
        <v>9640.875250000001</v>
      </c>
      <c r="E31" s="453">
        <v>20.100000000000001</v>
      </c>
      <c r="F31" s="453">
        <f>D31*E31</f>
        <v>193781.59252500004</v>
      </c>
      <c r="G31" s="453">
        <v>96890.796262500022</v>
      </c>
      <c r="H31" s="453">
        <f>F31/2</f>
        <v>96890.796262500022</v>
      </c>
      <c r="I31" s="453"/>
      <c r="J31" s="453"/>
      <c r="K31" s="453"/>
      <c r="L31" s="424">
        <f t="shared" si="4"/>
        <v>193781.59252500004</v>
      </c>
      <c r="M31" s="447">
        <f t="shared" si="3"/>
        <v>0</v>
      </c>
      <c r="N31" s="452"/>
    </row>
    <row r="32" spans="2:14" s="451" customFormat="1">
      <c r="B32" s="462" t="s">
        <v>97</v>
      </c>
      <c r="C32" s="461" t="s">
        <v>423</v>
      </c>
      <c r="D32" s="453">
        <f>[16]VAL.PRINC!N24</f>
        <v>0</v>
      </c>
      <c r="E32" s="453">
        <v>7.74</v>
      </c>
      <c r="F32" s="453">
        <f>D32*E32</f>
        <v>0</v>
      </c>
      <c r="G32" s="463"/>
      <c r="H32" s="463"/>
      <c r="I32" s="463"/>
      <c r="J32" s="463"/>
      <c r="K32" s="463"/>
      <c r="L32" s="424">
        <f t="shared" si="4"/>
        <v>0</v>
      </c>
      <c r="M32" s="447">
        <f t="shared" si="3"/>
        <v>0</v>
      </c>
      <c r="N32" s="452"/>
    </row>
    <row r="33" spans="2:14" s="451" customFormat="1">
      <c r="B33" s="462" t="s">
        <v>97</v>
      </c>
      <c r="C33" s="461" t="s">
        <v>422</v>
      </c>
      <c r="D33" s="453">
        <f>[16]VAL.PRINC!N25</f>
        <v>4497.5</v>
      </c>
      <c r="E33" s="453">
        <v>1.94</v>
      </c>
      <c r="F33" s="453">
        <f>D33*E33</f>
        <v>8725.15</v>
      </c>
      <c r="G33" s="463"/>
      <c r="H33" s="453">
        <f>F33</f>
        <v>8725.15</v>
      </c>
      <c r="I33" s="463"/>
      <c r="J33" s="463"/>
      <c r="K33" s="463"/>
      <c r="L33" s="424">
        <f t="shared" si="4"/>
        <v>8725.15</v>
      </c>
      <c r="M33" s="447">
        <f t="shared" si="3"/>
        <v>0</v>
      </c>
      <c r="N33" s="452"/>
    </row>
    <row r="34" spans="2:14" s="451" customFormat="1">
      <c r="B34" s="466" t="s">
        <v>294</v>
      </c>
      <c r="C34" s="465" t="s">
        <v>99</v>
      </c>
      <c r="D34" s="458"/>
      <c r="E34" s="447"/>
      <c r="F34" s="464">
        <f t="shared" ref="F34:K34" si="8">SUM(F35:F36)</f>
        <v>568207.59401999996</v>
      </c>
      <c r="G34" s="464">
        <f t="shared" si="8"/>
        <v>287514.69748999999</v>
      </c>
      <c r="H34" s="464">
        <f t="shared" si="8"/>
        <v>280692.89652999997</v>
      </c>
      <c r="I34" s="464">
        <f t="shared" si="8"/>
        <v>0</v>
      </c>
      <c r="J34" s="464">
        <f t="shared" si="8"/>
        <v>0</v>
      </c>
      <c r="K34" s="464">
        <f t="shared" si="8"/>
        <v>1</v>
      </c>
      <c r="L34" s="424">
        <f t="shared" si="4"/>
        <v>568207.59401999996</v>
      </c>
      <c r="M34" s="447">
        <f t="shared" si="3"/>
        <v>0</v>
      </c>
      <c r="N34" s="452"/>
    </row>
    <row r="35" spans="2:14" s="451" customFormat="1">
      <c r="B35" s="462" t="s">
        <v>294</v>
      </c>
      <c r="C35" s="461" t="s">
        <v>421</v>
      </c>
      <c r="D35" s="453">
        <f>[16]VAL.PRINC!N27</f>
        <v>86102.1155</v>
      </c>
      <c r="E35" s="453">
        <v>6.52</v>
      </c>
      <c r="F35" s="453">
        <f>D35*E35</f>
        <v>561385.79305999994</v>
      </c>
      <c r="G35" s="453">
        <f>F35/2</f>
        <v>280692.89652999997</v>
      </c>
      <c r="H35" s="453">
        <v>280692.89652999997</v>
      </c>
      <c r="I35" s="453">
        <v>0</v>
      </c>
      <c r="J35" s="453">
        <v>0</v>
      </c>
      <c r="K35" s="453">
        <v>1</v>
      </c>
      <c r="L35" s="424">
        <f t="shared" si="4"/>
        <v>561385.79305999994</v>
      </c>
      <c r="M35" s="447">
        <f t="shared" si="3"/>
        <v>0</v>
      </c>
      <c r="N35" s="452"/>
    </row>
    <row r="36" spans="2:14" s="451" customFormat="1">
      <c r="B36" s="462" t="s">
        <v>294</v>
      </c>
      <c r="C36" s="461" t="s">
        <v>420</v>
      </c>
      <c r="D36" s="453">
        <f>[16]VAL.PRINC!N28</f>
        <v>5329.5320000000002</v>
      </c>
      <c r="E36" s="453">
        <v>1.28</v>
      </c>
      <c r="F36" s="453">
        <f>D36*E36</f>
        <v>6821.8009600000005</v>
      </c>
      <c r="G36" s="453">
        <v>6821.8009600000005</v>
      </c>
      <c r="H36" s="463"/>
      <c r="I36" s="463"/>
      <c r="J36" s="463"/>
      <c r="K36" s="463"/>
      <c r="L36" s="424">
        <f t="shared" si="4"/>
        <v>6821.8009600000005</v>
      </c>
      <c r="M36" s="447">
        <f t="shared" si="3"/>
        <v>0</v>
      </c>
      <c r="N36" s="452"/>
    </row>
    <row r="37" spans="2:14" s="451" customFormat="1">
      <c r="B37" s="460" t="s">
        <v>295</v>
      </c>
      <c r="C37" s="459" t="s">
        <v>100</v>
      </c>
      <c r="D37" s="458"/>
      <c r="E37" s="447"/>
      <c r="F37" s="457">
        <f t="shared" ref="F37:K37" si="9">F38+F47+F56</f>
        <v>84916.562701599993</v>
      </c>
      <c r="G37" s="457">
        <f t="shared" si="9"/>
        <v>4.8107016000057499</v>
      </c>
      <c r="H37" s="457">
        <f t="shared" si="9"/>
        <v>79058.652000000002</v>
      </c>
      <c r="I37" s="457">
        <f t="shared" si="9"/>
        <v>2926.55</v>
      </c>
      <c r="J37" s="457">
        <f t="shared" si="9"/>
        <v>2926.55</v>
      </c>
      <c r="K37" s="457">
        <f t="shared" si="9"/>
        <v>2929.55</v>
      </c>
      <c r="L37" s="424">
        <f>SUM(G37:J37)</f>
        <v>84916.562701600007</v>
      </c>
      <c r="M37" s="447">
        <f t="shared" si="3"/>
        <v>0</v>
      </c>
      <c r="N37" s="452"/>
    </row>
    <row r="38" spans="2:14" s="451" customFormat="1">
      <c r="B38" s="466" t="s">
        <v>296</v>
      </c>
      <c r="C38" s="465" t="s">
        <v>101</v>
      </c>
      <c r="D38" s="458"/>
      <c r="E38" s="447"/>
      <c r="F38" s="464">
        <f t="shared" ref="F38:K38" si="10">SUM(F39:F46)</f>
        <v>4.8107016000057499</v>
      </c>
      <c r="G38" s="464">
        <f t="shared" si="10"/>
        <v>4.8107016000057499</v>
      </c>
      <c r="H38" s="464">
        <f t="shared" si="10"/>
        <v>0</v>
      </c>
      <c r="I38" s="464">
        <f t="shared" si="10"/>
        <v>0</v>
      </c>
      <c r="J38" s="464">
        <f t="shared" si="10"/>
        <v>0</v>
      </c>
      <c r="K38" s="464">
        <f t="shared" si="10"/>
        <v>0</v>
      </c>
      <c r="L38" s="424">
        <f t="shared" si="4"/>
        <v>4.8107016000057499</v>
      </c>
      <c r="M38" s="447">
        <f t="shared" si="3"/>
        <v>0</v>
      </c>
      <c r="N38" s="452"/>
    </row>
    <row r="39" spans="2:14" s="451" customFormat="1">
      <c r="B39" s="462" t="s">
        <v>296</v>
      </c>
      <c r="C39" s="461" t="s">
        <v>405</v>
      </c>
      <c r="D39" s="453">
        <f>[16]VAL.PRINC!N31</f>
        <v>2.7999999999792635E-3</v>
      </c>
      <c r="E39" s="453">
        <v>3.39</v>
      </c>
      <c r="F39" s="453">
        <f t="shared" ref="F39:F46" si="11">D39*E39</f>
        <v>9.4919999999297042E-3</v>
      </c>
      <c r="G39" s="453">
        <v>9.4919999999297042E-3</v>
      </c>
      <c r="H39" s="453"/>
      <c r="I39" s="453"/>
      <c r="J39" s="453"/>
      <c r="K39" s="453"/>
      <c r="L39" s="424">
        <f t="shared" si="4"/>
        <v>9.4919999999297042E-3</v>
      </c>
      <c r="M39" s="447">
        <f t="shared" si="3"/>
        <v>0</v>
      </c>
      <c r="N39" s="452"/>
    </row>
    <row r="40" spans="2:14" s="451" customFormat="1">
      <c r="B40" s="462" t="s">
        <v>296</v>
      </c>
      <c r="C40" s="461" t="s">
        <v>416</v>
      </c>
      <c r="D40" s="453">
        <f>[16]VAL.PRINC!N32</f>
        <v>2.0000000000095497E-3</v>
      </c>
      <c r="E40" s="453">
        <v>10.07</v>
      </c>
      <c r="F40" s="453">
        <f t="shared" si="11"/>
        <v>2.0140000000096164E-2</v>
      </c>
      <c r="G40" s="453">
        <v>2.0140000000096164E-2</v>
      </c>
      <c r="H40" s="453"/>
      <c r="I40" s="453"/>
      <c r="J40" s="453"/>
      <c r="K40" s="453"/>
      <c r="L40" s="424">
        <f t="shared" si="4"/>
        <v>2.0140000000096164E-2</v>
      </c>
      <c r="M40" s="447">
        <f t="shared" si="3"/>
        <v>0</v>
      </c>
      <c r="N40" s="452"/>
    </row>
    <row r="41" spans="2:14" s="451" customFormat="1">
      <c r="B41" s="462" t="s">
        <v>296</v>
      </c>
      <c r="C41" s="461" t="s">
        <v>414</v>
      </c>
      <c r="D41" s="453">
        <f>[16]VAL.PRINC!N33</f>
        <v>4.6400000000090813E-3</v>
      </c>
      <c r="E41" s="453">
        <v>351.94</v>
      </c>
      <c r="F41" s="453">
        <f t="shared" si="11"/>
        <v>1.6330016000031962</v>
      </c>
      <c r="G41" s="453">
        <v>1.6330016000031962</v>
      </c>
      <c r="H41" s="453"/>
      <c r="I41" s="453"/>
      <c r="J41" s="453"/>
      <c r="K41" s="453"/>
      <c r="L41" s="424">
        <f t="shared" si="4"/>
        <v>1.6330016000031962</v>
      </c>
      <c r="M41" s="447">
        <f t="shared" si="3"/>
        <v>0</v>
      </c>
      <c r="N41" s="452"/>
    </row>
    <row r="42" spans="2:14" s="451" customFormat="1">
      <c r="B42" s="462" t="s">
        <v>296</v>
      </c>
      <c r="C42" s="461" t="s">
        <v>419</v>
      </c>
      <c r="D42" s="453">
        <f>[16]VAL.PRINC!N34</f>
        <v>0</v>
      </c>
      <c r="E42" s="453">
        <v>5.58</v>
      </c>
      <c r="F42" s="453">
        <f t="shared" si="11"/>
        <v>0</v>
      </c>
      <c r="G42" s="453">
        <v>0</v>
      </c>
      <c r="H42" s="453"/>
      <c r="I42" s="453"/>
      <c r="J42" s="453"/>
      <c r="K42" s="453"/>
      <c r="L42" s="424">
        <f t="shared" si="4"/>
        <v>0</v>
      </c>
      <c r="M42" s="447">
        <f t="shared" si="3"/>
        <v>0</v>
      </c>
      <c r="N42" s="452"/>
    </row>
    <row r="43" spans="2:14" s="451" customFormat="1">
      <c r="B43" s="462" t="s">
        <v>296</v>
      </c>
      <c r="C43" s="461" t="s">
        <v>415</v>
      </c>
      <c r="D43" s="453">
        <f>[16]VAL.PRINC!N35</f>
        <v>0</v>
      </c>
      <c r="E43" s="453">
        <v>65.95</v>
      </c>
      <c r="F43" s="453">
        <f t="shared" si="11"/>
        <v>0</v>
      </c>
      <c r="G43" s="453">
        <v>0</v>
      </c>
      <c r="H43" s="453"/>
      <c r="I43" s="453"/>
      <c r="J43" s="453"/>
      <c r="K43" s="453"/>
      <c r="L43" s="424">
        <f t="shared" si="4"/>
        <v>0</v>
      </c>
      <c r="M43" s="447">
        <f t="shared" si="3"/>
        <v>0</v>
      </c>
      <c r="N43" s="452"/>
    </row>
    <row r="44" spans="2:14" s="451" customFormat="1">
      <c r="B44" s="462" t="s">
        <v>296</v>
      </c>
      <c r="C44" s="461" t="s">
        <v>102</v>
      </c>
      <c r="D44" s="453">
        <f>[16]VAL.PRINC!N36</f>
        <v>2.000000000005997E-3</v>
      </c>
      <c r="E44" s="453">
        <v>465.78</v>
      </c>
      <c r="F44" s="453">
        <f t="shared" si="11"/>
        <v>0.93156000000279326</v>
      </c>
      <c r="G44" s="453">
        <v>0.93156000000279326</v>
      </c>
      <c r="H44" s="453"/>
      <c r="I44" s="453"/>
      <c r="J44" s="453"/>
      <c r="K44" s="453"/>
      <c r="L44" s="424">
        <f t="shared" si="4"/>
        <v>0.93156000000279326</v>
      </c>
      <c r="M44" s="447">
        <f t="shared" si="3"/>
        <v>0</v>
      </c>
      <c r="N44" s="452"/>
    </row>
    <row r="45" spans="2:14" s="451" customFormat="1">
      <c r="B45" s="462" t="s">
        <v>296</v>
      </c>
      <c r="C45" s="461" t="s">
        <v>418</v>
      </c>
      <c r="D45" s="453">
        <f>[16]VAL.PRINC!N37</f>
        <v>4.7999999999994714E-3</v>
      </c>
      <c r="E45" s="453">
        <v>443.87</v>
      </c>
      <c r="F45" s="453">
        <f t="shared" si="11"/>
        <v>2.1305759999997655</v>
      </c>
      <c r="G45" s="453">
        <v>2.1305759999997655</v>
      </c>
      <c r="H45" s="453"/>
      <c r="I45" s="453"/>
      <c r="J45" s="453"/>
      <c r="K45" s="453"/>
      <c r="L45" s="424">
        <f t="shared" si="4"/>
        <v>2.1305759999997655</v>
      </c>
      <c r="M45" s="447">
        <f t="shared" si="3"/>
        <v>0</v>
      </c>
      <c r="N45" s="452"/>
    </row>
    <row r="46" spans="2:14" s="451" customFormat="1">
      <c r="B46" s="462" t="s">
        <v>296</v>
      </c>
      <c r="C46" s="461" t="s">
        <v>410</v>
      </c>
      <c r="D46" s="453">
        <f>[16]VAL.PRINC!N38</f>
        <v>3.5999999999987153E-3</v>
      </c>
      <c r="E46" s="453">
        <v>23.87</v>
      </c>
      <c r="F46" s="453">
        <f t="shared" si="11"/>
        <v>8.5931999999969338E-2</v>
      </c>
      <c r="G46" s="453">
        <v>8.5931999999969338E-2</v>
      </c>
      <c r="H46" s="453"/>
      <c r="I46" s="453"/>
      <c r="J46" s="453"/>
      <c r="K46" s="453"/>
      <c r="L46" s="424">
        <f t="shared" si="4"/>
        <v>8.5931999999969338E-2</v>
      </c>
      <c r="M46" s="447">
        <f t="shared" si="3"/>
        <v>0</v>
      </c>
      <c r="N46" s="452"/>
    </row>
    <row r="47" spans="2:14" s="451" customFormat="1">
      <c r="B47" s="466" t="s">
        <v>103</v>
      </c>
      <c r="C47" s="465" t="s">
        <v>417</v>
      </c>
      <c r="D47" s="458"/>
      <c r="E47" s="447"/>
      <c r="F47" s="464">
        <f t="shared" ref="F47:K47" si="12">SUM(F48:F55)</f>
        <v>73205.551999999996</v>
      </c>
      <c r="G47" s="464">
        <f t="shared" si="12"/>
        <v>0</v>
      </c>
      <c r="H47" s="464">
        <f t="shared" si="12"/>
        <v>73205.551999999996</v>
      </c>
      <c r="I47" s="464">
        <f t="shared" si="12"/>
        <v>0</v>
      </c>
      <c r="J47" s="464">
        <f t="shared" si="12"/>
        <v>0</v>
      </c>
      <c r="K47" s="464">
        <f t="shared" si="12"/>
        <v>0</v>
      </c>
      <c r="L47" s="424">
        <f t="shared" si="4"/>
        <v>73205.551999999996</v>
      </c>
      <c r="M47" s="447">
        <f t="shared" si="3"/>
        <v>0</v>
      </c>
      <c r="N47" s="452"/>
    </row>
    <row r="48" spans="2:14" s="451" customFormat="1">
      <c r="B48" s="462" t="s">
        <v>103</v>
      </c>
      <c r="C48" s="461" t="s">
        <v>405</v>
      </c>
      <c r="D48" s="453">
        <f>[16]VAL.PRINC!N40</f>
        <v>120</v>
      </c>
      <c r="E48" s="453">
        <v>3.39</v>
      </c>
      <c r="F48" s="453">
        <f t="shared" ref="F48:F55" si="13">D48*E48</f>
        <v>406.8</v>
      </c>
      <c r="G48" s="463"/>
      <c r="H48" s="453">
        <f>F48</f>
        <v>406.8</v>
      </c>
      <c r="I48" s="453"/>
      <c r="J48" s="453"/>
      <c r="K48" s="453"/>
      <c r="L48" s="424">
        <f t="shared" si="4"/>
        <v>406.8</v>
      </c>
      <c r="M48" s="447">
        <f t="shared" si="3"/>
        <v>0</v>
      </c>
      <c r="N48" s="452"/>
    </row>
    <row r="49" spans="2:14" s="451" customFormat="1">
      <c r="B49" s="462" t="s">
        <v>103</v>
      </c>
      <c r="C49" s="461" t="s">
        <v>416</v>
      </c>
      <c r="D49" s="453">
        <f>[16]VAL.PRINC!N41</f>
        <v>145</v>
      </c>
      <c r="E49" s="453">
        <v>10.07</v>
      </c>
      <c r="F49" s="453">
        <f t="shared" si="13"/>
        <v>1460.15</v>
      </c>
      <c r="G49" s="463"/>
      <c r="H49" s="453">
        <f t="shared" ref="H49:H55" si="14">F49</f>
        <v>1460.15</v>
      </c>
      <c r="I49" s="453"/>
      <c r="J49" s="453"/>
      <c r="K49" s="453"/>
      <c r="L49" s="424">
        <f t="shared" si="4"/>
        <v>1460.15</v>
      </c>
      <c r="M49" s="447">
        <f t="shared" si="3"/>
        <v>0</v>
      </c>
      <c r="N49" s="452"/>
    </row>
    <row r="50" spans="2:14" s="451" customFormat="1">
      <c r="B50" s="462" t="s">
        <v>103</v>
      </c>
      <c r="C50" s="461" t="s">
        <v>415</v>
      </c>
      <c r="D50" s="453">
        <f>[16]VAL.PRINC!N42</f>
        <v>170</v>
      </c>
      <c r="E50" s="453">
        <v>65.95</v>
      </c>
      <c r="F50" s="453">
        <f t="shared" si="13"/>
        <v>11211.5</v>
      </c>
      <c r="G50" s="463"/>
      <c r="H50" s="453">
        <f t="shared" si="14"/>
        <v>11211.5</v>
      </c>
      <c r="I50" s="453"/>
      <c r="J50" s="453"/>
      <c r="K50" s="453"/>
      <c r="L50" s="424">
        <f t="shared" si="4"/>
        <v>11211.5</v>
      </c>
      <c r="M50" s="447">
        <f t="shared" si="3"/>
        <v>0</v>
      </c>
      <c r="N50" s="452"/>
    </row>
    <row r="51" spans="2:14" s="451" customFormat="1">
      <c r="B51" s="462" t="s">
        <v>103</v>
      </c>
      <c r="C51" s="461" t="s">
        <v>414</v>
      </c>
      <c r="D51" s="453">
        <f>[16]VAL.PRINC!N43</f>
        <v>156</v>
      </c>
      <c r="E51" s="453">
        <v>351.94</v>
      </c>
      <c r="F51" s="453">
        <f t="shared" si="13"/>
        <v>54902.64</v>
      </c>
      <c r="G51" s="463"/>
      <c r="H51" s="453">
        <f t="shared" si="14"/>
        <v>54902.64</v>
      </c>
      <c r="I51" s="453"/>
      <c r="J51" s="453"/>
      <c r="K51" s="453"/>
      <c r="L51" s="424">
        <f t="shared" si="4"/>
        <v>54902.64</v>
      </c>
      <c r="M51" s="447">
        <f t="shared" si="3"/>
        <v>0</v>
      </c>
      <c r="N51" s="452"/>
    </row>
    <row r="52" spans="2:14" s="451" customFormat="1">
      <c r="B52" s="462" t="s">
        <v>103</v>
      </c>
      <c r="C52" s="461" t="s">
        <v>413</v>
      </c>
      <c r="D52" s="453">
        <f>[16]VAL.PRINC!N44</f>
        <v>50</v>
      </c>
      <c r="E52" s="453">
        <v>10.93</v>
      </c>
      <c r="F52" s="453">
        <f t="shared" si="13"/>
        <v>546.5</v>
      </c>
      <c r="G52" s="463"/>
      <c r="H52" s="453">
        <f t="shared" si="14"/>
        <v>546.5</v>
      </c>
      <c r="I52" s="453"/>
      <c r="J52" s="453"/>
      <c r="K52" s="453"/>
      <c r="L52" s="424">
        <f t="shared" si="4"/>
        <v>546.5</v>
      </c>
      <c r="M52" s="447">
        <f t="shared" si="3"/>
        <v>0</v>
      </c>
      <c r="N52" s="452"/>
    </row>
    <row r="53" spans="2:14" s="451" customFormat="1">
      <c r="B53" s="462" t="s">
        <v>103</v>
      </c>
      <c r="C53" s="461" t="s">
        <v>412</v>
      </c>
      <c r="D53" s="453">
        <f>[16]VAL.PRINC!N45</f>
        <v>100</v>
      </c>
      <c r="E53" s="453">
        <v>33.619999999999997</v>
      </c>
      <c r="F53" s="453">
        <f t="shared" si="13"/>
        <v>3361.9999999999995</v>
      </c>
      <c r="G53" s="463"/>
      <c r="H53" s="453">
        <f t="shared" si="14"/>
        <v>3361.9999999999995</v>
      </c>
      <c r="I53" s="453"/>
      <c r="J53" s="453"/>
      <c r="K53" s="453"/>
      <c r="L53" s="424">
        <f t="shared" si="4"/>
        <v>3361.9999999999995</v>
      </c>
      <c r="M53" s="447">
        <f t="shared" si="3"/>
        <v>0</v>
      </c>
      <c r="N53" s="452"/>
    </row>
    <row r="54" spans="2:14" s="451" customFormat="1">
      <c r="B54" s="462" t="s">
        <v>103</v>
      </c>
      <c r="C54" s="461" t="s">
        <v>411</v>
      </c>
      <c r="D54" s="453">
        <f>[16]VAL.PRINC!N46</f>
        <v>7.8</v>
      </c>
      <c r="E54" s="453">
        <v>12.64</v>
      </c>
      <c r="F54" s="453">
        <f t="shared" si="13"/>
        <v>98.591999999999999</v>
      </c>
      <c r="G54" s="463"/>
      <c r="H54" s="453">
        <f t="shared" si="14"/>
        <v>98.591999999999999</v>
      </c>
      <c r="I54" s="453"/>
      <c r="J54" s="453"/>
      <c r="K54" s="453"/>
      <c r="L54" s="424">
        <f t="shared" si="4"/>
        <v>98.591999999999999</v>
      </c>
      <c r="M54" s="447">
        <f t="shared" si="3"/>
        <v>0</v>
      </c>
      <c r="N54" s="452"/>
    </row>
    <row r="55" spans="2:14" s="451" customFormat="1">
      <c r="B55" s="462" t="s">
        <v>103</v>
      </c>
      <c r="C55" s="461" t="s">
        <v>410</v>
      </c>
      <c r="D55" s="453">
        <f>[16]VAL.PRINC!N47</f>
        <v>51</v>
      </c>
      <c r="E55" s="453">
        <v>23.87</v>
      </c>
      <c r="F55" s="453">
        <f t="shared" si="13"/>
        <v>1217.3700000000001</v>
      </c>
      <c r="G55" s="463"/>
      <c r="H55" s="453">
        <f t="shared" si="14"/>
        <v>1217.3700000000001</v>
      </c>
      <c r="I55" s="463"/>
      <c r="J55" s="463"/>
      <c r="K55" s="463"/>
      <c r="L55" s="424">
        <f t="shared" si="4"/>
        <v>1217.3700000000001</v>
      </c>
      <c r="M55" s="447">
        <f t="shared" si="3"/>
        <v>0</v>
      </c>
      <c r="N55" s="452"/>
    </row>
    <row r="56" spans="2:14" s="451" customFormat="1">
      <c r="B56" s="466" t="s">
        <v>104</v>
      </c>
      <c r="C56" s="465" t="s">
        <v>105</v>
      </c>
      <c r="D56" s="458"/>
      <c r="E56" s="447"/>
      <c r="F56" s="464">
        <f t="shared" ref="F56:K56" si="15">SUM(F57:F59)</f>
        <v>11706.2</v>
      </c>
      <c r="G56" s="464">
        <f t="shared" si="15"/>
        <v>0</v>
      </c>
      <c r="H56" s="464">
        <f t="shared" si="15"/>
        <v>5853.1</v>
      </c>
      <c r="I56" s="464">
        <f t="shared" si="15"/>
        <v>2926.55</v>
      </c>
      <c r="J56" s="464">
        <f t="shared" si="15"/>
        <v>2926.55</v>
      </c>
      <c r="K56" s="464">
        <f t="shared" si="15"/>
        <v>2929.55</v>
      </c>
      <c r="L56" s="424">
        <f>SUM(G56:J56)</f>
        <v>11706.2</v>
      </c>
      <c r="M56" s="447">
        <f t="shared" si="3"/>
        <v>0</v>
      </c>
      <c r="N56" s="452"/>
    </row>
    <row r="57" spans="2:14" s="451" customFormat="1">
      <c r="B57" s="462" t="s">
        <v>104</v>
      </c>
      <c r="C57" s="461" t="s">
        <v>409</v>
      </c>
      <c r="D57" s="453">
        <f>[16]VAL.PRINC!N49</f>
        <v>9852</v>
      </c>
      <c r="E57" s="453">
        <v>0.83</v>
      </c>
      <c r="F57" s="453">
        <f>D57*E57</f>
        <v>8177.16</v>
      </c>
      <c r="G57" s="463"/>
      <c r="H57" s="453">
        <f>F57/2</f>
        <v>4088.58</v>
      </c>
      <c r="I57" s="453">
        <f>4088.58/2</f>
        <v>2044.29</v>
      </c>
      <c r="J57" s="453">
        <v>2044.29</v>
      </c>
      <c r="K57" s="453">
        <v>2045.29</v>
      </c>
      <c r="L57" s="424">
        <f>SUM(G57:J57)</f>
        <v>8177.16</v>
      </c>
      <c r="M57" s="447">
        <f t="shared" si="3"/>
        <v>0</v>
      </c>
      <c r="N57" s="452"/>
    </row>
    <row r="58" spans="2:14" s="451" customFormat="1">
      <c r="B58" s="462" t="s">
        <v>104</v>
      </c>
      <c r="C58" s="461" t="s">
        <v>408</v>
      </c>
      <c r="D58" s="453">
        <f>[16]VAL.PRINC!N50</f>
        <v>1576</v>
      </c>
      <c r="E58" s="453">
        <v>1.04</v>
      </c>
      <c r="F58" s="453">
        <f>D58*E58</f>
        <v>1639.04</v>
      </c>
      <c r="G58" s="463"/>
      <c r="H58" s="453">
        <f t="shared" ref="H58:H59" si="16">F58/2</f>
        <v>819.52</v>
      </c>
      <c r="I58" s="453">
        <f>819.52/2</f>
        <v>409.76</v>
      </c>
      <c r="J58" s="453">
        <v>409.76</v>
      </c>
      <c r="K58" s="453">
        <v>410.76</v>
      </c>
      <c r="L58" s="424">
        <f t="shared" si="4"/>
        <v>1639.04</v>
      </c>
      <c r="M58" s="447">
        <f t="shared" si="3"/>
        <v>0</v>
      </c>
      <c r="N58" s="452"/>
    </row>
    <row r="59" spans="2:14" s="451" customFormat="1">
      <c r="B59" s="462" t="s">
        <v>104</v>
      </c>
      <c r="C59" s="461" t="s">
        <v>407</v>
      </c>
      <c r="D59" s="453">
        <f>[16]VAL.PRINC!N51</f>
        <v>1000</v>
      </c>
      <c r="E59" s="453">
        <v>1.89</v>
      </c>
      <c r="F59" s="453">
        <f>D59*E59</f>
        <v>1890</v>
      </c>
      <c r="G59" s="463"/>
      <c r="H59" s="453">
        <f t="shared" si="16"/>
        <v>945</v>
      </c>
      <c r="I59" s="453">
        <f>945/2</f>
        <v>472.5</v>
      </c>
      <c r="J59" s="453">
        <v>472.5</v>
      </c>
      <c r="K59" s="453">
        <v>473.5</v>
      </c>
      <c r="L59" s="424">
        <f t="shared" si="4"/>
        <v>1890</v>
      </c>
      <c r="M59" s="447">
        <f t="shared" si="3"/>
        <v>0</v>
      </c>
      <c r="N59" s="452"/>
    </row>
    <row r="60" spans="2:14" s="451" customFormat="1" hidden="1">
      <c r="B60" s="460" t="s">
        <v>106</v>
      </c>
      <c r="C60" s="459" t="s">
        <v>107</v>
      </c>
      <c r="D60" s="458">
        <v>0</v>
      </c>
      <c r="E60" s="447"/>
      <c r="F60" s="457">
        <f t="shared" ref="F60:K60" si="17">F61+F65+F74+F81+F86+F100</f>
        <v>0</v>
      </c>
      <c r="G60" s="457">
        <f t="shared" si="17"/>
        <v>0</v>
      </c>
      <c r="H60" s="457">
        <f t="shared" si="17"/>
        <v>0</v>
      </c>
      <c r="I60" s="457">
        <f t="shared" si="17"/>
        <v>0</v>
      </c>
      <c r="J60" s="457">
        <f t="shared" si="17"/>
        <v>0</v>
      </c>
      <c r="K60" s="457">
        <f t="shared" si="17"/>
        <v>0</v>
      </c>
      <c r="L60" s="424">
        <f t="shared" si="4"/>
        <v>0</v>
      </c>
      <c r="M60" s="447">
        <f t="shared" si="3"/>
        <v>0</v>
      </c>
      <c r="N60" s="452"/>
    </row>
    <row r="61" spans="2:14" s="451" customFormat="1" hidden="1">
      <c r="B61" s="466" t="s">
        <v>108</v>
      </c>
      <c r="C61" s="465" t="s">
        <v>96</v>
      </c>
      <c r="D61" s="458">
        <v>0</v>
      </c>
      <c r="E61" s="447"/>
      <c r="F61" s="464">
        <f t="shared" ref="F61:K61" si="18">SUM(F62:F64)</f>
        <v>0</v>
      </c>
      <c r="G61" s="464">
        <f t="shared" si="18"/>
        <v>0</v>
      </c>
      <c r="H61" s="464">
        <f t="shared" si="18"/>
        <v>0</v>
      </c>
      <c r="I61" s="464">
        <f t="shared" si="18"/>
        <v>0</v>
      </c>
      <c r="J61" s="464">
        <f t="shared" si="18"/>
        <v>0</v>
      </c>
      <c r="K61" s="464">
        <f t="shared" si="18"/>
        <v>0</v>
      </c>
      <c r="L61" s="424">
        <f t="shared" si="4"/>
        <v>0</v>
      </c>
      <c r="M61" s="447">
        <f t="shared" si="3"/>
        <v>0</v>
      </c>
      <c r="N61" s="452"/>
    </row>
    <row r="62" spans="2:14" s="451" customFormat="1" hidden="1">
      <c r="B62" s="462" t="s">
        <v>108</v>
      </c>
      <c r="C62" s="461" t="s">
        <v>406</v>
      </c>
      <c r="D62" s="453">
        <v>0</v>
      </c>
      <c r="E62" s="453">
        <v>2.69</v>
      </c>
      <c r="F62" s="453">
        <f>D62*E62</f>
        <v>0</v>
      </c>
      <c r="G62" s="453"/>
      <c r="H62" s="463"/>
      <c r="I62" s="463"/>
      <c r="J62" s="463"/>
      <c r="K62" s="463"/>
      <c r="L62" s="424">
        <f t="shared" si="4"/>
        <v>0</v>
      </c>
      <c r="M62" s="447">
        <f t="shared" si="3"/>
        <v>0</v>
      </c>
      <c r="N62" s="452"/>
    </row>
    <row r="63" spans="2:14" s="451" customFormat="1" hidden="1">
      <c r="B63" s="462" t="s">
        <v>108</v>
      </c>
      <c r="C63" s="461" t="s">
        <v>405</v>
      </c>
      <c r="D63" s="453">
        <v>0</v>
      </c>
      <c r="E63" s="453">
        <v>3.39</v>
      </c>
      <c r="F63" s="453">
        <f>D63*E63</f>
        <v>0</v>
      </c>
      <c r="G63" s="453"/>
      <c r="H63" s="463"/>
      <c r="I63" s="463"/>
      <c r="J63" s="463"/>
      <c r="K63" s="463"/>
      <c r="L63" s="424">
        <f t="shared" si="4"/>
        <v>0</v>
      </c>
      <c r="M63" s="447">
        <f t="shared" si="3"/>
        <v>0</v>
      </c>
      <c r="N63" s="452"/>
    </row>
    <row r="64" spans="2:14" s="451" customFormat="1" hidden="1">
      <c r="B64" s="462" t="s">
        <v>108</v>
      </c>
      <c r="C64" s="461" t="s">
        <v>404</v>
      </c>
      <c r="D64" s="453">
        <v>0</v>
      </c>
      <c r="E64" s="453">
        <v>101.65</v>
      </c>
      <c r="F64" s="453">
        <f>D64*E64</f>
        <v>0</v>
      </c>
      <c r="G64" s="453"/>
      <c r="H64" s="463"/>
      <c r="I64" s="463"/>
      <c r="J64" s="463"/>
      <c r="K64" s="463"/>
      <c r="L64" s="424">
        <f t="shared" si="4"/>
        <v>0</v>
      </c>
      <c r="M64" s="447">
        <f t="shared" si="3"/>
        <v>0</v>
      </c>
      <c r="N64" s="452"/>
    </row>
    <row r="65" spans="2:14" s="451" customFormat="1" hidden="1">
      <c r="B65" s="466" t="s">
        <v>109</v>
      </c>
      <c r="C65" s="465" t="s">
        <v>98</v>
      </c>
      <c r="D65" s="458">
        <v>0</v>
      </c>
      <c r="E65" s="447"/>
      <c r="F65" s="464">
        <f t="shared" ref="F65:K65" si="19">F66+F70+F72</f>
        <v>0</v>
      </c>
      <c r="G65" s="464">
        <f t="shared" si="19"/>
        <v>0</v>
      </c>
      <c r="H65" s="464">
        <f t="shared" si="19"/>
        <v>0</v>
      </c>
      <c r="I65" s="464">
        <f t="shared" si="19"/>
        <v>0</v>
      </c>
      <c r="J65" s="464">
        <f t="shared" si="19"/>
        <v>0</v>
      </c>
      <c r="K65" s="464">
        <f t="shared" si="19"/>
        <v>0</v>
      </c>
      <c r="L65" s="424">
        <f t="shared" si="4"/>
        <v>0</v>
      </c>
      <c r="M65" s="447">
        <f t="shared" si="3"/>
        <v>0</v>
      </c>
      <c r="N65" s="452"/>
    </row>
    <row r="66" spans="2:14" s="451" customFormat="1" hidden="1">
      <c r="B66" s="469" t="s">
        <v>110</v>
      </c>
      <c r="C66" s="468" t="s">
        <v>403</v>
      </c>
      <c r="D66" s="458">
        <v>0</v>
      </c>
      <c r="E66" s="447"/>
      <c r="F66" s="467">
        <f t="shared" ref="F66:K66" si="20">SUM(F67:F69)</f>
        <v>0</v>
      </c>
      <c r="G66" s="467">
        <f t="shared" si="20"/>
        <v>0</v>
      </c>
      <c r="H66" s="467">
        <f t="shared" si="20"/>
        <v>0</v>
      </c>
      <c r="I66" s="467">
        <f t="shared" si="20"/>
        <v>0</v>
      </c>
      <c r="J66" s="467">
        <f t="shared" si="20"/>
        <v>0</v>
      </c>
      <c r="K66" s="467">
        <f t="shared" si="20"/>
        <v>0</v>
      </c>
      <c r="L66" s="424">
        <f t="shared" si="4"/>
        <v>0</v>
      </c>
      <c r="M66" s="447">
        <f t="shared" si="3"/>
        <v>0</v>
      </c>
      <c r="N66" s="452"/>
    </row>
    <row r="67" spans="2:14" s="451" customFormat="1" hidden="1">
      <c r="B67" s="462" t="s">
        <v>110</v>
      </c>
      <c r="C67" s="461" t="s">
        <v>402</v>
      </c>
      <c r="D67" s="453">
        <v>0</v>
      </c>
      <c r="E67" s="453">
        <v>6.48</v>
      </c>
      <c r="F67" s="453">
        <f>D67*E67</f>
        <v>0</v>
      </c>
      <c r="G67" s="453"/>
      <c r="H67" s="463"/>
      <c r="I67" s="463"/>
      <c r="J67" s="463"/>
      <c r="K67" s="463"/>
      <c r="L67" s="424">
        <f t="shared" si="4"/>
        <v>0</v>
      </c>
      <c r="M67" s="447">
        <f t="shared" si="3"/>
        <v>0</v>
      </c>
      <c r="N67" s="452"/>
    </row>
    <row r="68" spans="2:14" s="451" customFormat="1" hidden="1">
      <c r="B68" s="462" t="s">
        <v>110</v>
      </c>
      <c r="C68" s="461" t="s">
        <v>401</v>
      </c>
      <c r="D68" s="453">
        <v>0</v>
      </c>
      <c r="E68" s="453">
        <v>8.27</v>
      </c>
      <c r="F68" s="453">
        <f>D68*E68</f>
        <v>0</v>
      </c>
      <c r="G68" s="453"/>
      <c r="H68" s="453"/>
      <c r="I68" s="453"/>
      <c r="J68" s="453"/>
      <c r="K68" s="453"/>
      <c r="L68" s="424">
        <f t="shared" si="4"/>
        <v>0</v>
      </c>
      <c r="M68" s="447">
        <f t="shared" si="3"/>
        <v>0</v>
      </c>
      <c r="N68" s="452"/>
    </row>
    <row r="69" spans="2:14" s="451" customFormat="1" hidden="1">
      <c r="B69" s="462" t="s">
        <v>110</v>
      </c>
      <c r="C69" s="461" t="s">
        <v>400</v>
      </c>
      <c r="D69" s="453">
        <v>0</v>
      </c>
      <c r="E69" s="453">
        <v>120.86</v>
      </c>
      <c r="F69" s="453">
        <f>D69*E69</f>
        <v>0</v>
      </c>
      <c r="G69" s="453"/>
      <c r="H69" s="453"/>
      <c r="I69" s="463"/>
      <c r="J69" s="463"/>
      <c r="K69" s="463"/>
      <c r="L69" s="424">
        <f t="shared" si="4"/>
        <v>0</v>
      </c>
      <c r="M69" s="447">
        <f t="shared" si="3"/>
        <v>0</v>
      </c>
      <c r="N69" s="452"/>
    </row>
    <row r="70" spans="2:14" s="451" customFormat="1" hidden="1">
      <c r="B70" s="469" t="s">
        <v>111</v>
      </c>
      <c r="C70" s="468" t="s">
        <v>112</v>
      </c>
      <c r="D70" s="458">
        <v>0</v>
      </c>
      <c r="E70" s="447"/>
      <c r="F70" s="467">
        <f t="shared" ref="F70:K70" si="21">SUM(F71)</f>
        <v>0</v>
      </c>
      <c r="G70" s="467">
        <f t="shared" si="21"/>
        <v>0</v>
      </c>
      <c r="H70" s="467">
        <f t="shared" si="21"/>
        <v>0</v>
      </c>
      <c r="I70" s="467">
        <f t="shared" si="21"/>
        <v>0</v>
      </c>
      <c r="J70" s="467">
        <f t="shared" si="21"/>
        <v>0</v>
      </c>
      <c r="K70" s="467">
        <f t="shared" si="21"/>
        <v>0</v>
      </c>
      <c r="L70" s="424">
        <f t="shared" si="4"/>
        <v>0</v>
      </c>
      <c r="M70" s="447">
        <f t="shared" si="3"/>
        <v>0</v>
      </c>
      <c r="N70" s="452"/>
    </row>
    <row r="71" spans="2:14" s="451" customFormat="1" hidden="1">
      <c r="B71" s="462" t="s">
        <v>111</v>
      </c>
      <c r="C71" s="461" t="s">
        <v>399</v>
      </c>
      <c r="D71" s="453">
        <v>0</v>
      </c>
      <c r="E71" s="453">
        <v>23.87</v>
      </c>
      <c r="F71" s="453">
        <f>D71*E71</f>
        <v>0</v>
      </c>
      <c r="G71" s="463"/>
      <c r="H71" s="463"/>
      <c r="I71" s="463"/>
      <c r="J71" s="463"/>
      <c r="K71" s="463"/>
      <c r="L71" s="424">
        <f t="shared" si="4"/>
        <v>0</v>
      </c>
      <c r="M71" s="447">
        <f t="shared" si="3"/>
        <v>0</v>
      </c>
      <c r="N71" s="452"/>
    </row>
    <row r="72" spans="2:14" s="451" customFormat="1" hidden="1">
      <c r="B72" s="469" t="s">
        <v>113</v>
      </c>
      <c r="C72" s="468" t="s">
        <v>398</v>
      </c>
      <c r="D72" s="458">
        <v>0</v>
      </c>
      <c r="E72" s="447"/>
      <c r="F72" s="467">
        <f>SUM(F73)</f>
        <v>0</v>
      </c>
      <c r="G72" s="467"/>
      <c r="H72" s="467"/>
      <c r="I72" s="447"/>
      <c r="J72" s="447"/>
      <c r="K72" s="447"/>
      <c r="L72" s="424">
        <f t="shared" si="4"/>
        <v>0</v>
      </c>
      <c r="M72" s="447">
        <f t="shared" si="3"/>
        <v>0</v>
      </c>
      <c r="N72" s="452"/>
    </row>
    <row r="73" spans="2:14" s="451" customFormat="1" hidden="1">
      <c r="B73" s="462" t="s">
        <v>113</v>
      </c>
      <c r="C73" s="461" t="s">
        <v>397</v>
      </c>
      <c r="D73" s="453">
        <v>0</v>
      </c>
      <c r="E73" s="453">
        <v>6.52</v>
      </c>
      <c r="F73" s="453">
        <f>D73*E73</f>
        <v>0</v>
      </c>
      <c r="G73" s="453"/>
      <c r="H73" s="453"/>
      <c r="I73" s="463"/>
      <c r="J73" s="463"/>
      <c r="K73" s="463"/>
      <c r="L73" s="424">
        <f t="shared" si="4"/>
        <v>0</v>
      </c>
      <c r="M73" s="447">
        <f t="shared" si="3"/>
        <v>0</v>
      </c>
      <c r="N73" s="452"/>
    </row>
    <row r="74" spans="2:14" s="451" customFormat="1" hidden="1">
      <c r="B74" s="466" t="s">
        <v>114</v>
      </c>
      <c r="C74" s="465" t="s">
        <v>115</v>
      </c>
      <c r="D74" s="458">
        <v>0</v>
      </c>
      <c r="E74" s="447"/>
      <c r="F74" s="464">
        <f t="shared" ref="F74:K74" si="22">F75+F79</f>
        <v>0</v>
      </c>
      <c r="G74" s="464">
        <f t="shared" si="22"/>
        <v>0</v>
      </c>
      <c r="H74" s="464">
        <f t="shared" si="22"/>
        <v>0</v>
      </c>
      <c r="I74" s="464">
        <f t="shared" si="22"/>
        <v>0</v>
      </c>
      <c r="J74" s="464">
        <f t="shared" si="22"/>
        <v>0</v>
      </c>
      <c r="K74" s="464">
        <f t="shared" si="22"/>
        <v>0</v>
      </c>
      <c r="L74" s="424">
        <f t="shared" si="4"/>
        <v>0</v>
      </c>
      <c r="M74" s="447">
        <f t="shared" si="3"/>
        <v>0</v>
      </c>
      <c r="N74" s="452"/>
    </row>
    <row r="75" spans="2:14" s="451" customFormat="1" hidden="1">
      <c r="B75" s="469" t="s">
        <v>116</v>
      </c>
      <c r="C75" s="468" t="s">
        <v>396</v>
      </c>
      <c r="D75" s="458">
        <v>0</v>
      </c>
      <c r="E75" s="447"/>
      <c r="F75" s="467">
        <f t="shared" ref="F75:K75" si="23">SUM(F76:F78)</f>
        <v>0</v>
      </c>
      <c r="G75" s="467">
        <f t="shared" si="23"/>
        <v>0</v>
      </c>
      <c r="H75" s="467">
        <f t="shared" si="23"/>
        <v>0</v>
      </c>
      <c r="I75" s="467">
        <f t="shared" si="23"/>
        <v>0</v>
      </c>
      <c r="J75" s="467">
        <f t="shared" si="23"/>
        <v>0</v>
      </c>
      <c r="K75" s="467">
        <f t="shared" si="23"/>
        <v>0</v>
      </c>
      <c r="L75" s="424">
        <f t="shared" si="4"/>
        <v>0</v>
      </c>
      <c r="M75" s="447">
        <f t="shared" si="3"/>
        <v>0</v>
      </c>
      <c r="N75" s="452"/>
    </row>
    <row r="76" spans="2:14" s="451" customFormat="1" hidden="1">
      <c r="B76" s="462" t="s">
        <v>116</v>
      </c>
      <c r="C76" s="461" t="s">
        <v>395</v>
      </c>
      <c r="D76" s="453">
        <v>0</v>
      </c>
      <c r="E76" s="453">
        <v>71.7</v>
      </c>
      <c r="F76" s="453">
        <f>D76*E76</f>
        <v>0</v>
      </c>
      <c r="G76" s="463"/>
      <c r="H76" s="453"/>
      <c r="I76" s="453"/>
      <c r="J76" s="453"/>
      <c r="K76" s="453"/>
      <c r="L76" s="424">
        <f t="shared" si="4"/>
        <v>0</v>
      </c>
      <c r="M76" s="447">
        <f t="shared" si="3"/>
        <v>0</v>
      </c>
      <c r="N76" s="452"/>
    </row>
    <row r="77" spans="2:14" s="451" customFormat="1" hidden="1">
      <c r="B77" s="462" t="s">
        <v>116</v>
      </c>
      <c r="C77" s="461" t="s">
        <v>394</v>
      </c>
      <c r="D77" s="453">
        <v>0</v>
      </c>
      <c r="E77" s="453">
        <v>50.81</v>
      </c>
      <c r="F77" s="453">
        <f>D77*E77</f>
        <v>0</v>
      </c>
      <c r="G77" s="463"/>
      <c r="H77" s="453"/>
      <c r="I77" s="453"/>
      <c r="J77" s="453"/>
      <c r="K77" s="453"/>
      <c r="L77" s="424">
        <f t="shared" si="4"/>
        <v>0</v>
      </c>
      <c r="M77" s="447">
        <f t="shared" si="3"/>
        <v>0</v>
      </c>
      <c r="N77" s="452"/>
    </row>
    <row r="78" spans="2:14" s="451" customFormat="1" hidden="1">
      <c r="B78" s="462" t="s">
        <v>116</v>
      </c>
      <c r="C78" s="461" t="s">
        <v>393</v>
      </c>
      <c r="D78" s="453">
        <v>0</v>
      </c>
      <c r="E78" s="453">
        <v>103.06</v>
      </c>
      <c r="F78" s="453">
        <f>D78*E78</f>
        <v>0</v>
      </c>
      <c r="G78" s="463"/>
      <c r="H78" s="453"/>
      <c r="I78" s="453"/>
      <c r="J78" s="453"/>
      <c r="K78" s="453"/>
      <c r="L78" s="424">
        <f t="shared" si="4"/>
        <v>0</v>
      </c>
      <c r="M78" s="447">
        <f t="shared" si="3"/>
        <v>0</v>
      </c>
      <c r="N78" s="452"/>
    </row>
    <row r="79" spans="2:14" s="451" customFormat="1" hidden="1">
      <c r="B79" s="469" t="s">
        <v>140</v>
      </c>
      <c r="C79" s="468" t="s">
        <v>392</v>
      </c>
      <c r="D79" s="458">
        <v>0</v>
      </c>
      <c r="E79" s="447"/>
      <c r="F79" s="467">
        <f t="shared" ref="F79:K79" si="24">SUM(F80)</f>
        <v>0</v>
      </c>
      <c r="G79" s="467">
        <f t="shared" si="24"/>
        <v>0</v>
      </c>
      <c r="H79" s="467">
        <f t="shared" si="24"/>
        <v>0</v>
      </c>
      <c r="I79" s="467">
        <f t="shared" si="24"/>
        <v>0</v>
      </c>
      <c r="J79" s="467">
        <f t="shared" si="24"/>
        <v>0</v>
      </c>
      <c r="K79" s="467">
        <f t="shared" si="24"/>
        <v>0</v>
      </c>
      <c r="L79" s="424">
        <f t="shared" si="4"/>
        <v>0</v>
      </c>
      <c r="M79" s="447">
        <f t="shared" si="3"/>
        <v>0</v>
      </c>
      <c r="N79" s="452"/>
    </row>
    <row r="80" spans="2:14" s="451" customFormat="1" hidden="1">
      <c r="B80" s="462" t="s">
        <v>140</v>
      </c>
      <c r="C80" s="461" t="s">
        <v>391</v>
      </c>
      <c r="D80" s="453">
        <v>0</v>
      </c>
      <c r="E80" s="453">
        <v>113.91</v>
      </c>
      <c r="F80" s="453">
        <f>D80*E80</f>
        <v>0</v>
      </c>
      <c r="G80" s="463"/>
      <c r="H80" s="463"/>
      <c r="I80" s="453"/>
      <c r="J80" s="453"/>
      <c r="K80" s="453"/>
      <c r="L80" s="424">
        <f t="shared" si="4"/>
        <v>0</v>
      </c>
      <c r="M80" s="447">
        <f t="shared" si="3"/>
        <v>0</v>
      </c>
      <c r="N80" s="452"/>
    </row>
    <row r="81" spans="2:14" s="451" customFormat="1" hidden="1">
      <c r="B81" s="466" t="s">
        <v>141</v>
      </c>
      <c r="C81" s="465" t="s">
        <v>142</v>
      </c>
      <c r="D81" s="458">
        <v>0</v>
      </c>
      <c r="E81" s="447"/>
      <c r="F81" s="464">
        <f t="shared" ref="F81:K81" si="25">SUM(F82:F85)</f>
        <v>0</v>
      </c>
      <c r="G81" s="464">
        <f t="shared" si="25"/>
        <v>0</v>
      </c>
      <c r="H81" s="464">
        <f t="shared" si="25"/>
        <v>0</v>
      </c>
      <c r="I81" s="464">
        <f t="shared" si="25"/>
        <v>0</v>
      </c>
      <c r="J81" s="464">
        <f t="shared" si="25"/>
        <v>0</v>
      </c>
      <c r="K81" s="464">
        <f t="shared" si="25"/>
        <v>0</v>
      </c>
      <c r="L81" s="424">
        <f t="shared" si="4"/>
        <v>0</v>
      </c>
      <c r="M81" s="447">
        <f t="shared" si="3"/>
        <v>0</v>
      </c>
      <c r="N81" s="452"/>
    </row>
    <row r="82" spans="2:14" s="451" customFormat="1" hidden="1">
      <c r="B82" s="462" t="s">
        <v>141</v>
      </c>
      <c r="C82" s="461" t="s">
        <v>390</v>
      </c>
      <c r="D82" s="453">
        <v>0</v>
      </c>
      <c r="E82" s="453">
        <v>331.52</v>
      </c>
      <c r="F82" s="453">
        <f>D82*E82</f>
        <v>0</v>
      </c>
      <c r="G82" s="463"/>
      <c r="H82" s="453"/>
      <c r="I82" s="463"/>
      <c r="J82" s="463"/>
      <c r="K82" s="463"/>
      <c r="L82" s="424">
        <f t="shared" si="4"/>
        <v>0</v>
      </c>
      <c r="M82" s="447">
        <f t="shared" si="3"/>
        <v>0</v>
      </c>
      <c r="N82" s="452"/>
    </row>
    <row r="83" spans="2:14" s="451" customFormat="1" hidden="1">
      <c r="B83" s="462" t="s">
        <v>141</v>
      </c>
      <c r="C83" s="461" t="s">
        <v>389</v>
      </c>
      <c r="D83" s="453">
        <v>0</v>
      </c>
      <c r="E83" s="453">
        <v>351.94</v>
      </c>
      <c r="F83" s="453">
        <f>D83*E83</f>
        <v>0</v>
      </c>
      <c r="G83" s="463"/>
      <c r="H83" s="463"/>
      <c r="I83" s="467"/>
      <c r="J83" s="467"/>
      <c r="K83" s="467"/>
      <c r="L83" s="424">
        <f t="shared" si="4"/>
        <v>0</v>
      </c>
      <c r="M83" s="447">
        <f t="shared" si="3"/>
        <v>0</v>
      </c>
      <c r="N83" s="452"/>
    </row>
    <row r="84" spans="2:14" s="451" customFormat="1" hidden="1">
      <c r="B84" s="462" t="s">
        <v>141</v>
      </c>
      <c r="C84" s="461" t="s">
        <v>102</v>
      </c>
      <c r="D84" s="453">
        <v>0</v>
      </c>
      <c r="E84" s="453">
        <v>465.78</v>
      </c>
      <c r="F84" s="453">
        <f>D84*E84</f>
        <v>0</v>
      </c>
      <c r="G84" s="463"/>
      <c r="H84" s="463"/>
      <c r="I84" s="467"/>
      <c r="J84" s="467"/>
      <c r="K84" s="467"/>
      <c r="L84" s="424">
        <f t="shared" si="4"/>
        <v>0</v>
      </c>
      <c r="M84" s="447">
        <f t="shared" si="3"/>
        <v>0</v>
      </c>
      <c r="N84" s="452"/>
    </row>
    <row r="85" spans="2:14" s="451" customFormat="1" hidden="1">
      <c r="B85" s="462" t="s">
        <v>141</v>
      </c>
      <c r="C85" s="461" t="s">
        <v>143</v>
      </c>
      <c r="D85" s="453">
        <v>0</v>
      </c>
      <c r="E85" s="453">
        <v>540.86</v>
      </c>
      <c r="F85" s="453">
        <f>D85*E85</f>
        <v>0</v>
      </c>
      <c r="G85" s="463"/>
      <c r="H85" s="463"/>
      <c r="I85" s="467"/>
      <c r="J85" s="467"/>
      <c r="K85" s="467"/>
      <c r="L85" s="424">
        <f t="shared" si="4"/>
        <v>0</v>
      </c>
      <c r="M85" s="447">
        <f t="shared" si="3"/>
        <v>0</v>
      </c>
      <c r="N85" s="452"/>
    </row>
    <row r="86" spans="2:14" s="451" customFormat="1" hidden="1">
      <c r="B86" s="466" t="s">
        <v>144</v>
      </c>
      <c r="C86" s="465" t="s">
        <v>145</v>
      </c>
      <c r="D86" s="458">
        <v>0</v>
      </c>
      <c r="E86" s="447"/>
      <c r="F86" s="464">
        <f t="shared" ref="F86:K86" si="26">F87+F91+F95</f>
        <v>0</v>
      </c>
      <c r="G86" s="464">
        <f t="shared" si="26"/>
        <v>0</v>
      </c>
      <c r="H86" s="464">
        <f t="shared" si="26"/>
        <v>0</v>
      </c>
      <c r="I86" s="464">
        <f t="shared" si="26"/>
        <v>0</v>
      </c>
      <c r="J86" s="464">
        <f t="shared" si="26"/>
        <v>0</v>
      </c>
      <c r="K86" s="464">
        <f t="shared" si="26"/>
        <v>0</v>
      </c>
      <c r="L86" s="424">
        <f t="shared" si="4"/>
        <v>0</v>
      </c>
      <c r="M86" s="447">
        <f t="shared" ref="M86:M149" si="27">F86-L86</f>
        <v>0</v>
      </c>
      <c r="N86" s="452"/>
    </row>
    <row r="87" spans="2:14" s="451" customFormat="1" hidden="1">
      <c r="B87" s="469" t="s">
        <v>146</v>
      </c>
      <c r="C87" s="468" t="s">
        <v>147</v>
      </c>
      <c r="D87" s="458">
        <v>0</v>
      </c>
      <c r="E87" s="447"/>
      <c r="F87" s="467">
        <f t="shared" ref="F87:K87" si="28">SUM(F88:F90)</f>
        <v>0</v>
      </c>
      <c r="G87" s="467">
        <f t="shared" si="28"/>
        <v>0</v>
      </c>
      <c r="H87" s="467">
        <f t="shared" si="28"/>
        <v>0</v>
      </c>
      <c r="I87" s="467">
        <f t="shared" si="28"/>
        <v>0</v>
      </c>
      <c r="J87" s="467">
        <f t="shared" si="28"/>
        <v>0</v>
      </c>
      <c r="K87" s="467">
        <f t="shared" si="28"/>
        <v>0</v>
      </c>
      <c r="L87" s="424">
        <f t="shared" ref="L87:L150" si="29">SUM(G87:J87)</f>
        <v>0</v>
      </c>
      <c r="M87" s="447">
        <f t="shared" si="27"/>
        <v>0</v>
      </c>
      <c r="N87" s="452"/>
    </row>
    <row r="88" spans="2:14" s="451" customFormat="1" hidden="1">
      <c r="B88" s="462" t="s">
        <v>146</v>
      </c>
      <c r="C88" s="461" t="s">
        <v>148</v>
      </c>
      <c r="D88" s="453">
        <v>0</v>
      </c>
      <c r="E88" s="453">
        <v>465.78</v>
      </c>
      <c r="F88" s="453">
        <f>D88*E88</f>
        <v>0</v>
      </c>
      <c r="G88" s="463"/>
      <c r="H88" s="463"/>
      <c r="I88" s="463"/>
      <c r="J88" s="463"/>
      <c r="K88" s="463"/>
      <c r="L88" s="424">
        <f t="shared" si="29"/>
        <v>0</v>
      </c>
      <c r="M88" s="447">
        <f t="shared" si="27"/>
        <v>0</v>
      </c>
      <c r="N88" s="452"/>
    </row>
    <row r="89" spans="2:14" s="451" customFormat="1" hidden="1">
      <c r="B89" s="462" t="s">
        <v>146</v>
      </c>
      <c r="C89" s="461" t="s">
        <v>149</v>
      </c>
      <c r="D89" s="453">
        <v>0</v>
      </c>
      <c r="E89" s="453">
        <v>540.86</v>
      </c>
      <c r="F89" s="453">
        <f>D89*E89</f>
        <v>0</v>
      </c>
      <c r="G89" s="463"/>
      <c r="H89" s="463"/>
      <c r="I89" s="463"/>
      <c r="J89" s="463"/>
      <c r="K89" s="463"/>
      <c r="L89" s="424">
        <f t="shared" si="29"/>
        <v>0</v>
      </c>
      <c r="M89" s="447">
        <f t="shared" si="27"/>
        <v>0</v>
      </c>
      <c r="N89" s="452"/>
    </row>
    <row r="90" spans="2:14" s="451" customFormat="1" hidden="1">
      <c r="B90" s="462" t="s">
        <v>146</v>
      </c>
      <c r="C90" s="461" t="s">
        <v>150</v>
      </c>
      <c r="D90" s="453">
        <v>0</v>
      </c>
      <c r="E90" s="453">
        <v>0.68</v>
      </c>
      <c r="F90" s="453">
        <f>D90*E90</f>
        <v>0</v>
      </c>
      <c r="G90" s="463"/>
      <c r="H90" s="463"/>
      <c r="I90" s="463"/>
      <c r="J90" s="463"/>
      <c r="K90" s="463"/>
      <c r="L90" s="424">
        <f t="shared" si="29"/>
        <v>0</v>
      </c>
      <c r="M90" s="447">
        <f t="shared" si="27"/>
        <v>0</v>
      </c>
      <c r="N90" s="452"/>
    </row>
    <row r="91" spans="2:14" s="451" customFormat="1" hidden="1">
      <c r="B91" s="469" t="s">
        <v>151</v>
      </c>
      <c r="C91" s="468" t="s">
        <v>152</v>
      </c>
      <c r="D91" s="458">
        <v>0</v>
      </c>
      <c r="E91" s="447"/>
      <c r="F91" s="467">
        <f t="shared" ref="F91:K91" si="30">SUM(F92:F94)</f>
        <v>0</v>
      </c>
      <c r="G91" s="467">
        <f t="shared" si="30"/>
        <v>0</v>
      </c>
      <c r="H91" s="467">
        <f t="shared" si="30"/>
        <v>0</v>
      </c>
      <c r="I91" s="467">
        <f t="shared" si="30"/>
        <v>0</v>
      </c>
      <c r="J91" s="467">
        <f t="shared" si="30"/>
        <v>0</v>
      </c>
      <c r="K91" s="467">
        <f t="shared" si="30"/>
        <v>0</v>
      </c>
      <c r="L91" s="424">
        <f t="shared" si="29"/>
        <v>0</v>
      </c>
      <c r="M91" s="447">
        <f t="shared" si="27"/>
        <v>0</v>
      </c>
      <c r="N91" s="452"/>
    </row>
    <row r="92" spans="2:14" s="451" customFormat="1" hidden="1">
      <c r="B92" s="462" t="s">
        <v>151</v>
      </c>
      <c r="C92" s="461" t="s">
        <v>388</v>
      </c>
      <c r="D92" s="453">
        <v>0</v>
      </c>
      <c r="E92" s="453">
        <v>5.58</v>
      </c>
      <c r="F92" s="453">
        <f>D92*E92</f>
        <v>0</v>
      </c>
      <c r="G92" s="453"/>
      <c r="H92" s="453"/>
      <c r="I92" s="453"/>
      <c r="J92" s="453"/>
      <c r="K92" s="453"/>
      <c r="L92" s="424">
        <f t="shared" si="29"/>
        <v>0</v>
      </c>
      <c r="M92" s="447">
        <f t="shared" si="27"/>
        <v>0</v>
      </c>
      <c r="N92" s="452"/>
    </row>
    <row r="93" spans="2:14" s="451" customFormat="1" hidden="1">
      <c r="B93" s="462" t="s">
        <v>151</v>
      </c>
      <c r="C93" s="461" t="s">
        <v>387</v>
      </c>
      <c r="D93" s="453">
        <v>0</v>
      </c>
      <c r="E93" s="453">
        <v>5.58</v>
      </c>
      <c r="F93" s="453">
        <f>D93*E93</f>
        <v>0</v>
      </c>
      <c r="G93" s="453"/>
      <c r="H93" s="453"/>
      <c r="I93" s="453"/>
      <c r="J93" s="453"/>
      <c r="K93" s="453"/>
      <c r="L93" s="424">
        <f t="shared" si="29"/>
        <v>0</v>
      </c>
      <c r="M93" s="447">
        <f t="shared" si="27"/>
        <v>0</v>
      </c>
      <c r="N93" s="452"/>
    </row>
    <row r="94" spans="2:14" s="451" customFormat="1" hidden="1">
      <c r="B94" s="462" t="s">
        <v>151</v>
      </c>
      <c r="C94" s="461" t="s">
        <v>386</v>
      </c>
      <c r="D94" s="453">
        <v>0</v>
      </c>
      <c r="E94" s="453">
        <v>5.58</v>
      </c>
      <c r="F94" s="453">
        <f>D94*E94</f>
        <v>0</v>
      </c>
      <c r="G94" s="453"/>
      <c r="H94" s="453"/>
      <c r="I94" s="453"/>
      <c r="J94" s="453"/>
      <c r="K94" s="453"/>
      <c r="L94" s="424">
        <f t="shared" si="29"/>
        <v>0</v>
      </c>
      <c r="M94" s="447">
        <f t="shared" si="27"/>
        <v>0</v>
      </c>
      <c r="N94" s="452"/>
    </row>
    <row r="95" spans="2:14" s="451" customFormat="1" hidden="1">
      <c r="B95" s="469" t="s">
        <v>153</v>
      </c>
      <c r="C95" s="468" t="s">
        <v>385</v>
      </c>
      <c r="D95" s="458">
        <v>0</v>
      </c>
      <c r="E95" s="447"/>
      <c r="F95" s="467">
        <f t="shared" ref="F95:K95" si="31">SUM(F96:F99)</f>
        <v>0</v>
      </c>
      <c r="G95" s="467">
        <f t="shared" si="31"/>
        <v>0</v>
      </c>
      <c r="H95" s="467">
        <f t="shared" si="31"/>
        <v>0</v>
      </c>
      <c r="I95" s="467">
        <f t="shared" si="31"/>
        <v>0</v>
      </c>
      <c r="J95" s="467">
        <f t="shared" si="31"/>
        <v>0</v>
      </c>
      <c r="K95" s="467">
        <f t="shared" si="31"/>
        <v>0</v>
      </c>
      <c r="L95" s="424">
        <f t="shared" si="29"/>
        <v>0</v>
      </c>
      <c r="M95" s="447">
        <f t="shared" si="27"/>
        <v>0</v>
      </c>
      <c r="N95" s="452"/>
    </row>
    <row r="96" spans="2:14" s="451" customFormat="1" hidden="1">
      <c r="B96" s="462" t="s">
        <v>153</v>
      </c>
      <c r="C96" s="461" t="s">
        <v>384</v>
      </c>
      <c r="D96" s="453">
        <v>0</v>
      </c>
      <c r="E96" s="453">
        <v>9153.2999999999993</v>
      </c>
      <c r="F96" s="453">
        <f>D96*E96</f>
        <v>0</v>
      </c>
      <c r="G96" s="463"/>
      <c r="H96" s="453"/>
      <c r="I96" s="453"/>
      <c r="J96" s="453"/>
      <c r="K96" s="453"/>
      <c r="L96" s="424">
        <f t="shared" si="29"/>
        <v>0</v>
      </c>
      <c r="M96" s="447">
        <f t="shared" si="27"/>
        <v>0</v>
      </c>
      <c r="N96" s="452"/>
    </row>
    <row r="97" spans="2:14" s="451" customFormat="1" hidden="1">
      <c r="B97" s="462" t="s">
        <v>153</v>
      </c>
      <c r="C97" s="461" t="s">
        <v>383</v>
      </c>
      <c r="D97" s="453">
        <v>0</v>
      </c>
      <c r="E97" s="453">
        <v>1762.86</v>
      </c>
      <c r="F97" s="453">
        <f>D97*E97</f>
        <v>0</v>
      </c>
      <c r="G97" s="463"/>
      <c r="H97" s="463"/>
      <c r="I97" s="463"/>
      <c r="J97" s="463"/>
      <c r="K97" s="463"/>
      <c r="L97" s="424">
        <f t="shared" si="29"/>
        <v>0</v>
      </c>
      <c r="M97" s="447">
        <f t="shared" si="27"/>
        <v>0</v>
      </c>
      <c r="N97" s="452"/>
    </row>
    <row r="98" spans="2:14" s="451" customFormat="1" hidden="1">
      <c r="B98" s="462" t="s">
        <v>153</v>
      </c>
      <c r="C98" s="461" t="s">
        <v>382</v>
      </c>
      <c r="D98" s="453">
        <v>0</v>
      </c>
      <c r="E98" s="453">
        <v>644.89</v>
      </c>
      <c r="F98" s="453">
        <f>D98*E98</f>
        <v>0</v>
      </c>
      <c r="G98" s="453"/>
      <c r="H98" s="463"/>
      <c r="I98" s="463"/>
      <c r="J98" s="463"/>
      <c r="K98" s="463"/>
      <c r="L98" s="424">
        <f t="shared" si="29"/>
        <v>0</v>
      </c>
      <c r="M98" s="447">
        <f t="shared" si="27"/>
        <v>0</v>
      </c>
      <c r="N98" s="452"/>
    </row>
    <row r="99" spans="2:14" s="451" customFormat="1" hidden="1">
      <c r="B99" s="462" t="s">
        <v>153</v>
      </c>
      <c r="C99" s="461" t="s">
        <v>381</v>
      </c>
      <c r="D99" s="453">
        <v>0</v>
      </c>
      <c r="E99" s="453">
        <v>4216.37</v>
      </c>
      <c r="F99" s="453">
        <f>D99*E99</f>
        <v>0</v>
      </c>
      <c r="G99" s="463"/>
      <c r="H99" s="463"/>
      <c r="I99" s="463"/>
      <c r="J99" s="463"/>
      <c r="K99" s="463"/>
      <c r="L99" s="424">
        <f t="shared" si="29"/>
        <v>0</v>
      </c>
      <c r="M99" s="447">
        <f t="shared" si="27"/>
        <v>0</v>
      </c>
      <c r="N99" s="452"/>
    </row>
    <row r="100" spans="2:14" s="451" customFormat="1" hidden="1">
      <c r="B100" s="466" t="s">
        <v>154</v>
      </c>
      <c r="C100" s="465" t="s">
        <v>155</v>
      </c>
      <c r="D100" s="458">
        <v>0</v>
      </c>
      <c r="E100" s="447"/>
      <c r="F100" s="464">
        <f t="shared" ref="F100:K100" si="32">F101+F103+F105+F107+F110+F112+F114</f>
        <v>0</v>
      </c>
      <c r="G100" s="464">
        <f t="shared" si="32"/>
        <v>0</v>
      </c>
      <c r="H100" s="464">
        <f t="shared" si="32"/>
        <v>0</v>
      </c>
      <c r="I100" s="464">
        <f t="shared" si="32"/>
        <v>0</v>
      </c>
      <c r="J100" s="464">
        <f t="shared" si="32"/>
        <v>0</v>
      </c>
      <c r="K100" s="464">
        <f t="shared" si="32"/>
        <v>0</v>
      </c>
      <c r="L100" s="424">
        <f t="shared" si="29"/>
        <v>0</v>
      </c>
      <c r="M100" s="447">
        <f t="shared" si="27"/>
        <v>0</v>
      </c>
      <c r="N100" s="452"/>
    </row>
    <row r="101" spans="2:14" s="451" customFormat="1" hidden="1">
      <c r="B101" s="469" t="s">
        <v>156</v>
      </c>
      <c r="C101" s="468" t="s">
        <v>157</v>
      </c>
      <c r="D101" s="458">
        <v>0</v>
      </c>
      <c r="E101" s="447"/>
      <c r="F101" s="467">
        <f t="shared" ref="F101:K101" si="33">SUM(F102)</f>
        <v>0</v>
      </c>
      <c r="G101" s="467">
        <f t="shared" si="33"/>
        <v>0</v>
      </c>
      <c r="H101" s="467">
        <f t="shared" si="33"/>
        <v>0</v>
      </c>
      <c r="I101" s="467">
        <f t="shared" si="33"/>
        <v>0</v>
      </c>
      <c r="J101" s="467">
        <f t="shared" si="33"/>
        <v>0</v>
      </c>
      <c r="K101" s="467">
        <f t="shared" si="33"/>
        <v>0</v>
      </c>
      <c r="L101" s="424">
        <f t="shared" si="29"/>
        <v>0</v>
      </c>
      <c r="M101" s="447">
        <f t="shared" si="27"/>
        <v>0</v>
      </c>
      <c r="N101" s="452"/>
    </row>
    <row r="102" spans="2:14" s="451" customFormat="1" hidden="1">
      <c r="B102" s="462" t="s">
        <v>156</v>
      </c>
      <c r="C102" s="461" t="s">
        <v>380</v>
      </c>
      <c r="D102" s="453">
        <v>0</v>
      </c>
      <c r="E102" s="453">
        <v>21.2</v>
      </c>
      <c r="F102" s="453">
        <f>D102*E102</f>
        <v>0</v>
      </c>
      <c r="G102" s="463"/>
      <c r="H102" s="463"/>
      <c r="I102" s="463"/>
      <c r="J102" s="463"/>
      <c r="K102" s="463"/>
      <c r="L102" s="424">
        <f t="shared" si="29"/>
        <v>0</v>
      </c>
      <c r="M102" s="447">
        <f t="shared" si="27"/>
        <v>0</v>
      </c>
      <c r="N102" s="452"/>
    </row>
    <row r="103" spans="2:14" s="451" customFormat="1" hidden="1">
      <c r="B103" s="469" t="s">
        <v>158</v>
      </c>
      <c r="C103" s="468" t="s">
        <v>159</v>
      </c>
      <c r="D103" s="458">
        <v>0</v>
      </c>
      <c r="E103" s="447"/>
      <c r="F103" s="467">
        <f t="shared" ref="F103:K103" si="34">SUM(F104)</f>
        <v>0</v>
      </c>
      <c r="G103" s="467">
        <f t="shared" si="34"/>
        <v>0</v>
      </c>
      <c r="H103" s="467">
        <f t="shared" si="34"/>
        <v>0</v>
      </c>
      <c r="I103" s="467">
        <f t="shared" si="34"/>
        <v>0</v>
      </c>
      <c r="J103" s="467">
        <f t="shared" si="34"/>
        <v>0</v>
      </c>
      <c r="K103" s="467">
        <f t="shared" si="34"/>
        <v>0</v>
      </c>
      <c r="L103" s="424">
        <f t="shared" si="29"/>
        <v>0</v>
      </c>
      <c r="M103" s="447">
        <f t="shared" si="27"/>
        <v>0</v>
      </c>
      <c r="N103" s="452"/>
    </row>
    <row r="104" spans="2:14" s="451" customFormat="1" hidden="1">
      <c r="B104" s="462" t="s">
        <v>158</v>
      </c>
      <c r="C104" s="461" t="s">
        <v>379</v>
      </c>
      <c r="D104" s="453">
        <v>0</v>
      </c>
      <c r="E104" s="453">
        <v>430.6</v>
      </c>
      <c r="F104" s="453">
        <f>D104*E104</f>
        <v>0</v>
      </c>
      <c r="G104" s="463"/>
      <c r="H104" s="463"/>
      <c r="I104" s="463"/>
      <c r="J104" s="463"/>
      <c r="K104" s="463"/>
      <c r="L104" s="424">
        <f t="shared" si="29"/>
        <v>0</v>
      </c>
      <c r="M104" s="447">
        <f t="shared" si="27"/>
        <v>0</v>
      </c>
      <c r="N104" s="452"/>
    </row>
    <row r="105" spans="2:14" s="451" customFormat="1" hidden="1">
      <c r="B105" s="469" t="s">
        <v>160</v>
      </c>
      <c r="C105" s="468" t="s">
        <v>161</v>
      </c>
      <c r="D105" s="458">
        <v>0</v>
      </c>
      <c r="E105" s="447"/>
      <c r="F105" s="467">
        <f t="shared" ref="F105:K105" si="35">SUM(F106)</f>
        <v>0</v>
      </c>
      <c r="G105" s="467">
        <f t="shared" si="35"/>
        <v>0</v>
      </c>
      <c r="H105" s="467">
        <f t="shared" si="35"/>
        <v>0</v>
      </c>
      <c r="I105" s="467">
        <f t="shared" si="35"/>
        <v>0</v>
      </c>
      <c r="J105" s="467">
        <f t="shared" si="35"/>
        <v>0</v>
      </c>
      <c r="K105" s="467">
        <f t="shared" si="35"/>
        <v>0</v>
      </c>
      <c r="L105" s="424">
        <f t="shared" si="29"/>
        <v>0</v>
      </c>
      <c r="M105" s="447">
        <f t="shared" si="27"/>
        <v>0</v>
      </c>
      <c r="N105" s="452"/>
    </row>
    <row r="106" spans="2:14" s="451" customFormat="1" hidden="1">
      <c r="B106" s="462" t="s">
        <v>160</v>
      </c>
      <c r="C106" s="461" t="s">
        <v>378</v>
      </c>
      <c r="D106" s="453">
        <v>0</v>
      </c>
      <c r="E106" s="453">
        <v>22.43</v>
      </c>
      <c r="F106" s="453">
        <f>D106*E106</f>
        <v>0</v>
      </c>
      <c r="G106" s="463"/>
      <c r="H106" s="463"/>
      <c r="I106" s="463"/>
      <c r="J106" s="463"/>
      <c r="K106" s="463"/>
      <c r="L106" s="424">
        <f t="shared" si="29"/>
        <v>0</v>
      </c>
      <c r="M106" s="447">
        <f t="shared" si="27"/>
        <v>0</v>
      </c>
      <c r="N106" s="452"/>
    </row>
    <row r="107" spans="2:14" s="451" customFormat="1" hidden="1">
      <c r="B107" s="469" t="s">
        <v>178</v>
      </c>
      <c r="C107" s="468" t="s">
        <v>179</v>
      </c>
      <c r="D107" s="458">
        <v>0</v>
      </c>
      <c r="E107" s="447"/>
      <c r="F107" s="467">
        <f t="shared" ref="F107:K107" si="36">F108+F109</f>
        <v>0</v>
      </c>
      <c r="G107" s="467">
        <f t="shared" si="36"/>
        <v>0</v>
      </c>
      <c r="H107" s="467">
        <f t="shared" si="36"/>
        <v>0</v>
      </c>
      <c r="I107" s="467">
        <f t="shared" si="36"/>
        <v>0</v>
      </c>
      <c r="J107" s="467">
        <f t="shared" si="36"/>
        <v>0</v>
      </c>
      <c r="K107" s="467">
        <f t="shared" si="36"/>
        <v>0</v>
      </c>
      <c r="L107" s="424">
        <f t="shared" si="29"/>
        <v>0</v>
      </c>
      <c r="M107" s="447">
        <f t="shared" si="27"/>
        <v>0</v>
      </c>
      <c r="N107" s="452"/>
    </row>
    <row r="108" spans="2:14" s="451" customFormat="1" hidden="1">
      <c r="B108" s="462" t="s">
        <v>178</v>
      </c>
      <c r="C108" s="461" t="s">
        <v>377</v>
      </c>
      <c r="D108" s="453">
        <v>0</v>
      </c>
      <c r="E108" s="453">
        <v>5774.64</v>
      </c>
      <c r="F108" s="453">
        <f>D108*E108</f>
        <v>0</v>
      </c>
      <c r="G108" s="463"/>
      <c r="H108" s="463"/>
      <c r="I108" s="453"/>
      <c r="J108" s="453"/>
      <c r="K108" s="453"/>
      <c r="L108" s="424">
        <f t="shared" si="29"/>
        <v>0</v>
      </c>
      <c r="M108" s="447">
        <f t="shared" si="27"/>
        <v>0</v>
      </c>
      <c r="N108" s="452"/>
    </row>
    <row r="109" spans="2:14" s="451" customFormat="1" hidden="1">
      <c r="B109" s="462" t="s">
        <v>178</v>
      </c>
      <c r="C109" s="461" t="s">
        <v>376</v>
      </c>
      <c r="D109" s="453">
        <v>0</v>
      </c>
      <c r="E109" s="453">
        <v>5026.6400000000003</v>
      </c>
      <c r="F109" s="453">
        <f>D109*E109</f>
        <v>0</v>
      </c>
      <c r="G109" s="463"/>
      <c r="H109" s="463"/>
      <c r="I109" s="453"/>
      <c r="J109" s="453"/>
      <c r="K109" s="453"/>
      <c r="L109" s="424">
        <f t="shared" si="29"/>
        <v>0</v>
      </c>
      <c r="M109" s="447">
        <f t="shared" si="27"/>
        <v>0</v>
      </c>
      <c r="N109" s="452"/>
    </row>
    <row r="110" spans="2:14" s="451" customFormat="1" hidden="1">
      <c r="B110" s="469" t="s">
        <v>180</v>
      </c>
      <c r="C110" s="468" t="s">
        <v>181</v>
      </c>
      <c r="D110" s="458">
        <v>0</v>
      </c>
      <c r="E110" s="447"/>
      <c r="F110" s="467">
        <f t="shared" ref="F110:K110" si="37">SUM(F111)</f>
        <v>0</v>
      </c>
      <c r="G110" s="467">
        <f t="shared" si="37"/>
        <v>0</v>
      </c>
      <c r="H110" s="467">
        <f t="shared" si="37"/>
        <v>0</v>
      </c>
      <c r="I110" s="467">
        <f t="shared" si="37"/>
        <v>0</v>
      </c>
      <c r="J110" s="467">
        <f t="shared" si="37"/>
        <v>0</v>
      </c>
      <c r="K110" s="467">
        <f t="shared" si="37"/>
        <v>0</v>
      </c>
      <c r="L110" s="424">
        <f t="shared" si="29"/>
        <v>0</v>
      </c>
      <c r="M110" s="447">
        <f t="shared" si="27"/>
        <v>0</v>
      </c>
      <c r="N110" s="452"/>
    </row>
    <row r="111" spans="2:14" s="451" customFormat="1" hidden="1">
      <c r="B111" s="462" t="s">
        <v>180</v>
      </c>
      <c r="C111" s="461" t="s">
        <v>375</v>
      </c>
      <c r="D111" s="453">
        <v>0</v>
      </c>
      <c r="E111" s="453">
        <v>7178.78</v>
      </c>
      <c r="F111" s="453">
        <f>D111*E111</f>
        <v>0</v>
      </c>
      <c r="G111" s="463"/>
      <c r="H111" s="463"/>
      <c r="I111" s="453"/>
      <c r="J111" s="453"/>
      <c r="K111" s="453"/>
      <c r="L111" s="424">
        <f t="shared" si="29"/>
        <v>0</v>
      </c>
      <c r="M111" s="447">
        <f t="shared" si="27"/>
        <v>0</v>
      </c>
      <c r="N111" s="452"/>
    </row>
    <row r="112" spans="2:14" s="451" customFormat="1" hidden="1">
      <c r="B112" s="469" t="s">
        <v>182</v>
      </c>
      <c r="C112" s="468" t="s">
        <v>183</v>
      </c>
      <c r="D112" s="458">
        <v>0</v>
      </c>
      <c r="E112" s="447"/>
      <c r="F112" s="467">
        <f>SUM(F113)</f>
        <v>0</v>
      </c>
      <c r="G112" s="447"/>
      <c r="H112" s="447"/>
      <c r="I112" s="467"/>
      <c r="J112" s="467"/>
      <c r="K112" s="467"/>
      <c r="L112" s="424">
        <f t="shared" si="29"/>
        <v>0</v>
      </c>
      <c r="M112" s="447">
        <f t="shared" si="27"/>
        <v>0</v>
      </c>
      <c r="N112" s="452"/>
    </row>
    <row r="113" spans="2:14" s="451" customFormat="1" hidden="1">
      <c r="B113" s="462" t="s">
        <v>182</v>
      </c>
      <c r="C113" s="461" t="s">
        <v>374</v>
      </c>
      <c r="D113" s="453">
        <v>0</v>
      </c>
      <c r="E113" s="453">
        <v>419.59</v>
      </c>
      <c r="F113" s="453">
        <f>D113*E113</f>
        <v>0</v>
      </c>
      <c r="G113" s="463"/>
      <c r="H113" s="463"/>
      <c r="I113" s="453"/>
      <c r="J113" s="453"/>
      <c r="K113" s="453"/>
      <c r="L113" s="424">
        <f t="shared" si="29"/>
        <v>0</v>
      </c>
      <c r="M113" s="447">
        <f t="shared" si="27"/>
        <v>0</v>
      </c>
      <c r="N113" s="452"/>
    </row>
    <row r="114" spans="2:14" s="451" customFormat="1" hidden="1">
      <c r="B114" s="469" t="s">
        <v>184</v>
      </c>
      <c r="C114" s="468" t="s">
        <v>185</v>
      </c>
      <c r="D114" s="458">
        <v>0</v>
      </c>
      <c r="E114" s="447"/>
      <c r="F114" s="467">
        <f t="shared" ref="F114:K114" si="38">SUM(F115:F118)</f>
        <v>0</v>
      </c>
      <c r="G114" s="467">
        <f t="shared" si="38"/>
        <v>0</v>
      </c>
      <c r="H114" s="467">
        <f t="shared" si="38"/>
        <v>0</v>
      </c>
      <c r="I114" s="467">
        <f t="shared" si="38"/>
        <v>0</v>
      </c>
      <c r="J114" s="467">
        <f t="shared" si="38"/>
        <v>0</v>
      </c>
      <c r="K114" s="467">
        <f t="shared" si="38"/>
        <v>0</v>
      </c>
      <c r="L114" s="424">
        <f t="shared" si="29"/>
        <v>0</v>
      </c>
      <c r="M114" s="447">
        <f t="shared" si="27"/>
        <v>0</v>
      </c>
      <c r="N114" s="452"/>
    </row>
    <row r="115" spans="2:14" s="451" customFormat="1" hidden="1">
      <c r="B115" s="462" t="s">
        <v>184</v>
      </c>
      <c r="C115" s="461" t="s">
        <v>373</v>
      </c>
      <c r="D115" s="453">
        <v>0</v>
      </c>
      <c r="E115" s="453">
        <v>5.58</v>
      </c>
      <c r="F115" s="453">
        <f>D115*E115</f>
        <v>0</v>
      </c>
      <c r="G115" s="463"/>
      <c r="H115" s="463"/>
      <c r="I115" s="463"/>
      <c r="J115" s="463"/>
      <c r="K115" s="463"/>
      <c r="L115" s="424">
        <f t="shared" si="29"/>
        <v>0</v>
      </c>
      <c r="M115" s="447">
        <f t="shared" si="27"/>
        <v>0</v>
      </c>
      <c r="N115" s="452"/>
    </row>
    <row r="116" spans="2:14" s="451" customFormat="1" hidden="1">
      <c r="B116" s="462" t="s">
        <v>184</v>
      </c>
      <c r="C116" s="461" t="s">
        <v>372</v>
      </c>
      <c r="D116" s="453">
        <v>0</v>
      </c>
      <c r="E116" s="453">
        <v>65.95</v>
      </c>
      <c r="F116" s="453">
        <f>D116*E116</f>
        <v>0</v>
      </c>
      <c r="G116" s="463"/>
      <c r="H116" s="463"/>
      <c r="I116" s="463"/>
      <c r="J116" s="463"/>
      <c r="K116" s="463"/>
      <c r="L116" s="424">
        <f t="shared" si="29"/>
        <v>0</v>
      </c>
      <c r="M116" s="447">
        <f t="shared" si="27"/>
        <v>0</v>
      </c>
      <c r="N116" s="452"/>
    </row>
    <row r="117" spans="2:14" s="451" customFormat="1" hidden="1">
      <c r="B117" s="462" t="s">
        <v>184</v>
      </c>
      <c r="C117" s="461" t="s">
        <v>148</v>
      </c>
      <c r="D117" s="453">
        <v>0</v>
      </c>
      <c r="E117" s="453">
        <v>465.78</v>
      </c>
      <c r="F117" s="453">
        <f>D117*E117</f>
        <v>0</v>
      </c>
      <c r="G117" s="463"/>
      <c r="H117" s="463"/>
      <c r="I117" s="463"/>
      <c r="J117" s="463"/>
      <c r="K117" s="463"/>
      <c r="L117" s="424">
        <f t="shared" si="29"/>
        <v>0</v>
      </c>
      <c r="M117" s="447">
        <f t="shared" si="27"/>
        <v>0</v>
      </c>
      <c r="N117" s="452"/>
    </row>
    <row r="118" spans="2:14" s="451" customFormat="1" hidden="1">
      <c r="B118" s="462" t="s">
        <v>184</v>
      </c>
      <c r="C118" s="461" t="s">
        <v>150</v>
      </c>
      <c r="D118" s="453">
        <v>0</v>
      </c>
      <c r="E118" s="453">
        <v>0.68</v>
      </c>
      <c r="F118" s="453">
        <f>D118*E118</f>
        <v>0</v>
      </c>
      <c r="G118" s="463"/>
      <c r="H118" s="463"/>
      <c r="I118" s="463"/>
      <c r="J118" s="463"/>
      <c r="K118" s="463"/>
      <c r="L118" s="424">
        <f t="shared" si="29"/>
        <v>0</v>
      </c>
      <c r="M118" s="447">
        <f t="shared" si="27"/>
        <v>0</v>
      </c>
      <c r="N118" s="452"/>
    </row>
    <row r="119" spans="2:14" s="451" customFormat="1">
      <c r="B119" s="460" t="s">
        <v>186</v>
      </c>
      <c r="C119" s="459" t="s">
        <v>187</v>
      </c>
      <c r="D119" s="458"/>
      <c r="E119" s="447"/>
      <c r="F119" s="457">
        <f t="shared" ref="F119:K119" si="39">SUM(F120:F126)</f>
        <v>15376.7</v>
      </c>
      <c r="G119" s="457">
        <f t="shared" si="39"/>
        <v>0</v>
      </c>
      <c r="H119" s="457">
        <f t="shared" si="39"/>
        <v>0</v>
      </c>
      <c r="I119" s="457">
        <f t="shared" si="39"/>
        <v>15376.7</v>
      </c>
      <c r="J119" s="457">
        <f t="shared" si="39"/>
        <v>0</v>
      </c>
      <c r="K119" s="457">
        <f t="shared" si="39"/>
        <v>0</v>
      </c>
      <c r="L119" s="424">
        <f t="shared" si="29"/>
        <v>15376.7</v>
      </c>
      <c r="M119" s="447">
        <f t="shared" si="27"/>
        <v>0</v>
      </c>
      <c r="N119" s="452"/>
    </row>
    <row r="120" spans="2:14" s="451" customFormat="1">
      <c r="B120" s="462" t="s">
        <v>186</v>
      </c>
      <c r="C120" s="461" t="s">
        <v>371</v>
      </c>
      <c r="D120" s="453">
        <f>[16]VAL.PRINC!N112</f>
        <v>1</v>
      </c>
      <c r="E120" s="453">
        <v>450</v>
      </c>
      <c r="F120" s="453">
        <f t="shared" ref="F120:F126" si="40">D120*E120</f>
        <v>450</v>
      </c>
      <c r="G120" s="453"/>
      <c r="H120" s="453"/>
      <c r="I120" s="453">
        <f t="shared" ref="I120:K126" si="41">F120</f>
        <v>450</v>
      </c>
      <c r="J120" s="453">
        <f t="shared" si="41"/>
        <v>0</v>
      </c>
      <c r="K120" s="453">
        <f t="shared" si="41"/>
        <v>0</v>
      </c>
      <c r="L120" s="424">
        <f t="shared" si="29"/>
        <v>450</v>
      </c>
      <c r="M120" s="447">
        <f t="shared" si="27"/>
        <v>0</v>
      </c>
      <c r="N120" s="452"/>
    </row>
    <row r="121" spans="2:14" s="451" customFormat="1">
      <c r="B121" s="462" t="s">
        <v>186</v>
      </c>
      <c r="C121" s="461" t="s">
        <v>370</v>
      </c>
      <c r="D121" s="453">
        <f>[16]VAL.PRINC!N113</f>
        <v>40</v>
      </c>
      <c r="E121" s="453">
        <v>24.03</v>
      </c>
      <c r="F121" s="453">
        <f t="shared" si="40"/>
        <v>961.2</v>
      </c>
      <c r="G121" s="463"/>
      <c r="H121" s="453"/>
      <c r="I121" s="453">
        <f t="shared" si="41"/>
        <v>961.2</v>
      </c>
      <c r="J121" s="453">
        <f t="shared" si="41"/>
        <v>0</v>
      </c>
      <c r="K121" s="453">
        <f t="shared" si="41"/>
        <v>0</v>
      </c>
      <c r="L121" s="424">
        <f t="shared" si="29"/>
        <v>961.2</v>
      </c>
      <c r="M121" s="447">
        <f t="shared" si="27"/>
        <v>0</v>
      </c>
      <c r="N121" s="452"/>
    </row>
    <row r="122" spans="2:14" s="451" customFormat="1">
      <c r="B122" s="462" t="s">
        <v>186</v>
      </c>
      <c r="C122" s="461" t="s">
        <v>369</v>
      </c>
      <c r="D122" s="453">
        <f>[16]VAL.PRINC!N114</f>
        <v>40</v>
      </c>
      <c r="E122" s="453">
        <v>80</v>
      </c>
      <c r="F122" s="453">
        <f t="shared" si="40"/>
        <v>3200</v>
      </c>
      <c r="G122" s="463"/>
      <c r="H122" s="463"/>
      <c r="I122" s="453">
        <f t="shared" si="41"/>
        <v>3200</v>
      </c>
      <c r="J122" s="453">
        <f t="shared" si="41"/>
        <v>0</v>
      </c>
      <c r="K122" s="453">
        <f t="shared" si="41"/>
        <v>0</v>
      </c>
      <c r="L122" s="424">
        <f t="shared" si="29"/>
        <v>3200</v>
      </c>
      <c r="M122" s="447">
        <f t="shared" si="27"/>
        <v>0</v>
      </c>
      <c r="N122" s="452"/>
    </row>
    <row r="123" spans="2:14" s="451" customFormat="1">
      <c r="B123" s="462" t="s">
        <v>186</v>
      </c>
      <c r="C123" s="461" t="s">
        <v>368</v>
      </c>
      <c r="D123" s="453">
        <f>[16]VAL.PRINC!N115</f>
        <v>10</v>
      </c>
      <c r="E123" s="453">
        <v>250</v>
      </c>
      <c r="F123" s="453">
        <f t="shared" si="40"/>
        <v>2500</v>
      </c>
      <c r="G123" s="463"/>
      <c r="H123" s="463"/>
      <c r="I123" s="453">
        <f t="shared" si="41"/>
        <v>2500</v>
      </c>
      <c r="J123" s="453">
        <f t="shared" si="41"/>
        <v>0</v>
      </c>
      <c r="K123" s="453">
        <f t="shared" si="41"/>
        <v>0</v>
      </c>
      <c r="L123" s="424">
        <f t="shared" si="29"/>
        <v>2500</v>
      </c>
      <c r="M123" s="447">
        <f t="shared" si="27"/>
        <v>0</v>
      </c>
      <c r="N123" s="452"/>
    </row>
    <row r="124" spans="2:14" s="451" customFormat="1">
      <c r="B124" s="462" t="s">
        <v>186</v>
      </c>
      <c r="C124" s="461" t="s">
        <v>367</v>
      </c>
      <c r="D124" s="453">
        <f>[16]VAL.PRINC!N116</f>
        <v>14</v>
      </c>
      <c r="E124" s="453">
        <v>250</v>
      </c>
      <c r="F124" s="453">
        <f t="shared" si="40"/>
        <v>3500</v>
      </c>
      <c r="G124" s="463"/>
      <c r="H124" s="463"/>
      <c r="I124" s="453">
        <f t="shared" si="41"/>
        <v>3500</v>
      </c>
      <c r="J124" s="453">
        <f t="shared" si="41"/>
        <v>0</v>
      </c>
      <c r="K124" s="453">
        <f t="shared" si="41"/>
        <v>0</v>
      </c>
      <c r="L124" s="424">
        <f t="shared" si="29"/>
        <v>3500</v>
      </c>
      <c r="M124" s="447">
        <f t="shared" si="27"/>
        <v>0</v>
      </c>
      <c r="N124" s="452"/>
    </row>
    <row r="125" spans="2:14" s="451" customFormat="1">
      <c r="B125" s="462" t="s">
        <v>186</v>
      </c>
      <c r="C125" s="461" t="s">
        <v>366</v>
      </c>
      <c r="D125" s="453">
        <f>[16]VAL.PRINC!N117</f>
        <v>1</v>
      </c>
      <c r="E125" s="453">
        <v>4222.3500000000004</v>
      </c>
      <c r="F125" s="453">
        <f t="shared" si="40"/>
        <v>4222.3500000000004</v>
      </c>
      <c r="G125" s="463"/>
      <c r="H125" s="463"/>
      <c r="I125" s="453">
        <f t="shared" si="41"/>
        <v>4222.3500000000004</v>
      </c>
      <c r="J125" s="453">
        <f t="shared" si="41"/>
        <v>0</v>
      </c>
      <c r="K125" s="453">
        <f t="shared" si="41"/>
        <v>0</v>
      </c>
      <c r="L125" s="424">
        <f t="shared" si="29"/>
        <v>4222.3500000000004</v>
      </c>
      <c r="M125" s="447">
        <f t="shared" si="27"/>
        <v>0</v>
      </c>
      <c r="N125" s="452"/>
    </row>
    <row r="126" spans="2:14" s="451" customFormat="1">
      <c r="B126" s="462" t="s">
        <v>186</v>
      </c>
      <c r="C126" s="461" t="s">
        <v>365</v>
      </c>
      <c r="D126" s="453">
        <f>[16]VAL.PRINC!N118</f>
        <v>1</v>
      </c>
      <c r="E126" s="453">
        <v>543.15</v>
      </c>
      <c r="F126" s="453">
        <f t="shared" si="40"/>
        <v>543.15</v>
      </c>
      <c r="G126" s="463"/>
      <c r="H126" s="463"/>
      <c r="I126" s="453">
        <f t="shared" si="41"/>
        <v>543.15</v>
      </c>
      <c r="J126" s="453">
        <f t="shared" si="41"/>
        <v>0</v>
      </c>
      <c r="K126" s="453">
        <f t="shared" si="41"/>
        <v>0</v>
      </c>
      <c r="L126" s="424">
        <f t="shared" si="29"/>
        <v>543.15</v>
      </c>
      <c r="M126" s="447">
        <f t="shared" si="27"/>
        <v>0</v>
      </c>
      <c r="N126" s="452"/>
    </row>
    <row r="127" spans="2:14" s="451" customFormat="1">
      <c r="B127" s="460" t="s">
        <v>188</v>
      </c>
      <c r="C127" s="459" t="s">
        <v>189</v>
      </c>
      <c r="D127" s="458"/>
      <c r="E127" s="447"/>
      <c r="F127" s="457">
        <f t="shared" ref="F127:K127" si="42">SUM(F128:F131)</f>
        <v>66102.7</v>
      </c>
      <c r="G127" s="457">
        <f t="shared" si="42"/>
        <v>0</v>
      </c>
      <c r="H127" s="457">
        <f t="shared" si="42"/>
        <v>0</v>
      </c>
      <c r="I127" s="457">
        <f t="shared" si="42"/>
        <v>33051.35</v>
      </c>
      <c r="J127" s="457">
        <f t="shared" si="42"/>
        <v>33051.35</v>
      </c>
      <c r="K127" s="457">
        <f t="shared" si="42"/>
        <v>33055.35</v>
      </c>
      <c r="L127" s="424">
        <f>SUM(G127:J127)</f>
        <v>66102.7</v>
      </c>
      <c r="M127" s="447">
        <f t="shared" si="27"/>
        <v>0</v>
      </c>
      <c r="N127" s="452"/>
    </row>
    <row r="128" spans="2:14" s="451" customFormat="1">
      <c r="B128" s="462" t="s">
        <v>188</v>
      </c>
      <c r="C128" s="461" t="s">
        <v>190</v>
      </c>
      <c r="D128" s="453">
        <f>[16]VAL.PRINC!N120</f>
        <v>26</v>
      </c>
      <c r="E128" s="453">
        <v>527.94000000000005</v>
      </c>
      <c r="F128" s="453">
        <f>D128*E128</f>
        <v>13726.440000000002</v>
      </c>
      <c r="G128" s="463"/>
      <c r="H128" s="463"/>
      <c r="I128" s="453">
        <v>6863.2200000000012</v>
      </c>
      <c r="J128" s="453">
        <v>6863.2200000000012</v>
      </c>
      <c r="K128" s="453">
        <v>6864.22</v>
      </c>
      <c r="L128" s="424">
        <f t="shared" si="29"/>
        <v>13726.440000000002</v>
      </c>
      <c r="M128" s="447">
        <f t="shared" si="27"/>
        <v>0</v>
      </c>
      <c r="N128" s="452"/>
    </row>
    <row r="129" spans="2:14" s="451" customFormat="1">
      <c r="B129" s="462" t="s">
        <v>188</v>
      </c>
      <c r="C129" s="461" t="s">
        <v>191</v>
      </c>
      <c r="D129" s="453">
        <f>[16]VAL.PRINC!N121</f>
        <v>6</v>
      </c>
      <c r="E129" s="453">
        <v>800.31</v>
      </c>
      <c r="F129" s="453">
        <f>D129*E129</f>
        <v>4801.8599999999997</v>
      </c>
      <c r="G129" s="463"/>
      <c r="H129" s="463"/>
      <c r="I129" s="453">
        <v>2400.9299999999998</v>
      </c>
      <c r="J129" s="453">
        <v>2400.9299999999998</v>
      </c>
      <c r="K129" s="453">
        <v>2401.9299999999998</v>
      </c>
      <c r="L129" s="424">
        <f t="shared" si="29"/>
        <v>4801.8599999999997</v>
      </c>
      <c r="M129" s="447">
        <f t="shared" si="27"/>
        <v>0</v>
      </c>
      <c r="N129" s="452"/>
    </row>
    <row r="130" spans="2:14" s="451" customFormat="1">
      <c r="B130" s="462" t="s">
        <v>188</v>
      </c>
      <c r="C130" s="461" t="s">
        <v>192</v>
      </c>
      <c r="D130" s="453">
        <f>[16]VAL.PRINC!N122</f>
        <v>32</v>
      </c>
      <c r="E130" s="453">
        <v>1422.74</v>
      </c>
      <c r="F130" s="453">
        <f>D130*E130</f>
        <v>45527.68</v>
      </c>
      <c r="G130" s="463"/>
      <c r="H130" s="463"/>
      <c r="I130" s="453">
        <v>22763.84</v>
      </c>
      <c r="J130" s="453">
        <v>22763.84</v>
      </c>
      <c r="K130" s="453">
        <v>22764.84</v>
      </c>
      <c r="L130" s="424">
        <f t="shared" si="29"/>
        <v>45527.68</v>
      </c>
      <c r="M130" s="447">
        <f t="shared" si="27"/>
        <v>0</v>
      </c>
      <c r="N130" s="452"/>
    </row>
    <row r="131" spans="2:14" s="451" customFormat="1">
      <c r="B131" s="462" t="s">
        <v>188</v>
      </c>
      <c r="C131" s="461" t="s">
        <v>193</v>
      </c>
      <c r="D131" s="453">
        <f>[16]VAL.PRINC!N123</f>
        <v>13</v>
      </c>
      <c r="E131" s="453">
        <v>157.44</v>
      </c>
      <c r="F131" s="453">
        <f>D131*E131</f>
        <v>2046.72</v>
      </c>
      <c r="G131" s="463"/>
      <c r="H131" s="463"/>
      <c r="I131" s="453">
        <v>1023.36</v>
      </c>
      <c r="J131" s="453">
        <v>1023.36</v>
      </c>
      <c r="K131" s="453">
        <v>1024.3599999999999</v>
      </c>
      <c r="L131" s="424">
        <f t="shared" si="29"/>
        <v>2046.72</v>
      </c>
      <c r="M131" s="447">
        <f t="shared" si="27"/>
        <v>0</v>
      </c>
      <c r="N131" s="452"/>
    </row>
    <row r="132" spans="2:14" s="451" customFormat="1">
      <c r="B132" s="460" t="s">
        <v>194</v>
      </c>
      <c r="C132" s="459" t="s">
        <v>195</v>
      </c>
      <c r="D132" s="458"/>
      <c r="E132" s="447"/>
      <c r="F132" s="457">
        <f t="shared" ref="F132:K132" si="43">SUM(F133)</f>
        <v>0</v>
      </c>
      <c r="G132" s="457">
        <f t="shared" si="43"/>
        <v>0</v>
      </c>
      <c r="H132" s="457">
        <f t="shared" si="43"/>
        <v>0</v>
      </c>
      <c r="I132" s="457">
        <f t="shared" si="43"/>
        <v>0</v>
      </c>
      <c r="J132" s="457">
        <f t="shared" si="43"/>
        <v>0</v>
      </c>
      <c r="K132" s="457">
        <f t="shared" si="43"/>
        <v>1</v>
      </c>
      <c r="L132" s="424">
        <f t="shared" si="29"/>
        <v>0</v>
      </c>
      <c r="M132" s="447">
        <f t="shared" si="27"/>
        <v>0</v>
      </c>
      <c r="N132" s="452"/>
    </row>
    <row r="133" spans="2:14" s="451" customFormat="1">
      <c r="B133" s="462" t="s">
        <v>194</v>
      </c>
      <c r="C133" s="461" t="s">
        <v>196</v>
      </c>
      <c r="D133" s="453">
        <f>[16]VAL.PRINC!N125</f>
        <v>0</v>
      </c>
      <c r="E133" s="453">
        <v>56946.47</v>
      </c>
      <c r="F133" s="453">
        <f>D133*E133</f>
        <v>0</v>
      </c>
      <c r="G133" s="453">
        <f>F133/5</f>
        <v>0</v>
      </c>
      <c r="H133" s="453">
        <v>0</v>
      </c>
      <c r="I133" s="453">
        <v>0</v>
      </c>
      <c r="J133" s="453">
        <v>0</v>
      </c>
      <c r="K133" s="453">
        <v>1</v>
      </c>
      <c r="L133" s="424">
        <f t="shared" si="29"/>
        <v>0</v>
      </c>
      <c r="M133" s="447">
        <f t="shared" si="27"/>
        <v>0</v>
      </c>
      <c r="N133" s="452"/>
    </row>
    <row r="134" spans="2:14" s="451" customFormat="1">
      <c r="B134" s="460" t="s">
        <v>197</v>
      </c>
      <c r="C134" s="459" t="s">
        <v>198</v>
      </c>
      <c r="D134" s="458"/>
      <c r="E134" s="447"/>
      <c r="F134" s="457">
        <f t="shared" ref="F134:K134" si="44">F135+F142+F146</f>
        <v>75717.239999999991</v>
      </c>
      <c r="G134" s="457">
        <f t="shared" si="44"/>
        <v>0</v>
      </c>
      <c r="H134" s="457">
        <f t="shared" si="44"/>
        <v>13854</v>
      </c>
      <c r="I134" s="457">
        <f t="shared" si="44"/>
        <v>30931.62</v>
      </c>
      <c r="J134" s="457">
        <f t="shared" si="44"/>
        <v>30931.62</v>
      </c>
      <c r="K134" s="457">
        <f t="shared" si="44"/>
        <v>30944.62</v>
      </c>
      <c r="L134" s="424">
        <f>SUM(G134:J134)</f>
        <v>75717.239999999991</v>
      </c>
      <c r="M134" s="447">
        <f t="shared" si="27"/>
        <v>0</v>
      </c>
      <c r="N134" s="452"/>
    </row>
    <row r="135" spans="2:14" s="451" customFormat="1">
      <c r="B135" s="466" t="s">
        <v>199</v>
      </c>
      <c r="C135" s="465" t="s">
        <v>364</v>
      </c>
      <c r="D135" s="458"/>
      <c r="E135" s="447"/>
      <c r="F135" s="464">
        <f>SUM(F136:F141)</f>
        <v>14318.92</v>
      </c>
      <c r="G135" s="447"/>
      <c r="H135" s="464">
        <f>SUM(H136:H141)</f>
        <v>0</v>
      </c>
      <c r="I135" s="464">
        <f>SUM(I136:I141)</f>
        <v>7159.46</v>
      </c>
      <c r="J135" s="464">
        <f>SUM(J136:J141)</f>
        <v>7159.46</v>
      </c>
      <c r="K135" s="464">
        <f>SUM(K136:K141)</f>
        <v>7165.46</v>
      </c>
      <c r="L135" s="424">
        <f t="shared" si="29"/>
        <v>14318.92</v>
      </c>
      <c r="M135" s="447">
        <f t="shared" si="27"/>
        <v>0</v>
      </c>
      <c r="N135" s="452"/>
    </row>
    <row r="136" spans="2:14" s="451" customFormat="1">
      <c r="B136" s="462" t="s">
        <v>199</v>
      </c>
      <c r="C136" s="461" t="s">
        <v>363</v>
      </c>
      <c r="D136" s="453">
        <f>[16]VAL.PRINC!N128</f>
        <v>240</v>
      </c>
      <c r="E136" s="453">
        <v>11.71</v>
      </c>
      <c r="F136" s="453">
        <f t="shared" ref="F136:F141" si="45">D136*E136</f>
        <v>2810.4</v>
      </c>
      <c r="G136" s="463"/>
      <c r="H136" s="463"/>
      <c r="I136" s="453">
        <v>1405.2</v>
      </c>
      <c r="J136" s="453">
        <v>1405.2</v>
      </c>
      <c r="K136" s="453">
        <v>1406.2</v>
      </c>
      <c r="L136" s="424">
        <f t="shared" si="29"/>
        <v>2810.4</v>
      </c>
      <c r="M136" s="447">
        <f t="shared" si="27"/>
        <v>0</v>
      </c>
      <c r="N136" s="452"/>
    </row>
    <row r="137" spans="2:14" s="451" customFormat="1">
      <c r="B137" s="462" t="s">
        <v>199</v>
      </c>
      <c r="C137" s="461" t="s">
        <v>362</v>
      </c>
      <c r="D137" s="453">
        <f>[16]VAL.PRINC!N129</f>
        <v>240</v>
      </c>
      <c r="E137" s="453">
        <v>1.33</v>
      </c>
      <c r="F137" s="453">
        <f t="shared" si="45"/>
        <v>319.20000000000005</v>
      </c>
      <c r="G137" s="463"/>
      <c r="H137" s="463"/>
      <c r="I137" s="453">
        <v>159.60000000000002</v>
      </c>
      <c r="J137" s="453">
        <v>159.60000000000002</v>
      </c>
      <c r="K137" s="453">
        <v>160.6</v>
      </c>
      <c r="L137" s="424">
        <f t="shared" si="29"/>
        <v>319.20000000000005</v>
      </c>
      <c r="M137" s="447">
        <f t="shared" si="27"/>
        <v>0</v>
      </c>
      <c r="N137" s="452"/>
    </row>
    <row r="138" spans="2:14" s="451" customFormat="1">
      <c r="B138" s="462" t="s">
        <v>199</v>
      </c>
      <c r="C138" s="461" t="s">
        <v>361</v>
      </c>
      <c r="D138" s="453">
        <f>[16]VAL.PRINC!N130</f>
        <v>0.16</v>
      </c>
      <c r="E138" s="453">
        <v>7293.25</v>
      </c>
      <c r="F138" s="453">
        <f t="shared" si="45"/>
        <v>1166.92</v>
      </c>
      <c r="G138" s="463"/>
      <c r="H138" s="463"/>
      <c r="I138" s="453">
        <v>583.46</v>
      </c>
      <c r="J138" s="453">
        <v>583.46</v>
      </c>
      <c r="K138" s="453">
        <v>584.46</v>
      </c>
      <c r="L138" s="424">
        <f t="shared" si="29"/>
        <v>1166.92</v>
      </c>
      <c r="M138" s="447">
        <f t="shared" si="27"/>
        <v>0</v>
      </c>
      <c r="N138" s="452"/>
    </row>
    <row r="139" spans="2:14" s="451" customFormat="1">
      <c r="B139" s="462" t="s">
        <v>199</v>
      </c>
      <c r="C139" s="461" t="s">
        <v>360</v>
      </c>
      <c r="D139" s="453">
        <f>[16]VAL.PRINC!N131</f>
        <v>2880</v>
      </c>
      <c r="E139" s="453">
        <v>2.98</v>
      </c>
      <c r="F139" s="453">
        <f t="shared" si="45"/>
        <v>8582.4</v>
      </c>
      <c r="G139" s="463"/>
      <c r="H139" s="463"/>
      <c r="I139" s="453">
        <v>4291.2</v>
      </c>
      <c r="J139" s="453">
        <v>4291.2</v>
      </c>
      <c r="K139" s="453">
        <v>4292.2</v>
      </c>
      <c r="L139" s="424">
        <f t="shared" si="29"/>
        <v>8582.4</v>
      </c>
      <c r="M139" s="447">
        <f t="shared" si="27"/>
        <v>0</v>
      </c>
      <c r="N139" s="452"/>
    </row>
    <row r="140" spans="2:14" s="451" customFormat="1">
      <c r="B140" s="462" t="s">
        <v>199</v>
      </c>
      <c r="C140" s="461" t="s">
        <v>359</v>
      </c>
      <c r="D140" s="453">
        <f>[16]VAL.PRINC!N132</f>
        <v>400</v>
      </c>
      <c r="E140" s="453">
        <v>0.9</v>
      </c>
      <c r="F140" s="453">
        <f t="shared" si="45"/>
        <v>360</v>
      </c>
      <c r="G140" s="463"/>
      <c r="H140" s="463"/>
      <c r="I140" s="453">
        <v>180</v>
      </c>
      <c r="J140" s="453">
        <v>180</v>
      </c>
      <c r="K140" s="453">
        <v>181</v>
      </c>
      <c r="L140" s="424">
        <f t="shared" si="29"/>
        <v>360</v>
      </c>
      <c r="M140" s="447">
        <f t="shared" si="27"/>
        <v>0</v>
      </c>
      <c r="N140" s="452"/>
    </row>
    <row r="141" spans="2:14" s="451" customFormat="1">
      <c r="B141" s="462" t="s">
        <v>199</v>
      </c>
      <c r="C141" s="461" t="s">
        <v>358</v>
      </c>
      <c r="D141" s="453">
        <f>[16]VAL.PRINC!N133</f>
        <v>1200</v>
      </c>
      <c r="E141" s="453">
        <v>0.9</v>
      </c>
      <c r="F141" s="453">
        <f t="shared" si="45"/>
        <v>1080</v>
      </c>
      <c r="G141" s="463"/>
      <c r="H141" s="463"/>
      <c r="I141" s="453">
        <v>540</v>
      </c>
      <c r="J141" s="453">
        <v>540</v>
      </c>
      <c r="K141" s="453">
        <v>541</v>
      </c>
      <c r="L141" s="424">
        <f t="shared" si="29"/>
        <v>1080</v>
      </c>
      <c r="M141" s="447">
        <f t="shared" si="27"/>
        <v>0</v>
      </c>
      <c r="N141" s="452"/>
    </row>
    <row r="142" spans="2:14" s="451" customFormat="1">
      <c r="B142" s="466" t="s">
        <v>200</v>
      </c>
      <c r="C142" s="465" t="s">
        <v>201</v>
      </c>
      <c r="D142" s="458"/>
      <c r="E142" s="447"/>
      <c r="F142" s="464">
        <f t="shared" ref="F142:K142" si="46">SUM(F143:F145)</f>
        <v>19836.32</v>
      </c>
      <c r="G142" s="464">
        <f t="shared" si="46"/>
        <v>0</v>
      </c>
      <c r="H142" s="464">
        <f t="shared" si="46"/>
        <v>0</v>
      </c>
      <c r="I142" s="464">
        <f t="shared" si="46"/>
        <v>9918.16</v>
      </c>
      <c r="J142" s="464">
        <f t="shared" si="46"/>
        <v>9918.16</v>
      </c>
      <c r="K142" s="464">
        <f t="shared" si="46"/>
        <v>9921.16</v>
      </c>
      <c r="L142" s="424">
        <f t="shared" si="29"/>
        <v>19836.32</v>
      </c>
      <c r="M142" s="447">
        <f t="shared" si="27"/>
        <v>0</v>
      </c>
      <c r="N142" s="452"/>
    </row>
    <row r="143" spans="2:14" s="451" customFormat="1">
      <c r="B143" s="462" t="s">
        <v>200</v>
      </c>
      <c r="C143" s="461" t="s">
        <v>202</v>
      </c>
      <c r="D143" s="453">
        <f>[16]VAL.PRINC!N135</f>
        <v>1</v>
      </c>
      <c r="E143" s="453">
        <v>8858.32</v>
      </c>
      <c r="F143" s="453">
        <f>D143*E143</f>
        <v>8858.32</v>
      </c>
      <c r="G143" s="453"/>
      <c r="H143" s="453"/>
      <c r="I143" s="453">
        <v>4429.16</v>
      </c>
      <c r="J143" s="453">
        <v>4429.16</v>
      </c>
      <c r="K143" s="453">
        <v>4430.16</v>
      </c>
      <c r="L143" s="424">
        <f t="shared" si="29"/>
        <v>8858.32</v>
      </c>
      <c r="M143" s="447">
        <f t="shared" si="27"/>
        <v>0</v>
      </c>
      <c r="N143" s="452"/>
    </row>
    <row r="144" spans="2:14" s="451" customFormat="1">
      <c r="B144" s="462" t="s">
        <v>200</v>
      </c>
      <c r="C144" s="461" t="s">
        <v>203</v>
      </c>
      <c r="D144" s="453">
        <f>[16]VAL.PRINC!N136</f>
        <v>1</v>
      </c>
      <c r="E144" s="453">
        <v>7378</v>
      </c>
      <c r="F144" s="453">
        <f>D144*E144</f>
        <v>7378</v>
      </c>
      <c r="G144" s="453"/>
      <c r="H144" s="453"/>
      <c r="I144" s="453">
        <v>3689</v>
      </c>
      <c r="J144" s="453">
        <v>3689</v>
      </c>
      <c r="K144" s="453">
        <v>3690</v>
      </c>
      <c r="L144" s="424">
        <f t="shared" si="29"/>
        <v>7378</v>
      </c>
      <c r="M144" s="447">
        <f t="shared" si="27"/>
        <v>0</v>
      </c>
      <c r="N144" s="452"/>
    </row>
    <row r="145" spans="2:14" s="451" customFormat="1">
      <c r="B145" s="462" t="s">
        <v>200</v>
      </c>
      <c r="C145" s="461" t="s">
        <v>204</v>
      </c>
      <c r="D145" s="453">
        <f>[16]VAL.PRINC!N137</f>
        <v>1</v>
      </c>
      <c r="E145" s="453">
        <v>3600</v>
      </c>
      <c r="F145" s="453">
        <f>D145*E145</f>
        <v>3600</v>
      </c>
      <c r="G145" s="453"/>
      <c r="H145" s="453"/>
      <c r="I145" s="453">
        <v>1800</v>
      </c>
      <c r="J145" s="453">
        <v>1800</v>
      </c>
      <c r="K145" s="453">
        <v>1801</v>
      </c>
      <c r="L145" s="424">
        <f t="shared" si="29"/>
        <v>3600</v>
      </c>
      <c r="M145" s="447">
        <f t="shared" si="27"/>
        <v>0</v>
      </c>
      <c r="N145" s="452"/>
    </row>
    <row r="146" spans="2:14" s="451" customFormat="1">
      <c r="B146" s="466" t="s">
        <v>205</v>
      </c>
      <c r="C146" s="465" t="s">
        <v>206</v>
      </c>
      <c r="D146" s="458"/>
      <c r="E146" s="447"/>
      <c r="F146" s="464">
        <f t="shared" ref="F146:K146" si="47">SUM(F147:F150)</f>
        <v>41562</v>
      </c>
      <c r="G146" s="464">
        <f t="shared" si="47"/>
        <v>0</v>
      </c>
      <c r="H146" s="464">
        <f t="shared" si="47"/>
        <v>13854</v>
      </c>
      <c r="I146" s="464">
        <f t="shared" si="47"/>
        <v>13854</v>
      </c>
      <c r="J146" s="464">
        <f t="shared" si="47"/>
        <v>13854</v>
      </c>
      <c r="K146" s="464">
        <f t="shared" si="47"/>
        <v>13858</v>
      </c>
      <c r="L146" s="424">
        <f>SUM(G146:J146)</f>
        <v>41562</v>
      </c>
      <c r="M146" s="447">
        <f t="shared" si="27"/>
        <v>0</v>
      </c>
      <c r="N146" s="452"/>
    </row>
    <row r="147" spans="2:14" s="451" customFormat="1">
      <c r="B147" s="462" t="s">
        <v>205</v>
      </c>
      <c r="C147" s="461" t="s">
        <v>357</v>
      </c>
      <c r="D147" s="453">
        <f>[16]VAL.PRINC!N139</f>
        <v>1</v>
      </c>
      <c r="E147" s="453">
        <v>14884</v>
      </c>
      <c r="F147" s="453">
        <v>7442</v>
      </c>
      <c r="G147" s="453"/>
      <c r="H147" s="453">
        <v>2480.6666666666665</v>
      </c>
      <c r="I147" s="453">
        <v>2480.6666666666665</v>
      </c>
      <c r="J147" s="453">
        <v>2480.6666666666665</v>
      </c>
      <c r="K147" s="453">
        <v>2481.6666666666702</v>
      </c>
      <c r="L147" s="424">
        <f t="shared" si="29"/>
        <v>7442</v>
      </c>
      <c r="M147" s="447">
        <f t="shared" si="27"/>
        <v>0</v>
      </c>
      <c r="N147" s="452"/>
    </row>
    <row r="148" spans="2:14" s="451" customFormat="1">
      <c r="B148" s="462" t="s">
        <v>205</v>
      </c>
      <c r="C148" s="461" t="s">
        <v>356</v>
      </c>
      <c r="D148" s="453">
        <f>[16]VAL.PRINC!N140</f>
        <v>1</v>
      </c>
      <c r="E148" s="453">
        <v>16800</v>
      </c>
      <c r="F148" s="453">
        <v>8400</v>
      </c>
      <c r="G148" s="453"/>
      <c r="H148" s="453">
        <v>2800</v>
      </c>
      <c r="I148" s="453">
        <v>2800</v>
      </c>
      <c r="J148" s="453">
        <v>2800</v>
      </c>
      <c r="K148" s="453">
        <v>2801</v>
      </c>
      <c r="L148" s="424">
        <f t="shared" si="29"/>
        <v>8400</v>
      </c>
      <c r="M148" s="447">
        <f t="shared" si="27"/>
        <v>0</v>
      </c>
      <c r="N148" s="452"/>
    </row>
    <row r="149" spans="2:14" s="451" customFormat="1">
      <c r="B149" s="462" t="s">
        <v>205</v>
      </c>
      <c r="C149" s="461" t="s">
        <v>355</v>
      </c>
      <c r="D149" s="453">
        <f>[16]VAL.PRINC!N141</f>
        <v>1</v>
      </c>
      <c r="E149" s="453">
        <v>9720</v>
      </c>
      <c r="F149" s="453">
        <v>4860</v>
      </c>
      <c r="G149" s="453"/>
      <c r="H149" s="453">
        <v>1620</v>
      </c>
      <c r="I149" s="453">
        <v>1620</v>
      </c>
      <c r="J149" s="453">
        <v>1620</v>
      </c>
      <c r="K149" s="453">
        <v>1621</v>
      </c>
      <c r="L149" s="424">
        <f t="shared" si="29"/>
        <v>4860</v>
      </c>
      <c r="M149" s="447">
        <f t="shared" si="27"/>
        <v>0</v>
      </c>
      <c r="N149" s="452"/>
    </row>
    <row r="150" spans="2:14" s="451" customFormat="1">
      <c r="B150" s="462" t="s">
        <v>205</v>
      </c>
      <c r="C150" s="461" t="s">
        <v>354</v>
      </c>
      <c r="D150" s="453">
        <f>[16]VAL.PRINC!N142</f>
        <v>1</v>
      </c>
      <c r="E150" s="453">
        <v>41720</v>
      </c>
      <c r="F150" s="453">
        <v>20860</v>
      </c>
      <c r="G150" s="453"/>
      <c r="H150" s="453">
        <v>6953.333333333333</v>
      </c>
      <c r="I150" s="453">
        <v>6953.333333333333</v>
      </c>
      <c r="J150" s="453">
        <v>6953.333333333333</v>
      </c>
      <c r="K150" s="453">
        <v>6954.3333333333303</v>
      </c>
      <c r="L150" s="424">
        <f t="shared" si="29"/>
        <v>20860</v>
      </c>
      <c r="M150" s="447">
        <f t="shared" ref="M150:M156" si="48">F150-L150</f>
        <v>0</v>
      </c>
      <c r="N150" s="452"/>
    </row>
    <row r="151" spans="2:14" s="451" customFormat="1">
      <c r="B151" s="460" t="s">
        <v>207</v>
      </c>
      <c r="C151" s="459" t="s">
        <v>208</v>
      </c>
      <c r="D151" s="458"/>
      <c r="E151" s="447"/>
      <c r="F151" s="457">
        <f t="shared" ref="F151:K151" si="49">SUM(F152:F154)</f>
        <v>0</v>
      </c>
      <c r="G151" s="457">
        <f t="shared" si="49"/>
        <v>0</v>
      </c>
      <c r="H151" s="457">
        <f t="shared" si="49"/>
        <v>0</v>
      </c>
      <c r="I151" s="457">
        <f t="shared" si="49"/>
        <v>0</v>
      </c>
      <c r="J151" s="457">
        <f t="shared" si="49"/>
        <v>0</v>
      </c>
      <c r="K151" s="457">
        <f t="shared" si="49"/>
        <v>1</v>
      </c>
      <c r="L151" s="424">
        <f t="shared" ref="L151:L161" si="50">SUM(G151:J151)</f>
        <v>0</v>
      </c>
      <c r="M151" s="447">
        <f t="shared" si="48"/>
        <v>0</v>
      </c>
      <c r="N151" s="452"/>
    </row>
    <row r="152" spans="2:14" s="451" customFormat="1">
      <c r="B152" s="462" t="s">
        <v>207</v>
      </c>
      <c r="C152" s="461" t="s">
        <v>209</v>
      </c>
      <c r="D152" s="453">
        <f>[16]VAL.PRINC!N144</f>
        <v>0</v>
      </c>
      <c r="E152" s="453">
        <v>8060</v>
      </c>
      <c r="F152" s="453">
        <f>D152*E152</f>
        <v>0</v>
      </c>
      <c r="G152" s="453"/>
      <c r="H152" s="453">
        <v>0</v>
      </c>
      <c r="I152" s="463"/>
      <c r="J152" s="463"/>
      <c r="K152" s="463"/>
      <c r="L152" s="424">
        <f t="shared" si="50"/>
        <v>0</v>
      </c>
      <c r="M152" s="447">
        <f t="shared" si="48"/>
        <v>0</v>
      </c>
      <c r="N152" s="452"/>
    </row>
    <row r="153" spans="2:14" s="451" customFormat="1">
      <c r="B153" s="462" t="s">
        <v>207</v>
      </c>
      <c r="C153" s="461" t="s">
        <v>210</v>
      </c>
      <c r="D153" s="453">
        <f>[16]VAL.PRINC!N145</f>
        <v>0</v>
      </c>
      <c r="E153" s="453">
        <v>3400</v>
      </c>
      <c r="F153" s="453">
        <f>D153*E153</f>
        <v>0</v>
      </c>
      <c r="G153" s="453"/>
      <c r="H153" s="453">
        <v>0</v>
      </c>
      <c r="I153" s="463"/>
      <c r="J153" s="463"/>
      <c r="K153" s="463"/>
      <c r="L153" s="424">
        <f t="shared" si="50"/>
        <v>0</v>
      </c>
      <c r="M153" s="447">
        <f t="shared" si="48"/>
        <v>0</v>
      </c>
      <c r="N153" s="452"/>
    </row>
    <row r="154" spans="2:14" s="451" customFormat="1">
      <c r="B154" s="462" t="s">
        <v>207</v>
      </c>
      <c r="C154" s="461" t="s">
        <v>211</v>
      </c>
      <c r="D154" s="453">
        <f>[16]VAL.PRINC!N146</f>
        <v>0</v>
      </c>
      <c r="E154" s="453">
        <v>7807.6</v>
      </c>
      <c r="F154" s="453">
        <f>D154*E154</f>
        <v>0</v>
      </c>
      <c r="G154" s="453">
        <f>F154/5</f>
        <v>0</v>
      </c>
      <c r="H154" s="453">
        <v>0</v>
      </c>
      <c r="I154" s="453">
        <v>0</v>
      </c>
      <c r="J154" s="453">
        <v>0</v>
      </c>
      <c r="K154" s="453">
        <v>1</v>
      </c>
      <c r="L154" s="424">
        <f t="shared" si="50"/>
        <v>0</v>
      </c>
      <c r="M154" s="447">
        <f t="shared" si="48"/>
        <v>0</v>
      </c>
      <c r="N154" s="452"/>
    </row>
    <row r="155" spans="2:14" s="451" customFormat="1">
      <c r="B155" s="460" t="s">
        <v>212</v>
      </c>
      <c r="C155" s="459" t="s">
        <v>213</v>
      </c>
      <c r="D155" s="458"/>
      <c r="E155" s="447"/>
      <c r="F155" s="457">
        <f t="shared" ref="F155:K155" si="51">SUM(F156)</f>
        <v>22500</v>
      </c>
      <c r="G155" s="457">
        <f t="shared" si="51"/>
        <v>0</v>
      </c>
      <c r="H155" s="457">
        <f t="shared" si="51"/>
        <v>0</v>
      </c>
      <c r="I155" s="457">
        <f t="shared" si="51"/>
        <v>11250</v>
      </c>
      <c r="J155" s="457">
        <f t="shared" si="51"/>
        <v>11250</v>
      </c>
      <c r="K155" s="457">
        <f t="shared" si="51"/>
        <v>11251</v>
      </c>
      <c r="L155" s="424">
        <f t="shared" si="50"/>
        <v>22500</v>
      </c>
      <c r="M155" s="447">
        <f t="shared" si="48"/>
        <v>0</v>
      </c>
      <c r="N155" s="452"/>
    </row>
    <row r="156" spans="2:14" s="451" customFormat="1" ht="15.6" thickBot="1">
      <c r="B156" s="456" t="s">
        <v>212</v>
      </c>
      <c r="C156" s="455" t="s">
        <v>214</v>
      </c>
      <c r="D156" s="454">
        <f>[16]VAL.PRINC!N148</f>
        <v>0.5</v>
      </c>
      <c r="E156" s="454">
        <v>45000</v>
      </c>
      <c r="F156" s="453">
        <f>D156*E156</f>
        <v>22500</v>
      </c>
      <c r="G156" s="454"/>
      <c r="H156" s="454"/>
      <c r="I156" s="454">
        <v>11250</v>
      </c>
      <c r="J156" s="454">
        <v>11250</v>
      </c>
      <c r="K156" s="454">
        <v>11251</v>
      </c>
      <c r="L156" s="424">
        <f t="shared" si="50"/>
        <v>22500</v>
      </c>
      <c r="M156" s="447">
        <f t="shared" si="48"/>
        <v>0</v>
      </c>
      <c r="N156" s="452"/>
    </row>
    <row r="157" spans="2:14" s="435" customFormat="1">
      <c r="C157" s="450" t="s">
        <v>58</v>
      </c>
      <c r="D157" s="449"/>
      <c r="E157" s="1635">
        <f>F155+F151+F134+F132+F127+F119+F60+F37+F25+F22</f>
        <v>1289323.9083466001</v>
      </c>
      <c r="F157" s="1636"/>
      <c r="G157" s="448">
        <f>G155+G151+G134+G132+G127+G119+G60+G37+G25+G22</f>
        <v>511408.48900410003</v>
      </c>
      <c r="H157" s="448">
        <f>H155+H151+H134+H132+H127+H119+H60+H37+H25+H22</f>
        <v>606219.67934249993</v>
      </c>
      <c r="I157" s="448">
        <f>I155+I151+I134+I132+I127+I119+I60+I37+I25+I22</f>
        <v>93536.22</v>
      </c>
      <c r="J157" s="448">
        <f>J155+J151+J134+J132+J127+J119+J60+J37+J25+J22</f>
        <v>78159.520000000004</v>
      </c>
      <c r="K157" s="448">
        <f>K155+K151+K134+K132+K127+K119+K60+K37+K25+K22</f>
        <v>78183.520000000004</v>
      </c>
      <c r="L157" s="424">
        <f t="shared" si="50"/>
        <v>1289323.9083465999</v>
      </c>
      <c r="M157" s="447">
        <f>E157-L157</f>
        <v>0</v>
      </c>
    </row>
    <row r="158" spans="2:14" s="439" customFormat="1">
      <c r="C158" s="434" t="s">
        <v>255</v>
      </c>
      <c r="D158" s="433">
        <v>0.1037</v>
      </c>
      <c r="E158" s="1637">
        <f>SUM(G158:I158)</f>
        <v>125597.74707154241</v>
      </c>
      <c r="F158" s="1638"/>
      <c r="G158" s="432">
        <f>$D158*G157</f>
        <v>53033.060309725173</v>
      </c>
      <c r="H158" s="432">
        <f>$D158*H157</f>
        <v>62864.980747817244</v>
      </c>
      <c r="I158" s="432">
        <f>$D158*I157</f>
        <v>9699.7060139999994</v>
      </c>
      <c r="J158" s="432">
        <f>$D158*J157</f>
        <v>8105.1422240000002</v>
      </c>
      <c r="K158" s="432">
        <f>$D158*K157</f>
        <v>8107.6310240000003</v>
      </c>
      <c r="L158" s="424">
        <f t="shared" si="50"/>
        <v>133702.88929554241</v>
      </c>
    </row>
    <row r="159" spans="2:14" s="435" customFormat="1">
      <c r="C159" s="438" t="s">
        <v>353</v>
      </c>
      <c r="D159" s="437"/>
      <c r="E159" s="1637">
        <f>SUM(G159:I159)</f>
        <v>1336762.1354181424</v>
      </c>
      <c r="F159" s="1638"/>
      <c r="G159" s="436">
        <f>G157+G158</f>
        <v>564441.54931382521</v>
      </c>
      <c r="H159" s="436">
        <f>H157+H158</f>
        <v>669084.66009031713</v>
      </c>
      <c r="I159" s="436">
        <f>I157+I158</f>
        <v>103235.926014</v>
      </c>
      <c r="J159" s="436">
        <f>J157+J158</f>
        <v>86264.662224</v>
      </c>
      <c r="K159" s="436">
        <f>K157+K158</f>
        <v>86291.151024000006</v>
      </c>
      <c r="L159" s="424">
        <f t="shared" si="50"/>
        <v>1423026.7976421425</v>
      </c>
    </row>
    <row r="160" spans="2:14" s="439" customFormat="1">
      <c r="C160" s="446" t="s">
        <v>352</v>
      </c>
      <c r="D160" s="445"/>
      <c r="E160" s="1651">
        <f>SUM(G160:I160)</f>
        <v>0.93937945345306584</v>
      </c>
      <c r="F160" s="1652"/>
      <c r="G160" s="445">
        <f>G157/$E$157</f>
        <v>0.39664857348369403</v>
      </c>
      <c r="H160" s="445">
        <f>H157/$E$157</f>
        <v>0.47018416041001082</v>
      </c>
      <c r="I160" s="445">
        <f>I157/$E$157</f>
        <v>7.2546719559360956E-2</v>
      </c>
      <c r="J160" s="445">
        <f>J157/$E$157</f>
        <v>6.0620546546934051E-2</v>
      </c>
      <c r="K160" s="445">
        <f>K157/$E$157</f>
        <v>6.0639160953945843E-2</v>
      </c>
      <c r="L160" s="424">
        <f t="shared" si="50"/>
        <v>0.99999999999999989</v>
      </c>
    </row>
    <row r="161" spans="3:13" s="439" customFormat="1" ht="15.6" thickBot="1">
      <c r="C161" s="444" t="s">
        <v>351</v>
      </c>
      <c r="D161" s="443"/>
      <c r="E161" s="1653"/>
      <c r="F161" s="1654"/>
      <c r="G161" s="443">
        <f>G160</f>
        <v>0.39664857348369403</v>
      </c>
      <c r="H161" s="443">
        <f>G161+H160</f>
        <v>0.86683273389370485</v>
      </c>
      <c r="I161" s="443">
        <f>H161+I160</f>
        <v>0.93937945345306584</v>
      </c>
      <c r="J161" s="443">
        <f>I161+J160</f>
        <v>0.99999999999999989</v>
      </c>
      <c r="K161" s="443">
        <f>J161+K160</f>
        <v>1.0606391609539458</v>
      </c>
      <c r="L161" s="424">
        <f t="shared" si="50"/>
        <v>3.2028607608304647</v>
      </c>
    </row>
    <row r="162" spans="3:13" s="439" customFormat="1">
      <c r="C162" s="442" t="s">
        <v>350</v>
      </c>
      <c r="D162" s="441">
        <v>4.867316975427044E-2</v>
      </c>
      <c r="E162" s="1637">
        <f t="shared" ref="E162:E168" si="52">SUM(G162:I162)</f>
        <v>58951.209874321183</v>
      </c>
      <c r="F162" s="1646"/>
      <c r="G162" s="440">
        <f>G157*$D162</f>
        <v>24891.872199071509</v>
      </c>
      <c r="H162" s="440">
        <f>H157*$D162</f>
        <v>29506.633361016891</v>
      </c>
      <c r="I162" s="440">
        <f>I157*$D162</f>
        <v>4552.7043142327857</v>
      </c>
      <c r="J162" s="537"/>
      <c r="K162" s="537"/>
      <c r="L162" s="424">
        <f t="shared" ref="L162:L168" si="53">SUM(G162:I162)</f>
        <v>58951.209874321183</v>
      </c>
    </row>
    <row r="163" spans="3:13" s="439" customFormat="1">
      <c r="C163" s="434" t="s">
        <v>349</v>
      </c>
      <c r="D163" s="433">
        <v>3.2295075957423222E-3</v>
      </c>
      <c r="E163" s="1637">
        <f t="shared" si="52"/>
        <v>3911.4645918579486</v>
      </c>
      <c r="F163" s="1646"/>
      <c r="G163" s="432">
        <f>$D163*G157</f>
        <v>1651.597599765845</v>
      </c>
      <c r="H163" s="432">
        <f>$D163*H157</f>
        <v>1957.7910591250784</v>
      </c>
      <c r="I163" s="432">
        <f>$D163*I157</f>
        <v>302.07593296702493</v>
      </c>
      <c r="J163" s="538"/>
      <c r="K163" s="538"/>
      <c r="L163" s="424">
        <f t="shared" si="53"/>
        <v>3911.4645918579486</v>
      </c>
    </row>
    <row r="164" spans="3:13" s="435" customFormat="1">
      <c r="C164" s="438" t="s">
        <v>348</v>
      </c>
      <c r="D164" s="437"/>
      <c r="E164" s="1655">
        <f t="shared" si="52"/>
        <v>1399624.8098843214</v>
      </c>
      <c r="F164" s="1656"/>
      <c r="G164" s="436">
        <f>G159+G162+G163</f>
        <v>590985.01911266253</v>
      </c>
      <c r="H164" s="436">
        <f>H159+H162+H163</f>
        <v>700549.0845104591</v>
      </c>
      <c r="I164" s="436">
        <f>I159+I162+I163</f>
        <v>108090.70626119981</v>
      </c>
      <c r="J164" s="539"/>
      <c r="K164" s="539"/>
      <c r="L164" s="424">
        <f t="shared" si="53"/>
        <v>1399624.8098843214</v>
      </c>
    </row>
    <row r="165" spans="3:13" s="431" customFormat="1">
      <c r="C165" s="434" t="s">
        <v>59</v>
      </c>
      <c r="D165" s="433">
        <v>2.9134033342151949E-2</v>
      </c>
      <c r="E165" s="1637">
        <f t="shared" si="52"/>
        <v>0</v>
      </c>
      <c r="F165" s="1646"/>
      <c r="G165" s="432"/>
      <c r="H165" s="432"/>
      <c r="I165" s="432"/>
      <c r="J165" s="538"/>
      <c r="K165" s="538"/>
      <c r="L165" s="424">
        <f t="shared" si="53"/>
        <v>0</v>
      </c>
    </row>
    <row r="166" spans="3:13">
      <c r="C166" s="430" t="s">
        <v>347</v>
      </c>
      <c r="D166" s="429">
        <v>1.5387795225407752E-2</v>
      </c>
      <c r="E166" s="1647">
        <f t="shared" si="52"/>
        <v>0</v>
      </c>
      <c r="F166" s="1648"/>
      <c r="G166" s="428"/>
      <c r="H166" s="428"/>
      <c r="I166" s="428"/>
      <c r="J166" s="540"/>
      <c r="K166" s="540"/>
      <c r="L166" s="424">
        <f t="shared" si="53"/>
        <v>0</v>
      </c>
    </row>
    <row r="167" spans="3:13">
      <c r="C167" s="430" t="s">
        <v>254</v>
      </c>
      <c r="D167" s="429">
        <v>5.9362432020489322E-3</v>
      </c>
      <c r="E167" s="1647">
        <f t="shared" si="52"/>
        <v>0</v>
      </c>
      <c r="F167" s="1648"/>
      <c r="G167" s="428"/>
      <c r="H167" s="428"/>
      <c r="I167" s="428"/>
      <c r="J167" s="540"/>
      <c r="K167" s="540"/>
      <c r="L167" s="424">
        <f t="shared" si="53"/>
        <v>0</v>
      </c>
    </row>
    <row r="168" spans="3:13" s="423" customFormat="1">
      <c r="C168" s="427" t="s">
        <v>346</v>
      </c>
      <c r="D168" s="426"/>
      <c r="E168" s="1649">
        <f t="shared" si="52"/>
        <v>1399624.8098843214</v>
      </c>
      <c r="F168" s="1650"/>
      <c r="G168" s="425">
        <f>SUM(G164:G167)</f>
        <v>590985.01911266253</v>
      </c>
      <c r="H168" s="425">
        <f>SUM(H164:H167)</f>
        <v>700549.0845104591</v>
      </c>
      <c r="I168" s="425">
        <f>SUM(I164:I167)</f>
        <v>108090.70626119981</v>
      </c>
      <c r="J168" s="541"/>
      <c r="K168" s="541"/>
      <c r="L168" s="424">
        <f t="shared" si="53"/>
        <v>1399624.8098843214</v>
      </c>
    </row>
    <row r="169" spans="3:13">
      <c r="G169" s="422"/>
      <c r="H169" s="422"/>
      <c r="I169" s="422"/>
      <c r="J169" s="422"/>
      <c r="K169" s="422"/>
      <c r="M169" s="421"/>
    </row>
    <row r="170" spans="3:13">
      <c r="E170" s="417" t="s">
        <v>24</v>
      </c>
      <c r="F170" s="418">
        <f>[16]VAL.PRINC!O149</f>
        <v>2880901.1635466004</v>
      </c>
      <c r="G170" s="418"/>
      <c r="H170" s="418"/>
      <c r="I170" s="418"/>
      <c r="J170" s="418"/>
      <c r="K170" s="418"/>
    </row>
    <row r="171" spans="3:13">
      <c r="E171" s="417" t="s">
        <v>516</v>
      </c>
      <c r="F171" s="421">
        <f>[16]VAL.PRINC!O52</f>
        <v>1550015.2552</v>
      </c>
      <c r="G171" s="418"/>
      <c r="H171" s="418"/>
    </row>
    <row r="172" spans="3:13">
      <c r="F172" s="418">
        <f>F170-F171</f>
        <v>1330885.9083466004</v>
      </c>
    </row>
    <row r="173" spans="3:13">
      <c r="F173" s="421">
        <f>F172-E157</f>
        <v>41562.000000000233</v>
      </c>
    </row>
    <row r="174" spans="3:13" ht="17.399999999999999">
      <c r="D174" s="418"/>
      <c r="F174" s="420"/>
      <c r="G174" s="418"/>
      <c r="H174" s="419"/>
    </row>
    <row r="175" spans="3:13">
      <c r="F175" s="418"/>
    </row>
    <row r="176" spans="3:13">
      <c r="F176" s="418"/>
    </row>
    <row r="178" spans="6:6">
      <c r="F178" s="418"/>
    </row>
  </sheetData>
  <autoFilter ref="A1:N168" xr:uid="{00000000-0009-0000-0000-00001A000000}"/>
  <mergeCells count="26">
    <mergeCell ref="E165:F165"/>
    <mergeCell ref="E166:F166"/>
    <mergeCell ref="E167:F167"/>
    <mergeCell ref="E168:F168"/>
    <mergeCell ref="E160:F160"/>
    <mergeCell ref="E161:F161"/>
    <mergeCell ref="E162:F162"/>
    <mergeCell ref="E163:F163"/>
    <mergeCell ref="E164:F164"/>
    <mergeCell ref="M17:M19"/>
    <mergeCell ref="G18:G19"/>
    <mergeCell ref="H18:H19"/>
    <mergeCell ref="I18:I19"/>
    <mergeCell ref="J18:J19"/>
    <mergeCell ref="B6:I6"/>
    <mergeCell ref="B17:B19"/>
    <mergeCell ref="D17:D19"/>
    <mergeCell ref="E17:E19"/>
    <mergeCell ref="F17:F19"/>
    <mergeCell ref="G17:I17"/>
    <mergeCell ref="E157:F157"/>
    <mergeCell ref="E158:F158"/>
    <mergeCell ref="E159:F159"/>
    <mergeCell ref="L17:L19"/>
    <mergeCell ref="C17:C19"/>
    <mergeCell ref="K18:K19"/>
  </mergeCells>
  <printOptions horizontalCentered="1"/>
  <pageMargins left="0.59055118110236227" right="0.59055118110236227" top="0.98425196850393704" bottom="0.98425196850393704" header="0.31496062992125984" footer="0.31496062992125984"/>
  <pageSetup paperSize="9" scale="74" orientation="landscape" horizontalDpi="4294967295" verticalDpi="4294967295" r:id="rId1"/>
  <rowBreaks count="4" manualBreakCount="4">
    <brk id="36" min="1" max="10" man="1"/>
    <brk id="118" min="1" max="10" man="1"/>
    <brk id="133" min="1" max="10" man="1"/>
    <brk id="150" min="1" max="10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-0.249977111117893"/>
  </sheetPr>
  <dimension ref="A1:Q261"/>
  <sheetViews>
    <sheetView workbookViewId="0">
      <selection sqref="A1:G1"/>
    </sheetView>
  </sheetViews>
  <sheetFormatPr baseColWidth="10" defaultRowHeight="10.199999999999999"/>
  <cols>
    <col min="1" max="1" width="2.44140625" style="204" customWidth="1"/>
    <col min="2" max="2" width="52.33203125" style="204" customWidth="1"/>
    <col min="3" max="3" width="12.6640625" style="204" hidden="1" customWidth="1"/>
    <col min="4" max="4" width="14.5546875" style="204" hidden="1" customWidth="1"/>
    <col min="5" max="9" width="25.5546875" style="204" customWidth="1"/>
    <col min="10" max="11" width="2.88671875" style="204" customWidth="1"/>
    <col min="12" max="12" width="13.33203125" style="242" bestFit="1" customWidth="1"/>
    <col min="13" max="257" width="11.44140625" style="204"/>
    <col min="258" max="258" width="2.44140625" style="204" customWidth="1"/>
    <col min="259" max="259" width="52.33203125" style="204" customWidth="1"/>
    <col min="260" max="261" width="0" style="204" hidden="1" customWidth="1"/>
    <col min="262" max="265" width="18.6640625" style="204" customWidth="1"/>
    <col min="266" max="267" width="2.88671875" style="204" customWidth="1"/>
    <col min="268" max="268" width="13.33203125" style="204" bestFit="1" customWidth="1"/>
    <col min="269" max="513" width="11.44140625" style="204"/>
    <col min="514" max="514" width="2.44140625" style="204" customWidth="1"/>
    <col min="515" max="515" width="52.33203125" style="204" customWidth="1"/>
    <col min="516" max="517" width="0" style="204" hidden="1" customWidth="1"/>
    <col min="518" max="521" width="18.6640625" style="204" customWidth="1"/>
    <col min="522" max="523" width="2.88671875" style="204" customWidth="1"/>
    <col min="524" max="524" width="13.33203125" style="204" bestFit="1" customWidth="1"/>
    <col min="525" max="769" width="11.44140625" style="204"/>
    <col min="770" max="770" width="2.44140625" style="204" customWidth="1"/>
    <col min="771" max="771" width="52.33203125" style="204" customWidth="1"/>
    <col min="772" max="773" width="0" style="204" hidden="1" customWidth="1"/>
    <col min="774" max="777" width="18.6640625" style="204" customWidth="1"/>
    <col min="778" max="779" width="2.88671875" style="204" customWidth="1"/>
    <col min="780" max="780" width="13.33203125" style="204" bestFit="1" customWidth="1"/>
    <col min="781" max="1025" width="11.44140625" style="204"/>
    <col min="1026" max="1026" width="2.44140625" style="204" customWidth="1"/>
    <col min="1027" max="1027" width="52.33203125" style="204" customWidth="1"/>
    <col min="1028" max="1029" width="0" style="204" hidden="1" customWidth="1"/>
    <col min="1030" max="1033" width="18.6640625" style="204" customWidth="1"/>
    <col min="1034" max="1035" width="2.88671875" style="204" customWidth="1"/>
    <col min="1036" max="1036" width="13.33203125" style="204" bestFit="1" customWidth="1"/>
    <col min="1037" max="1281" width="11.44140625" style="204"/>
    <col min="1282" max="1282" width="2.44140625" style="204" customWidth="1"/>
    <col min="1283" max="1283" width="52.33203125" style="204" customWidth="1"/>
    <col min="1284" max="1285" width="0" style="204" hidden="1" customWidth="1"/>
    <col min="1286" max="1289" width="18.6640625" style="204" customWidth="1"/>
    <col min="1290" max="1291" width="2.88671875" style="204" customWidth="1"/>
    <col min="1292" max="1292" width="13.33203125" style="204" bestFit="1" customWidth="1"/>
    <col min="1293" max="1537" width="11.44140625" style="204"/>
    <col min="1538" max="1538" width="2.44140625" style="204" customWidth="1"/>
    <col min="1539" max="1539" width="52.33203125" style="204" customWidth="1"/>
    <col min="1540" max="1541" width="0" style="204" hidden="1" customWidth="1"/>
    <col min="1542" max="1545" width="18.6640625" style="204" customWidth="1"/>
    <col min="1546" max="1547" width="2.88671875" style="204" customWidth="1"/>
    <col min="1548" max="1548" width="13.33203125" style="204" bestFit="1" customWidth="1"/>
    <col min="1549" max="1793" width="11.44140625" style="204"/>
    <col min="1794" max="1794" width="2.44140625" style="204" customWidth="1"/>
    <col min="1795" max="1795" width="52.33203125" style="204" customWidth="1"/>
    <col min="1796" max="1797" width="0" style="204" hidden="1" customWidth="1"/>
    <col min="1798" max="1801" width="18.6640625" style="204" customWidth="1"/>
    <col min="1802" max="1803" width="2.88671875" style="204" customWidth="1"/>
    <col min="1804" max="1804" width="13.33203125" style="204" bestFit="1" customWidth="1"/>
    <col min="1805" max="2049" width="11.44140625" style="204"/>
    <col min="2050" max="2050" width="2.44140625" style="204" customWidth="1"/>
    <col min="2051" max="2051" width="52.33203125" style="204" customWidth="1"/>
    <col min="2052" max="2053" width="0" style="204" hidden="1" customWidth="1"/>
    <col min="2054" max="2057" width="18.6640625" style="204" customWidth="1"/>
    <col min="2058" max="2059" width="2.88671875" style="204" customWidth="1"/>
    <col min="2060" max="2060" width="13.33203125" style="204" bestFit="1" customWidth="1"/>
    <col min="2061" max="2305" width="11.44140625" style="204"/>
    <col min="2306" max="2306" width="2.44140625" style="204" customWidth="1"/>
    <col min="2307" max="2307" width="52.33203125" style="204" customWidth="1"/>
    <col min="2308" max="2309" width="0" style="204" hidden="1" customWidth="1"/>
    <col min="2310" max="2313" width="18.6640625" style="204" customWidth="1"/>
    <col min="2314" max="2315" width="2.88671875" style="204" customWidth="1"/>
    <col min="2316" max="2316" width="13.33203125" style="204" bestFit="1" customWidth="1"/>
    <col min="2317" max="2561" width="11.44140625" style="204"/>
    <col min="2562" max="2562" width="2.44140625" style="204" customWidth="1"/>
    <col min="2563" max="2563" width="52.33203125" style="204" customWidth="1"/>
    <col min="2564" max="2565" width="0" style="204" hidden="1" customWidth="1"/>
    <col min="2566" max="2569" width="18.6640625" style="204" customWidth="1"/>
    <col min="2570" max="2571" width="2.88671875" style="204" customWidth="1"/>
    <col min="2572" max="2572" width="13.33203125" style="204" bestFit="1" customWidth="1"/>
    <col min="2573" max="2817" width="11.44140625" style="204"/>
    <col min="2818" max="2818" width="2.44140625" style="204" customWidth="1"/>
    <col min="2819" max="2819" width="52.33203125" style="204" customWidth="1"/>
    <col min="2820" max="2821" width="0" style="204" hidden="1" customWidth="1"/>
    <col min="2822" max="2825" width="18.6640625" style="204" customWidth="1"/>
    <col min="2826" max="2827" width="2.88671875" style="204" customWidth="1"/>
    <col min="2828" max="2828" width="13.33203125" style="204" bestFit="1" customWidth="1"/>
    <col min="2829" max="3073" width="11.44140625" style="204"/>
    <col min="3074" max="3074" width="2.44140625" style="204" customWidth="1"/>
    <col min="3075" max="3075" width="52.33203125" style="204" customWidth="1"/>
    <col min="3076" max="3077" width="0" style="204" hidden="1" customWidth="1"/>
    <col min="3078" max="3081" width="18.6640625" style="204" customWidth="1"/>
    <col min="3082" max="3083" width="2.88671875" style="204" customWidth="1"/>
    <col min="3084" max="3084" width="13.33203125" style="204" bestFit="1" customWidth="1"/>
    <col min="3085" max="3329" width="11.44140625" style="204"/>
    <col min="3330" max="3330" width="2.44140625" style="204" customWidth="1"/>
    <col min="3331" max="3331" width="52.33203125" style="204" customWidth="1"/>
    <col min="3332" max="3333" width="0" style="204" hidden="1" customWidth="1"/>
    <col min="3334" max="3337" width="18.6640625" style="204" customWidth="1"/>
    <col min="3338" max="3339" width="2.88671875" style="204" customWidth="1"/>
    <col min="3340" max="3340" width="13.33203125" style="204" bestFit="1" customWidth="1"/>
    <col min="3341" max="3585" width="11.44140625" style="204"/>
    <col min="3586" max="3586" width="2.44140625" style="204" customWidth="1"/>
    <col min="3587" max="3587" width="52.33203125" style="204" customWidth="1"/>
    <col min="3588" max="3589" width="0" style="204" hidden="1" customWidth="1"/>
    <col min="3590" max="3593" width="18.6640625" style="204" customWidth="1"/>
    <col min="3594" max="3595" width="2.88671875" style="204" customWidth="1"/>
    <col min="3596" max="3596" width="13.33203125" style="204" bestFit="1" customWidth="1"/>
    <col min="3597" max="3841" width="11.44140625" style="204"/>
    <col min="3842" max="3842" width="2.44140625" style="204" customWidth="1"/>
    <col min="3843" max="3843" width="52.33203125" style="204" customWidth="1"/>
    <col min="3844" max="3845" width="0" style="204" hidden="1" customWidth="1"/>
    <col min="3846" max="3849" width="18.6640625" style="204" customWidth="1"/>
    <col min="3850" max="3851" width="2.88671875" style="204" customWidth="1"/>
    <col min="3852" max="3852" width="13.33203125" style="204" bestFit="1" customWidth="1"/>
    <col min="3853" max="4097" width="11.44140625" style="204"/>
    <col min="4098" max="4098" width="2.44140625" style="204" customWidth="1"/>
    <col min="4099" max="4099" width="52.33203125" style="204" customWidth="1"/>
    <col min="4100" max="4101" width="0" style="204" hidden="1" customWidth="1"/>
    <col min="4102" max="4105" width="18.6640625" style="204" customWidth="1"/>
    <col min="4106" max="4107" width="2.88671875" style="204" customWidth="1"/>
    <col min="4108" max="4108" width="13.33203125" style="204" bestFit="1" customWidth="1"/>
    <col min="4109" max="4353" width="11.44140625" style="204"/>
    <col min="4354" max="4354" width="2.44140625" style="204" customWidth="1"/>
    <col min="4355" max="4355" width="52.33203125" style="204" customWidth="1"/>
    <col min="4356" max="4357" width="0" style="204" hidden="1" customWidth="1"/>
    <col min="4358" max="4361" width="18.6640625" style="204" customWidth="1"/>
    <col min="4362" max="4363" width="2.88671875" style="204" customWidth="1"/>
    <col min="4364" max="4364" width="13.33203125" style="204" bestFit="1" customWidth="1"/>
    <col min="4365" max="4609" width="11.44140625" style="204"/>
    <col min="4610" max="4610" width="2.44140625" style="204" customWidth="1"/>
    <col min="4611" max="4611" width="52.33203125" style="204" customWidth="1"/>
    <col min="4612" max="4613" width="0" style="204" hidden="1" customWidth="1"/>
    <col min="4614" max="4617" width="18.6640625" style="204" customWidth="1"/>
    <col min="4618" max="4619" width="2.88671875" style="204" customWidth="1"/>
    <col min="4620" max="4620" width="13.33203125" style="204" bestFit="1" customWidth="1"/>
    <col min="4621" max="4865" width="11.44140625" style="204"/>
    <col min="4866" max="4866" width="2.44140625" style="204" customWidth="1"/>
    <col min="4867" max="4867" width="52.33203125" style="204" customWidth="1"/>
    <col min="4868" max="4869" width="0" style="204" hidden="1" customWidth="1"/>
    <col min="4870" max="4873" width="18.6640625" style="204" customWidth="1"/>
    <col min="4874" max="4875" width="2.88671875" style="204" customWidth="1"/>
    <col min="4876" max="4876" width="13.33203125" style="204" bestFit="1" customWidth="1"/>
    <col min="4877" max="5121" width="11.44140625" style="204"/>
    <col min="5122" max="5122" width="2.44140625" style="204" customWidth="1"/>
    <col min="5123" max="5123" width="52.33203125" style="204" customWidth="1"/>
    <col min="5124" max="5125" width="0" style="204" hidden="1" customWidth="1"/>
    <col min="5126" max="5129" width="18.6640625" style="204" customWidth="1"/>
    <col min="5130" max="5131" width="2.88671875" style="204" customWidth="1"/>
    <col min="5132" max="5132" width="13.33203125" style="204" bestFit="1" customWidth="1"/>
    <col min="5133" max="5377" width="11.44140625" style="204"/>
    <col min="5378" max="5378" width="2.44140625" style="204" customWidth="1"/>
    <col min="5379" max="5379" width="52.33203125" style="204" customWidth="1"/>
    <col min="5380" max="5381" width="0" style="204" hidden="1" customWidth="1"/>
    <col min="5382" max="5385" width="18.6640625" style="204" customWidth="1"/>
    <col min="5386" max="5387" width="2.88671875" style="204" customWidth="1"/>
    <col min="5388" max="5388" width="13.33203125" style="204" bestFit="1" customWidth="1"/>
    <col min="5389" max="5633" width="11.44140625" style="204"/>
    <col min="5634" max="5634" width="2.44140625" style="204" customWidth="1"/>
    <col min="5635" max="5635" width="52.33203125" style="204" customWidth="1"/>
    <col min="5636" max="5637" width="0" style="204" hidden="1" customWidth="1"/>
    <col min="5638" max="5641" width="18.6640625" style="204" customWidth="1"/>
    <col min="5642" max="5643" width="2.88671875" style="204" customWidth="1"/>
    <col min="5644" max="5644" width="13.33203125" style="204" bestFit="1" customWidth="1"/>
    <col min="5645" max="5889" width="11.44140625" style="204"/>
    <col min="5890" max="5890" width="2.44140625" style="204" customWidth="1"/>
    <col min="5891" max="5891" width="52.33203125" style="204" customWidth="1"/>
    <col min="5892" max="5893" width="0" style="204" hidden="1" customWidth="1"/>
    <col min="5894" max="5897" width="18.6640625" style="204" customWidth="1"/>
    <col min="5898" max="5899" width="2.88671875" style="204" customWidth="1"/>
    <col min="5900" max="5900" width="13.33203125" style="204" bestFit="1" customWidth="1"/>
    <col min="5901" max="6145" width="11.44140625" style="204"/>
    <col min="6146" max="6146" width="2.44140625" style="204" customWidth="1"/>
    <col min="6147" max="6147" width="52.33203125" style="204" customWidth="1"/>
    <col min="6148" max="6149" width="0" style="204" hidden="1" customWidth="1"/>
    <col min="6150" max="6153" width="18.6640625" style="204" customWidth="1"/>
    <col min="6154" max="6155" width="2.88671875" style="204" customWidth="1"/>
    <col min="6156" max="6156" width="13.33203125" style="204" bestFit="1" customWidth="1"/>
    <col min="6157" max="6401" width="11.44140625" style="204"/>
    <col min="6402" max="6402" width="2.44140625" style="204" customWidth="1"/>
    <col min="6403" max="6403" width="52.33203125" style="204" customWidth="1"/>
    <col min="6404" max="6405" width="0" style="204" hidden="1" customWidth="1"/>
    <col min="6406" max="6409" width="18.6640625" style="204" customWidth="1"/>
    <col min="6410" max="6411" width="2.88671875" style="204" customWidth="1"/>
    <col min="6412" max="6412" width="13.33203125" style="204" bestFit="1" customWidth="1"/>
    <col min="6413" max="6657" width="11.44140625" style="204"/>
    <col min="6658" max="6658" width="2.44140625" style="204" customWidth="1"/>
    <col min="6659" max="6659" width="52.33203125" style="204" customWidth="1"/>
    <col min="6660" max="6661" width="0" style="204" hidden="1" customWidth="1"/>
    <col min="6662" max="6665" width="18.6640625" style="204" customWidth="1"/>
    <col min="6666" max="6667" width="2.88671875" style="204" customWidth="1"/>
    <col min="6668" max="6668" width="13.33203125" style="204" bestFit="1" customWidth="1"/>
    <col min="6669" max="6913" width="11.44140625" style="204"/>
    <col min="6914" max="6914" width="2.44140625" style="204" customWidth="1"/>
    <col min="6915" max="6915" width="52.33203125" style="204" customWidth="1"/>
    <col min="6916" max="6917" width="0" style="204" hidden="1" customWidth="1"/>
    <col min="6918" max="6921" width="18.6640625" style="204" customWidth="1"/>
    <col min="6922" max="6923" width="2.88671875" style="204" customWidth="1"/>
    <col min="6924" max="6924" width="13.33203125" style="204" bestFit="1" customWidth="1"/>
    <col min="6925" max="7169" width="11.44140625" style="204"/>
    <col min="7170" max="7170" width="2.44140625" style="204" customWidth="1"/>
    <col min="7171" max="7171" width="52.33203125" style="204" customWidth="1"/>
    <col min="7172" max="7173" width="0" style="204" hidden="1" customWidth="1"/>
    <col min="7174" max="7177" width="18.6640625" style="204" customWidth="1"/>
    <col min="7178" max="7179" width="2.88671875" style="204" customWidth="1"/>
    <col min="7180" max="7180" width="13.33203125" style="204" bestFit="1" customWidth="1"/>
    <col min="7181" max="7425" width="11.44140625" style="204"/>
    <col min="7426" max="7426" width="2.44140625" style="204" customWidth="1"/>
    <col min="7427" max="7427" width="52.33203125" style="204" customWidth="1"/>
    <col min="7428" max="7429" width="0" style="204" hidden="1" customWidth="1"/>
    <col min="7430" max="7433" width="18.6640625" style="204" customWidth="1"/>
    <col min="7434" max="7435" width="2.88671875" style="204" customWidth="1"/>
    <col min="7436" max="7436" width="13.33203125" style="204" bestFit="1" customWidth="1"/>
    <col min="7437" max="7681" width="11.44140625" style="204"/>
    <col min="7682" max="7682" width="2.44140625" style="204" customWidth="1"/>
    <col min="7683" max="7683" width="52.33203125" style="204" customWidth="1"/>
    <col min="7684" max="7685" width="0" style="204" hidden="1" customWidth="1"/>
    <col min="7686" max="7689" width="18.6640625" style="204" customWidth="1"/>
    <col min="7690" max="7691" width="2.88671875" style="204" customWidth="1"/>
    <col min="7692" max="7692" width="13.33203125" style="204" bestFit="1" customWidth="1"/>
    <col min="7693" max="7937" width="11.44140625" style="204"/>
    <col min="7938" max="7938" width="2.44140625" style="204" customWidth="1"/>
    <col min="7939" max="7939" width="52.33203125" style="204" customWidth="1"/>
    <col min="7940" max="7941" width="0" style="204" hidden="1" customWidth="1"/>
    <col min="7942" max="7945" width="18.6640625" style="204" customWidth="1"/>
    <col min="7946" max="7947" width="2.88671875" style="204" customWidth="1"/>
    <col min="7948" max="7948" width="13.33203125" style="204" bestFit="1" customWidth="1"/>
    <col min="7949" max="8193" width="11.44140625" style="204"/>
    <col min="8194" max="8194" width="2.44140625" style="204" customWidth="1"/>
    <col min="8195" max="8195" width="52.33203125" style="204" customWidth="1"/>
    <col min="8196" max="8197" width="0" style="204" hidden="1" customWidth="1"/>
    <col min="8198" max="8201" width="18.6640625" style="204" customWidth="1"/>
    <col min="8202" max="8203" width="2.88671875" style="204" customWidth="1"/>
    <col min="8204" max="8204" width="13.33203125" style="204" bestFit="1" customWidth="1"/>
    <col min="8205" max="8449" width="11.44140625" style="204"/>
    <col min="8450" max="8450" width="2.44140625" style="204" customWidth="1"/>
    <col min="8451" max="8451" width="52.33203125" style="204" customWidth="1"/>
    <col min="8452" max="8453" width="0" style="204" hidden="1" customWidth="1"/>
    <col min="8454" max="8457" width="18.6640625" style="204" customWidth="1"/>
    <col min="8458" max="8459" width="2.88671875" style="204" customWidth="1"/>
    <col min="8460" max="8460" width="13.33203125" style="204" bestFit="1" customWidth="1"/>
    <col min="8461" max="8705" width="11.44140625" style="204"/>
    <col min="8706" max="8706" width="2.44140625" style="204" customWidth="1"/>
    <col min="8707" max="8707" width="52.33203125" style="204" customWidth="1"/>
    <col min="8708" max="8709" width="0" style="204" hidden="1" customWidth="1"/>
    <col min="8710" max="8713" width="18.6640625" style="204" customWidth="1"/>
    <col min="8714" max="8715" width="2.88671875" style="204" customWidth="1"/>
    <col min="8716" max="8716" width="13.33203125" style="204" bestFit="1" customWidth="1"/>
    <col min="8717" max="8961" width="11.44140625" style="204"/>
    <col min="8962" max="8962" width="2.44140625" style="204" customWidth="1"/>
    <col min="8963" max="8963" width="52.33203125" style="204" customWidth="1"/>
    <col min="8964" max="8965" width="0" style="204" hidden="1" customWidth="1"/>
    <col min="8966" max="8969" width="18.6640625" style="204" customWidth="1"/>
    <col min="8970" max="8971" width="2.88671875" style="204" customWidth="1"/>
    <col min="8972" max="8972" width="13.33203125" style="204" bestFit="1" customWidth="1"/>
    <col min="8973" max="9217" width="11.44140625" style="204"/>
    <col min="9218" max="9218" width="2.44140625" style="204" customWidth="1"/>
    <col min="9219" max="9219" width="52.33203125" style="204" customWidth="1"/>
    <col min="9220" max="9221" width="0" style="204" hidden="1" customWidth="1"/>
    <col min="9222" max="9225" width="18.6640625" style="204" customWidth="1"/>
    <col min="9226" max="9227" width="2.88671875" style="204" customWidth="1"/>
    <col min="9228" max="9228" width="13.33203125" style="204" bestFit="1" customWidth="1"/>
    <col min="9229" max="9473" width="11.44140625" style="204"/>
    <col min="9474" max="9474" width="2.44140625" style="204" customWidth="1"/>
    <col min="9475" max="9475" width="52.33203125" style="204" customWidth="1"/>
    <col min="9476" max="9477" width="0" style="204" hidden="1" customWidth="1"/>
    <col min="9478" max="9481" width="18.6640625" style="204" customWidth="1"/>
    <col min="9482" max="9483" width="2.88671875" style="204" customWidth="1"/>
    <col min="9484" max="9484" width="13.33203125" style="204" bestFit="1" customWidth="1"/>
    <col min="9485" max="9729" width="11.44140625" style="204"/>
    <col min="9730" max="9730" width="2.44140625" style="204" customWidth="1"/>
    <col min="9731" max="9731" width="52.33203125" style="204" customWidth="1"/>
    <col min="9732" max="9733" width="0" style="204" hidden="1" customWidth="1"/>
    <col min="9734" max="9737" width="18.6640625" style="204" customWidth="1"/>
    <col min="9738" max="9739" width="2.88671875" style="204" customWidth="1"/>
    <col min="9740" max="9740" width="13.33203125" style="204" bestFit="1" customWidth="1"/>
    <col min="9741" max="9985" width="11.44140625" style="204"/>
    <col min="9986" max="9986" width="2.44140625" style="204" customWidth="1"/>
    <col min="9987" max="9987" width="52.33203125" style="204" customWidth="1"/>
    <col min="9988" max="9989" width="0" style="204" hidden="1" customWidth="1"/>
    <col min="9990" max="9993" width="18.6640625" style="204" customWidth="1"/>
    <col min="9994" max="9995" width="2.88671875" style="204" customWidth="1"/>
    <col min="9996" max="9996" width="13.33203125" style="204" bestFit="1" customWidth="1"/>
    <col min="9997" max="10241" width="11.44140625" style="204"/>
    <col min="10242" max="10242" width="2.44140625" style="204" customWidth="1"/>
    <col min="10243" max="10243" width="52.33203125" style="204" customWidth="1"/>
    <col min="10244" max="10245" width="0" style="204" hidden="1" customWidth="1"/>
    <col min="10246" max="10249" width="18.6640625" style="204" customWidth="1"/>
    <col min="10250" max="10251" width="2.88671875" style="204" customWidth="1"/>
    <col min="10252" max="10252" width="13.33203125" style="204" bestFit="1" customWidth="1"/>
    <col min="10253" max="10497" width="11.44140625" style="204"/>
    <col min="10498" max="10498" width="2.44140625" style="204" customWidth="1"/>
    <col min="10499" max="10499" width="52.33203125" style="204" customWidth="1"/>
    <col min="10500" max="10501" width="0" style="204" hidden="1" customWidth="1"/>
    <col min="10502" max="10505" width="18.6640625" style="204" customWidth="1"/>
    <col min="10506" max="10507" width="2.88671875" style="204" customWidth="1"/>
    <col min="10508" max="10508" width="13.33203125" style="204" bestFit="1" customWidth="1"/>
    <col min="10509" max="10753" width="11.44140625" style="204"/>
    <col min="10754" max="10754" width="2.44140625" style="204" customWidth="1"/>
    <col min="10755" max="10755" width="52.33203125" style="204" customWidth="1"/>
    <col min="10756" max="10757" width="0" style="204" hidden="1" customWidth="1"/>
    <col min="10758" max="10761" width="18.6640625" style="204" customWidth="1"/>
    <col min="10762" max="10763" width="2.88671875" style="204" customWidth="1"/>
    <col min="10764" max="10764" width="13.33203125" style="204" bestFit="1" customWidth="1"/>
    <col min="10765" max="11009" width="11.44140625" style="204"/>
    <col min="11010" max="11010" width="2.44140625" style="204" customWidth="1"/>
    <col min="11011" max="11011" width="52.33203125" style="204" customWidth="1"/>
    <col min="11012" max="11013" width="0" style="204" hidden="1" customWidth="1"/>
    <col min="11014" max="11017" width="18.6640625" style="204" customWidth="1"/>
    <col min="11018" max="11019" width="2.88671875" style="204" customWidth="1"/>
    <col min="11020" max="11020" width="13.33203125" style="204" bestFit="1" customWidth="1"/>
    <col min="11021" max="11265" width="11.44140625" style="204"/>
    <col min="11266" max="11266" width="2.44140625" style="204" customWidth="1"/>
    <col min="11267" max="11267" width="52.33203125" style="204" customWidth="1"/>
    <col min="11268" max="11269" width="0" style="204" hidden="1" customWidth="1"/>
    <col min="11270" max="11273" width="18.6640625" style="204" customWidth="1"/>
    <col min="11274" max="11275" width="2.88671875" style="204" customWidth="1"/>
    <col min="11276" max="11276" width="13.33203125" style="204" bestFit="1" customWidth="1"/>
    <col min="11277" max="11521" width="11.44140625" style="204"/>
    <col min="11522" max="11522" width="2.44140625" style="204" customWidth="1"/>
    <col min="11523" max="11523" width="52.33203125" style="204" customWidth="1"/>
    <col min="11524" max="11525" width="0" style="204" hidden="1" customWidth="1"/>
    <col min="11526" max="11529" width="18.6640625" style="204" customWidth="1"/>
    <col min="11530" max="11531" width="2.88671875" style="204" customWidth="1"/>
    <col min="11532" max="11532" width="13.33203125" style="204" bestFit="1" customWidth="1"/>
    <col min="11533" max="11777" width="11.44140625" style="204"/>
    <col min="11778" max="11778" width="2.44140625" style="204" customWidth="1"/>
    <col min="11779" max="11779" width="52.33203125" style="204" customWidth="1"/>
    <col min="11780" max="11781" width="0" style="204" hidden="1" customWidth="1"/>
    <col min="11782" max="11785" width="18.6640625" style="204" customWidth="1"/>
    <col min="11786" max="11787" width="2.88671875" style="204" customWidth="1"/>
    <col min="11788" max="11788" width="13.33203125" style="204" bestFit="1" customWidth="1"/>
    <col min="11789" max="12033" width="11.44140625" style="204"/>
    <col min="12034" max="12034" width="2.44140625" style="204" customWidth="1"/>
    <col min="12035" max="12035" width="52.33203125" style="204" customWidth="1"/>
    <col min="12036" max="12037" width="0" style="204" hidden="1" customWidth="1"/>
    <col min="12038" max="12041" width="18.6640625" style="204" customWidth="1"/>
    <col min="12042" max="12043" width="2.88671875" style="204" customWidth="1"/>
    <col min="12044" max="12044" width="13.33203125" style="204" bestFit="1" customWidth="1"/>
    <col min="12045" max="12289" width="11.44140625" style="204"/>
    <col min="12290" max="12290" width="2.44140625" style="204" customWidth="1"/>
    <col min="12291" max="12291" width="52.33203125" style="204" customWidth="1"/>
    <col min="12292" max="12293" width="0" style="204" hidden="1" customWidth="1"/>
    <col min="12294" max="12297" width="18.6640625" style="204" customWidth="1"/>
    <col min="12298" max="12299" width="2.88671875" style="204" customWidth="1"/>
    <col min="12300" max="12300" width="13.33203125" style="204" bestFit="1" customWidth="1"/>
    <col min="12301" max="12545" width="11.44140625" style="204"/>
    <col min="12546" max="12546" width="2.44140625" style="204" customWidth="1"/>
    <col min="12547" max="12547" width="52.33203125" style="204" customWidth="1"/>
    <col min="12548" max="12549" width="0" style="204" hidden="1" customWidth="1"/>
    <col min="12550" max="12553" width="18.6640625" style="204" customWidth="1"/>
    <col min="12554" max="12555" width="2.88671875" style="204" customWidth="1"/>
    <col min="12556" max="12556" width="13.33203125" style="204" bestFit="1" customWidth="1"/>
    <col min="12557" max="12801" width="11.44140625" style="204"/>
    <col min="12802" max="12802" width="2.44140625" style="204" customWidth="1"/>
    <col min="12803" max="12803" width="52.33203125" style="204" customWidth="1"/>
    <col min="12804" max="12805" width="0" style="204" hidden="1" customWidth="1"/>
    <col min="12806" max="12809" width="18.6640625" style="204" customWidth="1"/>
    <col min="12810" max="12811" width="2.88671875" style="204" customWidth="1"/>
    <col min="12812" max="12812" width="13.33203125" style="204" bestFit="1" customWidth="1"/>
    <col min="12813" max="13057" width="11.44140625" style="204"/>
    <col min="13058" max="13058" width="2.44140625" style="204" customWidth="1"/>
    <col min="13059" max="13059" width="52.33203125" style="204" customWidth="1"/>
    <col min="13060" max="13061" width="0" style="204" hidden="1" customWidth="1"/>
    <col min="13062" max="13065" width="18.6640625" style="204" customWidth="1"/>
    <col min="13066" max="13067" width="2.88671875" style="204" customWidth="1"/>
    <col min="13068" max="13068" width="13.33203125" style="204" bestFit="1" customWidth="1"/>
    <col min="13069" max="13313" width="11.44140625" style="204"/>
    <col min="13314" max="13314" width="2.44140625" style="204" customWidth="1"/>
    <col min="13315" max="13315" width="52.33203125" style="204" customWidth="1"/>
    <col min="13316" max="13317" width="0" style="204" hidden="1" customWidth="1"/>
    <col min="13318" max="13321" width="18.6640625" style="204" customWidth="1"/>
    <col min="13322" max="13323" width="2.88671875" style="204" customWidth="1"/>
    <col min="13324" max="13324" width="13.33203125" style="204" bestFit="1" customWidth="1"/>
    <col min="13325" max="13569" width="11.44140625" style="204"/>
    <col min="13570" max="13570" width="2.44140625" style="204" customWidth="1"/>
    <col min="13571" max="13571" width="52.33203125" style="204" customWidth="1"/>
    <col min="13572" max="13573" width="0" style="204" hidden="1" customWidth="1"/>
    <col min="13574" max="13577" width="18.6640625" style="204" customWidth="1"/>
    <col min="13578" max="13579" width="2.88671875" style="204" customWidth="1"/>
    <col min="13580" max="13580" width="13.33203125" style="204" bestFit="1" customWidth="1"/>
    <col min="13581" max="13825" width="11.44140625" style="204"/>
    <col min="13826" max="13826" width="2.44140625" style="204" customWidth="1"/>
    <col min="13827" max="13827" width="52.33203125" style="204" customWidth="1"/>
    <col min="13828" max="13829" width="0" style="204" hidden="1" customWidth="1"/>
    <col min="13830" max="13833" width="18.6640625" style="204" customWidth="1"/>
    <col min="13834" max="13835" width="2.88671875" style="204" customWidth="1"/>
    <col min="13836" max="13836" width="13.33203125" style="204" bestFit="1" customWidth="1"/>
    <col min="13837" max="14081" width="11.44140625" style="204"/>
    <col min="14082" max="14082" width="2.44140625" style="204" customWidth="1"/>
    <col min="14083" max="14083" width="52.33203125" style="204" customWidth="1"/>
    <col min="14084" max="14085" width="0" style="204" hidden="1" customWidth="1"/>
    <col min="14086" max="14089" width="18.6640625" style="204" customWidth="1"/>
    <col min="14090" max="14091" width="2.88671875" style="204" customWidth="1"/>
    <col min="14092" max="14092" width="13.33203125" style="204" bestFit="1" customWidth="1"/>
    <col min="14093" max="14337" width="11.44140625" style="204"/>
    <col min="14338" max="14338" width="2.44140625" style="204" customWidth="1"/>
    <col min="14339" max="14339" width="52.33203125" style="204" customWidth="1"/>
    <col min="14340" max="14341" width="0" style="204" hidden="1" customWidth="1"/>
    <col min="14342" max="14345" width="18.6640625" style="204" customWidth="1"/>
    <col min="14346" max="14347" width="2.88671875" style="204" customWidth="1"/>
    <col min="14348" max="14348" width="13.33203125" style="204" bestFit="1" customWidth="1"/>
    <col min="14349" max="14593" width="11.44140625" style="204"/>
    <col min="14594" max="14594" width="2.44140625" style="204" customWidth="1"/>
    <col min="14595" max="14595" width="52.33203125" style="204" customWidth="1"/>
    <col min="14596" max="14597" width="0" style="204" hidden="1" customWidth="1"/>
    <col min="14598" max="14601" width="18.6640625" style="204" customWidth="1"/>
    <col min="14602" max="14603" width="2.88671875" style="204" customWidth="1"/>
    <col min="14604" max="14604" width="13.33203125" style="204" bestFit="1" customWidth="1"/>
    <col min="14605" max="14849" width="11.44140625" style="204"/>
    <col min="14850" max="14850" width="2.44140625" style="204" customWidth="1"/>
    <col min="14851" max="14851" width="52.33203125" style="204" customWidth="1"/>
    <col min="14852" max="14853" width="0" style="204" hidden="1" customWidth="1"/>
    <col min="14854" max="14857" width="18.6640625" style="204" customWidth="1"/>
    <col min="14858" max="14859" width="2.88671875" style="204" customWidth="1"/>
    <col min="14860" max="14860" width="13.33203125" style="204" bestFit="1" customWidth="1"/>
    <col min="14861" max="15105" width="11.44140625" style="204"/>
    <col min="15106" max="15106" width="2.44140625" style="204" customWidth="1"/>
    <col min="15107" max="15107" width="52.33203125" style="204" customWidth="1"/>
    <col min="15108" max="15109" width="0" style="204" hidden="1" customWidth="1"/>
    <col min="15110" max="15113" width="18.6640625" style="204" customWidth="1"/>
    <col min="15114" max="15115" width="2.88671875" style="204" customWidth="1"/>
    <col min="15116" max="15116" width="13.33203125" style="204" bestFit="1" customWidth="1"/>
    <col min="15117" max="15361" width="11.44140625" style="204"/>
    <col min="15362" max="15362" width="2.44140625" style="204" customWidth="1"/>
    <col min="15363" max="15363" width="52.33203125" style="204" customWidth="1"/>
    <col min="15364" max="15365" width="0" style="204" hidden="1" customWidth="1"/>
    <col min="15366" max="15369" width="18.6640625" style="204" customWidth="1"/>
    <col min="15370" max="15371" width="2.88671875" style="204" customWidth="1"/>
    <col min="15372" max="15372" width="13.33203125" style="204" bestFit="1" customWidth="1"/>
    <col min="15373" max="15617" width="11.44140625" style="204"/>
    <col min="15618" max="15618" width="2.44140625" style="204" customWidth="1"/>
    <col min="15619" max="15619" width="52.33203125" style="204" customWidth="1"/>
    <col min="15620" max="15621" width="0" style="204" hidden="1" customWidth="1"/>
    <col min="15622" max="15625" width="18.6640625" style="204" customWidth="1"/>
    <col min="15626" max="15627" width="2.88671875" style="204" customWidth="1"/>
    <col min="15628" max="15628" width="13.33203125" style="204" bestFit="1" customWidth="1"/>
    <col min="15629" max="15873" width="11.44140625" style="204"/>
    <col min="15874" max="15874" width="2.44140625" style="204" customWidth="1"/>
    <col min="15875" max="15875" width="52.33203125" style="204" customWidth="1"/>
    <col min="15876" max="15877" width="0" style="204" hidden="1" customWidth="1"/>
    <col min="15878" max="15881" width="18.6640625" style="204" customWidth="1"/>
    <col min="15882" max="15883" width="2.88671875" style="204" customWidth="1"/>
    <col min="15884" max="15884" width="13.33203125" style="204" bestFit="1" customWidth="1"/>
    <col min="15885" max="16129" width="11.44140625" style="204"/>
    <col min="16130" max="16130" width="2.44140625" style="204" customWidth="1"/>
    <col min="16131" max="16131" width="52.33203125" style="204" customWidth="1"/>
    <col min="16132" max="16133" width="0" style="204" hidden="1" customWidth="1"/>
    <col min="16134" max="16137" width="18.6640625" style="204" customWidth="1"/>
    <col min="16138" max="16139" width="2.88671875" style="204" customWidth="1"/>
    <col min="16140" max="16140" width="13.33203125" style="204" bestFit="1" customWidth="1"/>
    <col min="16141" max="16384" width="11.44140625" style="204"/>
  </cols>
  <sheetData>
    <row r="1" spans="1:17" ht="17.399999999999999">
      <c r="A1" s="1659" t="s">
        <v>258</v>
      </c>
      <c r="B1" s="1659"/>
      <c r="C1" s="1659"/>
      <c r="D1" s="1659"/>
      <c r="E1" s="1659"/>
      <c r="F1" s="1659"/>
      <c r="G1" s="1659"/>
      <c r="H1" s="535"/>
      <c r="I1" s="598"/>
      <c r="J1" s="535"/>
      <c r="K1" s="202"/>
      <c r="L1" s="203"/>
    </row>
    <row r="2" spans="1:17" ht="10.8" thickBot="1">
      <c r="A2" s="205"/>
      <c r="B2" s="205"/>
      <c r="C2" s="205"/>
      <c r="D2" s="205"/>
      <c r="E2" s="206"/>
      <c r="F2" s="202"/>
      <c r="G2" s="202"/>
      <c r="H2" s="202"/>
      <c r="I2" s="202"/>
      <c r="J2" s="202"/>
      <c r="K2" s="202"/>
      <c r="L2" s="203"/>
    </row>
    <row r="3" spans="1:17" ht="31.5" customHeight="1">
      <c r="A3" s="207"/>
      <c r="B3" s="243" t="s">
        <v>260</v>
      </c>
      <c r="C3" s="1664" t="e">
        <f>#REF!</f>
        <v>#REF!</v>
      </c>
      <c r="D3" s="1664"/>
      <c r="E3" s="1664"/>
      <c r="F3" s="1664"/>
      <c r="G3" s="1664"/>
      <c r="H3" s="1665"/>
      <c r="I3" s="601"/>
      <c r="J3" s="202"/>
      <c r="K3" s="202"/>
      <c r="L3" s="208"/>
    </row>
    <row r="4" spans="1:17">
      <c r="A4" s="207"/>
      <c r="B4" s="244" t="s">
        <v>261</v>
      </c>
      <c r="C4" s="245" t="str">
        <f>[17]VALORIZACION!P5</f>
        <v>PACHACONAS</v>
      </c>
      <c r="D4" s="246"/>
      <c r="E4" s="247" t="s">
        <v>1785</v>
      </c>
      <c r="F4" s="248"/>
      <c r="G4" s="248"/>
      <c r="H4" s="542"/>
      <c r="I4" s="542"/>
      <c r="J4" s="202"/>
      <c r="K4" s="202"/>
      <c r="L4" s="208"/>
    </row>
    <row r="5" spans="1:17" ht="10.8" thickBot="1">
      <c r="A5" s="207"/>
      <c r="B5" s="249" t="s">
        <v>262</v>
      </c>
      <c r="C5" s="250" t="str">
        <f>[17]VALORIZACION!D7</f>
        <v>ADMINISTRACION DIRECTA</v>
      </c>
      <c r="D5" s="251"/>
      <c r="E5" s="252" t="str">
        <f>[17]VALORIZACION!D7</f>
        <v>ADMINISTRACION DIRECTA</v>
      </c>
      <c r="F5" s="253"/>
      <c r="G5" s="253"/>
      <c r="H5" s="543"/>
      <c r="I5" s="543"/>
      <c r="J5" s="202"/>
      <c r="K5" s="202"/>
      <c r="L5" s="208"/>
    </row>
    <row r="6" spans="1:17" ht="10.8" thickBot="1">
      <c r="A6" s="209"/>
      <c r="B6" s="205"/>
      <c r="C6" s="205"/>
      <c r="D6" s="205"/>
      <c r="E6" s="202"/>
      <c r="F6" s="202"/>
      <c r="G6" s="202"/>
      <c r="H6" s="202"/>
      <c r="I6" s="202"/>
      <c r="J6" s="205"/>
      <c r="K6" s="202"/>
      <c r="L6" s="203"/>
    </row>
    <row r="7" spans="1:17" s="549" customFormat="1" ht="15.6">
      <c r="A7" s="544"/>
      <c r="B7" s="1660" t="s">
        <v>259</v>
      </c>
      <c r="C7" s="545"/>
      <c r="D7" s="1662" t="s">
        <v>250</v>
      </c>
      <c r="E7" s="1657" t="s">
        <v>1784</v>
      </c>
      <c r="F7" s="1657" t="s">
        <v>435</v>
      </c>
      <c r="G7" s="1657" t="s">
        <v>434</v>
      </c>
      <c r="H7" s="1657" t="s">
        <v>515</v>
      </c>
      <c r="I7" s="1657" t="s">
        <v>517</v>
      </c>
      <c r="J7" s="546"/>
      <c r="K7" s="547"/>
      <c r="L7" s="548"/>
    </row>
    <row r="8" spans="1:17" s="549" customFormat="1" ht="15.75" customHeight="1" thickBot="1">
      <c r="A8" s="550"/>
      <c r="B8" s="1661"/>
      <c r="C8" s="551"/>
      <c r="D8" s="1663"/>
      <c r="E8" s="1658"/>
      <c r="F8" s="1658"/>
      <c r="G8" s="1658"/>
      <c r="H8" s="1658"/>
      <c r="I8" s="1658"/>
      <c r="J8" s="552"/>
      <c r="K8" s="553"/>
      <c r="L8" s="548"/>
    </row>
    <row r="9" spans="1:17">
      <c r="A9" s="215"/>
      <c r="B9" s="254" t="str">
        <f>[17]VALORIZACION!B14</f>
        <v xml:space="preserve">            OBRAS PROVISIONALES.</v>
      </c>
      <c r="C9" s="255"/>
      <c r="D9" s="256"/>
      <c r="E9" s="256"/>
      <c r="F9" s="256"/>
      <c r="G9" s="257"/>
      <c r="H9" s="257"/>
      <c r="I9" s="257"/>
      <c r="J9" s="213"/>
      <c r="K9" s="214"/>
      <c r="L9" s="211"/>
    </row>
    <row r="10" spans="1:17">
      <c r="A10" s="216"/>
      <c r="B10" s="217"/>
      <c r="C10" s="223"/>
      <c r="D10" s="218"/>
      <c r="E10" s="258"/>
      <c r="F10" s="219"/>
      <c r="G10" s="220"/>
      <c r="H10" s="220"/>
      <c r="I10" s="220"/>
      <c r="J10" s="221"/>
      <c r="K10" s="214"/>
      <c r="L10" s="222">
        <f>SUM(E10:G10)</f>
        <v>0</v>
      </c>
    </row>
    <row r="11" spans="1:17" ht="13.2">
      <c r="A11" s="212"/>
      <c r="B11" s="217" t="str">
        <f>[17]VALORIZACION!B15</f>
        <v xml:space="preserve">  MOVILIZACIÓN Y DESMOVILIZACIÓN DE MAQUINARIA, EQUIPO Y H.</v>
      </c>
      <c r="C11" s="223"/>
      <c r="D11" s="259">
        <f>[17]VALORIZACION!J15</f>
        <v>39696.404999999999</v>
      </c>
      <c r="E11" s="260"/>
      <c r="F11" s="260"/>
      <c r="G11" s="224"/>
      <c r="H11" s="224"/>
      <c r="I11" s="224"/>
      <c r="J11" s="205"/>
      <c r="K11" s="225" t="str">
        <f>IF(L11=D11,"ok","falso")</f>
        <v>falso</v>
      </c>
      <c r="L11" s="222">
        <f>SUM(E11:G11)</f>
        <v>0</v>
      </c>
      <c r="M11" s="226">
        <f>E11/D11</f>
        <v>0</v>
      </c>
      <c r="N11" s="226">
        <f>F11/D11</f>
        <v>0</v>
      </c>
      <c r="O11" s="226">
        <f>M11+N11</f>
        <v>0</v>
      </c>
      <c r="P11" s="204">
        <f>E11+F11+G11</f>
        <v>0</v>
      </c>
      <c r="Q11" s="227">
        <f>P11/D11</f>
        <v>0</v>
      </c>
    </row>
    <row r="12" spans="1:17" ht="5.25" customHeight="1">
      <c r="A12" s="216"/>
      <c r="B12" s="217"/>
      <c r="C12" s="223"/>
      <c r="D12" s="218"/>
      <c r="E12" s="258"/>
      <c r="F12" s="219"/>
      <c r="G12" s="220"/>
      <c r="H12" s="220"/>
      <c r="I12" s="220"/>
      <c r="J12" s="221"/>
      <c r="K12" s="202"/>
      <c r="L12" s="222">
        <f>SUM(E12:G12)</f>
        <v>0</v>
      </c>
      <c r="M12" s="226" t="e">
        <f>E12/D12</f>
        <v>#DIV/0!</v>
      </c>
      <c r="N12" s="226" t="e">
        <f>F12/D12</f>
        <v>#DIV/0!</v>
      </c>
      <c r="O12" s="226" t="e">
        <f>M12+N12</f>
        <v>#DIV/0!</v>
      </c>
      <c r="P12" s="204">
        <f>E12+F12+G12</f>
        <v>0</v>
      </c>
      <c r="Q12" s="226" t="e">
        <f>P12/D12</f>
        <v>#DIV/0!</v>
      </c>
    </row>
    <row r="13" spans="1:17" ht="13.2">
      <c r="A13" s="212"/>
      <c r="B13" s="217" t="str">
        <f>[17]VALORIZACION!B16</f>
        <v xml:space="preserve"> ACCESO A CANTERAS, DME Y FUENTES DE AGUA</v>
      </c>
      <c r="C13" s="223"/>
      <c r="D13" s="259">
        <f>[17]VALORIZACION!J16</f>
        <v>11928</v>
      </c>
      <c r="E13" s="223"/>
      <c r="F13" s="223"/>
      <c r="G13" s="224"/>
      <c r="H13" s="224"/>
      <c r="I13" s="224"/>
      <c r="J13" s="205"/>
      <c r="K13" s="225" t="str">
        <f>IF(L13=D13,"ok","falso")</f>
        <v>falso</v>
      </c>
      <c r="L13" s="222">
        <f>SUM(E13:G13)</f>
        <v>0</v>
      </c>
      <c r="M13" s="226">
        <f>E13/D13</f>
        <v>0</v>
      </c>
      <c r="N13" s="226">
        <f>F13/D13</f>
        <v>0</v>
      </c>
      <c r="O13" s="226">
        <f>M13+N13</f>
        <v>0</v>
      </c>
      <c r="P13" s="204">
        <f>E13+F13+G13</f>
        <v>0</v>
      </c>
      <c r="Q13" s="227">
        <f>P13/D13</f>
        <v>0</v>
      </c>
    </row>
    <row r="14" spans="1:17" ht="5.25" customHeight="1">
      <c r="A14" s="216"/>
      <c r="B14" s="217"/>
      <c r="C14" s="223"/>
      <c r="D14" s="218"/>
      <c r="E14" s="258"/>
      <c r="F14" s="219"/>
      <c r="G14" s="220"/>
      <c r="H14" s="220"/>
      <c r="I14" s="220"/>
      <c r="J14" s="221"/>
      <c r="K14" s="202"/>
      <c r="L14" s="222"/>
      <c r="M14" s="226"/>
      <c r="N14" s="226"/>
      <c r="O14" s="226"/>
      <c r="Q14" s="226"/>
    </row>
    <row r="15" spans="1:17" ht="13.2">
      <c r="A15" s="215"/>
      <c r="B15" s="228" t="str">
        <f>[17]VALORIZACION!B17</f>
        <v xml:space="preserve">            CONSTRUCCIÓN PLATAFORMA DE VIA.</v>
      </c>
      <c r="C15" s="261"/>
      <c r="D15" s="259"/>
      <c r="E15" s="223"/>
      <c r="F15" s="223"/>
      <c r="G15" s="224"/>
      <c r="H15" s="224"/>
      <c r="I15" s="224"/>
      <c r="J15" s="205"/>
      <c r="K15" s="225"/>
      <c r="L15" s="222"/>
      <c r="M15" s="226"/>
      <c r="N15" s="226"/>
      <c r="O15" s="226"/>
      <c r="Q15" s="227"/>
    </row>
    <row r="16" spans="1:17" ht="13.2">
      <c r="A16" s="215"/>
      <c r="B16" s="229" t="str">
        <f>[17]VALORIZACION!B18</f>
        <v xml:space="preserve">                TRABAJOS PRELIMINARES.</v>
      </c>
      <c r="C16" s="262"/>
      <c r="D16" s="259"/>
      <c r="E16" s="223"/>
      <c r="F16" s="223"/>
      <c r="G16" s="224"/>
      <c r="H16" s="224"/>
      <c r="I16" s="224"/>
      <c r="J16" s="205"/>
      <c r="K16" s="225"/>
      <c r="L16" s="222"/>
      <c r="M16" s="226"/>
      <c r="N16" s="226"/>
      <c r="O16" s="226"/>
      <c r="Q16" s="227"/>
    </row>
    <row r="17" spans="1:17" ht="5.25" customHeight="1">
      <c r="A17" s="216"/>
      <c r="B17" s="217"/>
      <c r="C17" s="223"/>
      <c r="D17" s="218"/>
      <c r="E17" s="258"/>
      <c r="F17" s="219"/>
      <c r="G17" s="220"/>
      <c r="H17" s="220"/>
      <c r="I17" s="220"/>
      <c r="J17" s="221"/>
      <c r="K17" s="202"/>
      <c r="L17" s="222">
        <f>SUM(F17:G17)</f>
        <v>0</v>
      </c>
      <c r="M17" s="226" t="e">
        <f>F17/D17</f>
        <v>#DIV/0!</v>
      </c>
      <c r="N17" s="226" t="e">
        <f>G17/D17</f>
        <v>#DIV/0!</v>
      </c>
      <c r="O17" s="226" t="e">
        <f>M17+N17</f>
        <v>#DIV/0!</v>
      </c>
      <c r="P17" s="204" t="e">
        <f>F17+G17+#REF!</f>
        <v>#REF!</v>
      </c>
      <c r="Q17" s="226" t="e">
        <f>P17/D17</f>
        <v>#REF!</v>
      </c>
    </row>
    <row r="18" spans="1:17" ht="13.2">
      <c r="A18" s="212"/>
      <c r="B18" s="217" t="str">
        <f>[17]VALORIZACION!B19</f>
        <v>TOPOGRAFÍA Y GEOREFERENCIACIÓN</v>
      </c>
      <c r="C18" s="223"/>
      <c r="D18" s="259">
        <f>[17]VALORIZACION!L19</f>
        <v>27890.316600000002</v>
      </c>
      <c r="E18" s="223"/>
      <c r="F18" s="223"/>
      <c r="G18" s="224"/>
      <c r="H18" s="224"/>
      <c r="I18" s="224"/>
      <c r="J18" s="205"/>
      <c r="K18" s="225" t="str">
        <f>IF(L18=D18,"ok","falso")</f>
        <v>falso</v>
      </c>
      <c r="L18" s="222">
        <f>SUM(F18:G18)</f>
        <v>0</v>
      </c>
      <c r="M18" s="226">
        <f>F18/D18</f>
        <v>0</v>
      </c>
      <c r="N18" s="226">
        <f>G18/D18</f>
        <v>0</v>
      </c>
      <c r="O18" s="226">
        <f>M18+N18</f>
        <v>0</v>
      </c>
      <c r="P18" s="204" t="e">
        <f>F18+G18+#REF!</f>
        <v>#REF!</v>
      </c>
      <c r="Q18" s="227" t="e">
        <f>P18/D18</f>
        <v>#REF!</v>
      </c>
    </row>
    <row r="19" spans="1:17" ht="13.2">
      <c r="A19" s="215"/>
      <c r="B19" s="229" t="str">
        <f>[17]VALORIZACION!B20</f>
        <v xml:space="preserve">                MOVIMIENTO DE TIERRAS</v>
      </c>
      <c r="C19" s="262"/>
      <c r="D19" s="259"/>
      <c r="E19" s="230"/>
      <c r="F19" s="223"/>
      <c r="G19" s="224"/>
      <c r="H19" s="224"/>
      <c r="I19" s="224"/>
      <c r="J19" s="205"/>
      <c r="K19" s="225"/>
      <c r="L19" s="222"/>
      <c r="M19" s="226"/>
      <c r="N19" s="226"/>
      <c r="O19" s="226"/>
      <c r="Q19" s="227"/>
    </row>
    <row r="20" spans="1:17" ht="5.25" customHeight="1">
      <c r="A20" s="216"/>
      <c r="B20" s="217"/>
      <c r="C20" s="223"/>
      <c r="D20" s="218"/>
      <c r="E20" s="258"/>
      <c r="F20" s="219"/>
      <c r="G20" s="220"/>
      <c r="H20" s="220"/>
      <c r="I20" s="220"/>
      <c r="J20" s="221"/>
      <c r="K20" s="202"/>
      <c r="L20" s="222">
        <f t="shared" ref="L20:L29" si="0">SUM(E20:G20)</f>
        <v>0</v>
      </c>
      <c r="M20" s="226" t="e">
        <f t="shared" ref="M20:M29" si="1">E20/D20</f>
        <v>#DIV/0!</v>
      </c>
      <c r="N20" s="226" t="e">
        <f>F20/D20</f>
        <v>#DIV/0!</v>
      </c>
      <c r="O20" s="226" t="e">
        <f t="shared" ref="O20:O29" si="2">M20+N20</f>
        <v>#DIV/0!</v>
      </c>
      <c r="P20" s="204">
        <f>E20+F20+G20</f>
        <v>0</v>
      </c>
      <c r="Q20" s="226" t="e">
        <f t="shared" ref="Q20:Q29" si="3">P20/D20</f>
        <v>#DIV/0!</v>
      </c>
    </row>
    <row r="21" spans="1:17" ht="13.2">
      <c r="A21" s="212"/>
      <c r="B21" s="217" t="str">
        <f>[17]VALORIZACION!B21</f>
        <v xml:space="preserve"> CORTE DE MATERIAL SUELTO</v>
      </c>
      <c r="C21" s="223"/>
      <c r="D21" s="259">
        <f>[17]VALORIZACION!L21</f>
        <v>703325.0368746703</v>
      </c>
      <c r="E21" s="260"/>
      <c r="F21" s="260"/>
      <c r="G21" s="224"/>
      <c r="H21" s="224"/>
      <c r="I21" s="224"/>
      <c r="J21" s="205"/>
      <c r="K21" s="225" t="str">
        <f>IF(L21=D21,"ok","falso")</f>
        <v>falso</v>
      </c>
      <c r="L21" s="222">
        <f t="shared" si="0"/>
        <v>0</v>
      </c>
      <c r="M21" s="226">
        <f t="shared" si="1"/>
        <v>0</v>
      </c>
      <c r="N21" s="226">
        <f>F21/D21</f>
        <v>0</v>
      </c>
      <c r="O21" s="226">
        <f t="shared" si="2"/>
        <v>0</v>
      </c>
      <c r="P21" s="204">
        <f>E21+F21+G21</f>
        <v>0</v>
      </c>
      <c r="Q21" s="227">
        <f t="shared" si="3"/>
        <v>0</v>
      </c>
    </row>
    <row r="22" spans="1:17" ht="5.25" customHeight="1">
      <c r="A22" s="216"/>
      <c r="B22" s="217"/>
      <c r="C22" s="223"/>
      <c r="D22" s="218"/>
      <c r="E22" s="258"/>
      <c r="F22" s="219"/>
      <c r="G22" s="220"/>
      <c r="H22" s="220"/>
      <c r="I22" s="220"/>
      <c r="J22" s="221"/>
      <c r="K22" s="202"/>
      <c r="L22" s="222">
        <f t="shared" si="0"/>
        <v>0</v>
      </c>
      <c r="M22" s="226" t="e">
        <f t="shared" si="1"/>
        <v>#DIV/0!</v>
      </c>
      <c r="N22" s="226" t="e">
        <f>F22/D22</f>
        <v>#DIV/0!</v>
      </c>
      <c r="O22" s="226" t="e">
        <f t="shared" si="2"/>
        <v>#DIV/0!</v>
      </c>
      <c r="P22" s="204">
        <f>E22+F22+G22</f>
        <v>0</v>
      </c>
      <c r="Q22" s="226" t="e">
        <f t="shared" si="3"/>
        <v>#DIV/0!</v>
      </c>
    </row>
    <row r="23" spans="1:17" ht="13.2">
      <c r="A23" s="212"/>
      <c r="B23" s="217" t="str">
        <f>[17]VALORIZACION!B22</f>
        <v xml:space="preserve"> EXCAVACIÓN EN EXPLANACIONES EN ROCA FIJA</v>
      </c>
      <c r="C23" s="223"/>
      <c r="D23" s="259">
        <f>[17]VALORIZACION!L22</f>
        <v>845124.14230526343</v>
      </c>
      <c r="E23" s="260"/>
      <c r="F23" s="260"/>
      <c r="G23" s="224"/>
      <c r="H23" s="224"/>
      <c r="I23" s="224"/>
      <c r="J23" s="205"/>
      <c r="K23" s="225" t="str">
        <f>IF(L23=D23,"ok","falso")</f>
        <v>falso</v>
      </c>
      <c r="L23" s="222">
        <f t="shared" si="0"/>
        <v>0</v>
      </c>
      <c r="M23" s="226">
        <f t="shared" si="1"/>
        <v>0</v>
      </c>
      <c r="N23" s="226">
        <f>G23/D23</f>
        <v>0</v>
      </c>
      <c r="O23" s="226">
        <f t="shared" si="2"/>
        <v>0</v>
      </c>
      <c r="P23" s="204" t="e">
        <f>E23+G23+#REF!</f>
        <v>#REF!</v>
      </c>
      <c r="Q23" s="227" t="e">
        <f t="shared" si="3"/>
        <v>#REF!</v>
      </c>
    </row>
    <row r="24" spans="1:17" ht="5.25" customHeight="1">
      <c r="A24" s="216"/>
      <c r="B24" s="217"/>
      <c r="C24" s="223"/>
      <c r="D24" s="218"/>
      <c r="E24" s="258"/>
      <c r="F24" s="219"/>
      <c r="G24" s="220"/>
      <c r="H24" s="220"/>
      <c r="I24" s="220"/>
      <c r="J24" s="221"/>
      <c r="K24" s="202"/>
      <c r="L24" s="222">
        <f t="shared" si="0"/>
        <v>0</v>
      </c>
      <c r="M24" s="226" t="e">
        <f t="shared" si="1"/>
        <v>#DIV/0!</v>
      </c>
      <c r="N24" s="226" t="e">
        <f t="shared" ref="N24:N29" si="4">F24/D24</f>
        <v>#DIV/0!</v>
      </c>
      <c r="O24" s="226" t="e">
        <f t="shared" si="2"/>
        <v>#DIV/0!</v>
      </c>
      <c r="P24" s="204">
        <f t="shared" ref="P24:P29" si="5">E24+F24+G24</f>
        <v>0</v>
      </c>
      <c r="Q24" s="226" t="e">
        <f t="shared" si="3"/>
        <v>#DIV/0!</v>
      </c>
    </row>
    <row r="25" spans="1:17" ht="13.2">
      <c r="A25" s="212"/>
      <c r="B25" s="217" t="str">
        <f>[17]VALORIZACION!B23</f>
        <v>EXCAVACIÓN EN EXPLANACIONES EN ROCA SUELTA</v>
      </c>
      <c r="C25" s="223">
        <f>[17]VALORIZACION!D23</f>
        <v>27759.46</v>
      </c>
      <c r="D25" s="259">
        <f>+[17]RESUMEN!G20</f>
        <v>224193.1</v>
      </c>
      <c r="E25" s="260"/>
      <c r="F25" s="260"/>
      <c r="G25" s="224"/>
      <c r="H25" s="224"/>
      <c r="I25" s="224"/>
      <c r="J25" s="205"/>
      <c r="K25" s="225" t="str">
        <f>IF(L25=D25,"ok","falso")</f>
        <v>falso</v>
      </c>
      <c r="L25" s="222">
        <f t="shared" si="0"/>
        <v>0</v>
      </c>
      <c r="M25" s="226">
        <f t="shared" si="1"/>
        <v>0</v>
      </c>
      <c r="N25" s="226">
        <f t="shared" si="4"/>
        <v>0</v>
      </c>
      <c r="O25" s="226">
        <f t="shared" si="2"/>
        <v>0</v>
      </c>
      <c r="P25" s="204">
        <f t="shared" si="5"/>
        <v>0</v>
      </c>
      <c r="Q25" s="226">
        <f t="shared" si="3"/>
        <v>0</v>
      </c>
    </row>
    <row r="26" spans="1:17" ht="5.25" customHeight="1">
      <c r="A26" s="216"/>
      <c r="B26" s="217"/>
      <c r="C26" s="223"/>
      <c r="D26" s="218"/>
      <c r="E26" s="258"/>
      <c r="F26" s="219"/>
      <c r="G26" s="220"/>
      <c r="H26" s="220"/>
      <c r="I26" s="220"/>
      <c r="J26" s="221"/>
      <c r="K26" s="202"/>
      <c r="L26" s="222">
        <f t="shared" si="0"/>
        <v>0</v>
      </c>
      <c r="M26" s="226" t="e">
        <f t="shared" si="1"/>
        <v>#DIV/0!</v>
      </c>
      <c r="N26" s="226" t="e">
        <f t="shared" si="4"/>
        <v>#DIV/0!</v>
      </c>
      <c r="O26" s="226" t="e">
        <f t="shared" si="2"/>
        <v>#DIV/0!</v>
      </c>
      <c r="P26" s="204">
        <f t="shared" si="5"/>
        <v>0</v>
      </c>
      <c r="Q26" s="226" t="e">
        <f t="shared" si="3"/>
        <v>#DIV/0!</v>
      </c>
    </row>
    <row r="27" spans="1:17" ht="13.2">
      <c r="A27" s="212"/>
      <c r="B27" s="217" t="str">
        <f>[17]VALORIZACION!B24</f>
        <v>CONFORMACION DE TERRAPLENES</v>
      </c>
      <c r="C27" s="223">
        <f>[17]VALORIZACION!F24</f>
        <v>3112.5636</v>
      </c>
      <c r="D27" s="259">
        <f>+[17]RESUMEN!G22</f>
        <v>118992.08</v>
      </c>
      <c r="E27" s="223"/>
      <c r="F27" s="260"/>
      <c r="G27" s="224"/>
      <c r="H27" s="224"/>
      <c r="I27" s="224"/>
      <c r="J27" s="205"/>
      <c r="K27" s="225" t="str">
        <f>IF(L27=D27,"ok","falso")</f>
        <v>falso</v>
      </c>
      <c r="L27" s="222">
        <f t="shared" si="0"/>
        <v>0</v>
      </c>
      <c r="M27" s="226">
        <f t="shared" si="1"/>
        <v>0</v>
      </c>
      <c r="N27" s="226">
        <f t="shared" si="4"/>
        <v>0</v>
      </c>
      <c r="O27" s="226">
        <f t="shared" si="2"/>
        <v>0</v>
      </c>
      <c r="P27" s="204">
        <f t="shared" si="5"/>
        <v>0</v>
      </c>
      <c r="Q27" s="227">
        <f t="shared" si="3"/>
        <v>0</v>
      </c>
    </row>
    <row r="28" spans="1:17" ht="5.25" customHeight="1">
      <c r="A28" s="216"/>
      <c r="B28" s="217"/>
      <c r="C28" s="223"/>
      <c r="D28" s="218"/>
      <c r="E28" s="258"/>
      <c r="F28" s="219"/>
      <c r="G28" s="220"/>
      <c r="H28" s="220"/>
      <c r="I28" s="220"/>
      <c r="J28" s="221"/>
      <c r="K28" s="202"/>
      <c r="L28" s="222">
        <f t="shared" si="0"/>
        <v>0</v>
      </c>
      <c r="M28" s="226" t="e">
        <f t="shared" si="1"/>
        <v>#DIV/0!</v>
      </c>
      <c r="N28" s="226" t="e">
        <f t="shared" si="4"/>
        <v>#DIV/0!</v>
      </c>
      <c r="O28" s="226" t="e">
        <f t="shared" si="2"/>
        <v>#DIV/0!</v>
      </c>
      <c r="P28" s="204">
        <f t="shared" si="5"/>
        <v>0</v>
      </c>
      <c r="Q28" s="226" t="e">
        <f t="shared" si="3"/>
        <v>#DIV/0!</v>
      </c>
    </row>
    <row r="29" spans="1:17" ht="13.2">
      <c r="A29" s="212"/>
      <c r="B29" s="231" t="str">
        <f>[17]VALORIZACION!B25</f>
        <v>PERFILADO Y COMPACTADO EN ZONA DE CORTE</v>
      </c>
      <c r="C29" s="223">
        <f>[17]VALORIZACION!F25</f>
        <v>79753.399999999994</v>
      </c>
      <c r="D29" s="259">
        <f>+[17]RESUMEN!G24</f>
        <v>297472</v>
      </c>
      <c r="E29" s="223"/>
      <c r="F29" s="223"/>
      <c r="G29" s="224"/>
      <c r="H29" s="224"/>
      <c r="I29" s="224"/>
      <c r="J29" s="205"/>
      <c r="K29" s="225" t="str">
        <f>IF(L29=D29,"ok","falso")</f>
        <v>falso</v>
      </c>
      <c r="L29" s="222">
        <f t="shared" si="0"/>
        <v>0</v>
      </c>
      <c r="M29" s="226">
        <f t="shared" si="1"/>
        <v>0</v>
      </c>
      <c r="N29" s="226">
        <f t="shared" si="4"/>
        <v>0</v>
      </c>
      <c r="O29" s="226">
        <f t="shared" si="2"/>
        <v>0</v>
      </c>
      <c r="P29" s="204">
        <f t="shared" si="5"/>
        <v>0</v>
      </c>
      <c r="Q29" s="226">
        <f t="shared" si="3"/>
        <v>0</v>
      </c>
    </row>
    <row r="30" spans="1:17" ht="5.25" customHeight="1">
      <c r="A30" s="216"/>
      <c r="B30" s="217"/>
      <c r="C30" s="223"/>
      <c r="D30" s="218"/>
      <c r="E30" s="258"/>
      <c r="F30" s="219"/>
      <c r="G30" s="220"/>
      <c r="H30" s="220"/>
      <c r="I30" s="220"/>
      <c r="J30" s="221"/>
      <c r="K30" s="202"/>
      <c r="L30" s="222"/>
      <c r="M30" s="226"/>
      <c r="N30" s="226"/>
      <c r="O30" s="226"/>
      <c r="Q30" s="226"/>
    </row>
    <row r="31" spans="1:17" ht="13.2">
      <c r="A31" s="215"/>
      <c r="B31" s="229" t="str">
        <f>[17]VALORIZACION!B26</f>
        <v xml:space="preserve">                TRANSPORTE</v>
      </c>
      <c r="C31" s="223"/>
      <c r="D31" s="259"/>
      <c r="E31" s="223"/>
      <c r="F31" s="223"/>
      <c r="G31" s="224"/>
      <c r="H31" s="224"/>
      <c r="I31" s="224"/>
      <c r="J31" s="205"/>
      <c r="K31" s="225"/>
      <c r="L31" s="222"/>
      <c r="M31" s="226"/>
      <c r="N31" s="226"/>
      <c r="O31" s="226"/>
      <c r="Q31" s="226"/>
    </row>
    <row r="32" spans="1:17" ht="5.25" customHeight="1">
      <c r="A32" s="216"/>
      <c r="B32" s="217"/>
      <c r="C32" s="223"/>
      <c r="D32" s="218"/>
      <c r="E32" s="258"/>
      <c r="F32" s="219"/>
      <c r="G32" s="220"/>
      <c r="H32" s="220"/>
      <c r="I32" s="220"/>
      <c r="J32" s="221"/>
      <c r="K32" s="202"/>
      <c r="L32" s="222">
        <f>SUM(E32:G32)</f>
        <v>0</v>
      </c>
      <c r="M32" s="226" t="e">
        <f>E32/D32</f>
        <v>#DIV/0!</v>
      </c>
      <c r="N32" s="226" t="e">
        <f>F32/D32</f>
        <v>#DIV/0!</v>
      </c>
      <c r="O32" s="226" t="e">
        <f>M32+N32</f>
        <v>#DIV/0!</v>
      </c>
      <c r="P32" s="204">
        <f>E32+F32+G32</f>
        <v>0</v>
      </c>
      <c r="Q32" s="226" t="e">
        <f>P32/D32</f>
        <v>#DIV/0!</v>
      </c>
    </row>
    <row r="33" spans="1:17" ht="13.2">
      <c r="A33" s="212"/>
      <c r="B33" s="217" t="str">
        <f>[17]VALORIZACION!B27</f>
        <v>TRANSPORTE DE ELIMINACIÓN DE MATERIAL A DME D&lt;=1 km</v>
      </c>
      <c r="C33" s="223"/>
      <c r="D33" s="259">
        <f>+[17]RESUMEN!G26</f>
        <v>9213.36</v>
      </c>
      <c r="E33" s="260"/>
      <c r="F33" s="260"/>
      <c r="G33" s="224"/>
      <c r="H33" s="224"/>
      <c r="I33" s="224"/>
      <c r="J33" s="205"/>
      <c r="K33" s="225" t="str">
        <f>IF(L33=D33,"ok","falso")</f>
        <v>falso</v>
      </c>
      <c r="L33" s="222">
        <f>SUM(E33:G33)</f>
        <v>0</v>
      </c>
      <c r="M33" s="226">
        <f>E33/D33</f>
        <v>0</v>
      </c>
      <c r="N33" s="226">
        <f>F33/D33</f>
        <v>0</v>
      </c>
      <c r="O33" s="226">
        <f>M33+N33</f>
        <v>0</v>
      </c>
      <c r="P33" s="204">
        <f>E33+F33+G33</f>
        <v>0</v>
      </c>
      <c r="Q33" s="226">
        <f>P33/D33</f>
        <v>0</v>
      </c>
    </row>
    <row r="34" spans="1:17" ht="5.25" customHeight="1">
      <c r="A34" s="216"/>
      <c r="B34" s="217"/>
      <c r="C34" s="223"/>
      <c r="D34" s="218"/>
      <c r="E34" s="258"/>
      <c r="F34" s="219"/>
      <c r="G34" s="220"/>
      <c r="H34" s="220"/>
      <c r="I34" s="220"/>
      <c r="J34" s="221"/>
      <c r="K34" s="202"/>
      <c r="L34" s="222">
        <f>SUM(E34:G34)</f>
        <v>0</v>
      </c>
      <c r="M34" s="226" t="e">
        <f>E34/D34</f>
        <v>#DIV/0!</v>
      </c>
      <c r="N34" s="226" t="e">
        <f>F34/D34</f>
        <v>#DIV/0!</v>
      </c>
      <c r="O34" s="226" t="e">
        <f>M34+N34</f>
        <v>#DIV/0!</v>
      </c>
      <c r="P34" s="204">
        <f>E34+F34+G34</f>
        <v>0</v>
      </c>
      <c r="Q34" s="226" t="e">
        <f>P34/D34</f>
        <v>#DIV/0!</v>
      </c>
    </row>
    <row r="35" spans="1:17" ht="13.2">
      <c r="A35" s="212"/>
      <c r="B35" s="217" t="str">
        <f>[17]VALORIZACION!B28</f>
        <v xml:space="preserve"> TRANSPORTE DE ELIMINACIÓN DE MATERIAL A DME &gt;1 km</v>
      </c>
      <c r="C35" s="223"/>
      <c r="D35" s="259">
        <f>+[17]RESUMEN!G28</f>
        <v>13500.68</v>
      </c>
      <c r="E35" s="260"/>
      <c r="F35" s="223"/>
      <c r="G35" s="224"/>
      <c r="H35" s="224"/>
      <c r="I35" s="224"/>
      <c r="J35" s="205"/>
      <c r="K35" s="225" t="str">
        <f>IF(L35=D35,"ok","falso")</f>
        <v>falso</v>
      </c>
      <c r="L35" s="222">
        <f>SUM(E35:G35)</f>
        <v>0</v>
      </c>
      <c r="M35" s="226">
        <f>E35/D35</f>
        <v>0</v>
      </c>
      <c r="N35" s="226">
        <f>F35/D35</f>
        <v>0</v>
      </c>
      <c r="O35" s="226">
        <f>M35+N35</f>
        <v>0</v>
      </c>
      <c r="P35" s="204">
        <f>E35+F35+G35</f>
        <v>0</v>
      </c>
      <c r="Q35" s="226">
        <f>P35/D35</f>
        <v>0</v>
      </c>
    </row>
    <row r="36" spans="1:17" ht="5.25" customHeight="1">
      <c r="A36" s="216"/>
      <c r="B36" s="217"/>
      <c r="C36" s="223"/>
      <c r="D36" s="218"/>
      <c r="E36" s="258"/>
      <c r="F36" s="219"/>
      <c r="G36" s="220"/>
      <c r="H36" s="220"/>
      <c r="I36" s="220"/>
      <c r="J36" s="221"/>
      <c r="K36" s="202"/>
      <c r="L36" s="222"/>
      <c r="M36" s="226"/>
      <c r="N36" s="226"/>
      <c r="O36" s="226"/>
      <c r="Q36" s="226"/>
    </row>
    <row r="37" spans="1:17" ht="13.2">
      <c r="A37" s="215"/>
      <c r="B37" s="228" t="str">
        <f>[17]VALORIZACION!B29</f>
        <v xml:space="preserve">            OBRAS DE ARTE Y DRENAJE.</v>
      </c>
      <c r="C37" s="223"/>
      <c r="D37" s="259"/>
      <c r="E37" s="223"/>
      <c r="F37" s="223"/>
      <c r="G37" s="224"/>
      <c r="H37" s="224"/>
      <c r="I37" s="224"/>
      <c r="J37" s="205"/>
      <c r="K37" s="225"/>
      <c r="L37" s="222"/>
      <c r="M37" s="226"/>
      <c r="N37" s="226"/>
      <c r="O37" s="226"/>
      <c r="Q37" s="226"/>
    </row>
    <row r="38" spans="1:17" ht="13.2">
      <c r="A38" s="215"/>
      <c r="B38" s="229" t="str">
        <f>[17]VALORIZACION!B30</f>
        <v xml:space="preserve">                ALCANTARILLA TIPO I (0.80x0.80 m.)</v>
      </c>
      <c r="C38" s="223"/>
      <c r="D38" s="259"/>
      <c r="E38" s="223"/>
      <c r="F38" s="223"/>
      <c r="G38" s="224"/>
      <c r="H38" s="224"/>
      <c r="I38" s="224"/>
      <c r="J38" s="205"/>
      <c r="K38" s="225"/>
      <c r="L38" s="222"/>
      <c r="M38" s="226"/>
      <c r="N38" s="226"/>
      <c r="O38" s="226"/>
      <c r="Q38" s="226"/>
    </row>
    <row r="39" spans="1:17" ht="5.25" customHeight="1">
      <c r="A39" s="216"/>
      <c r="B39" s="217"/>
      <c r="C39" s="223"/>
      <c r="D39" s="218"/>
      <c r="E39" s="258"/>
      <c r="F39" s="219"/>
      <c r="G39" s="220"/>
      <c r="H39" s="220"/>
      <c r="I39" s="220"/>
      <c r="J39" s="221"/>
      <c r="K39" s="202"/>
      <c r="L39" s="222">
        <f t="shared" ref="L39:L54" si="6">SUM(E39:G39)</f>
        <v>0</v>
      </c>
      <c r="M39" s="226" t="e">
        <f t="shared" ref="M39:M54" si="7">E39/D39</f>
        <v>#DIV/0!</v>
      </c>
      <c r="N39" s="226" t="e">
        <f t="shared" ref="N39:N54" si="8">F39/D39</f>
        <v>#DIV/0!</v>
      </c>
      <c r="O39" s="226" t="e">
        <f t="shared" ref="O39:O54" si="9">M39+N39</f>
        <v>#DIV/0!</v>
      </c>
      <c r="P39" s="204">
        <f t="shared" ref="P39:P54" si="10">E39+F39+G39</f>
        <v>0</v>
      </c>
      <c r="Q39" s="226" t="e">
        <f t="shared" ref="Q39:Q54" si="11">P39/D39</f>
        <v>#DIV/0!</v>
      </c>
    </row>
    <row r="40" spans="1:17" ht="13.2">
      <c r="A40" s="212"/>
      <c r="B40" s="217" t="str">
        <f>[17]VALORIZACION!B31</f>
        <v>TRAZO, REPLANTEO Y CONTROL TOPOGRAFICO</v>
      </c>
      <c r="C40" s="223"/>
      <c r="D40" s="259">
        <f>+[17]RESUMEN!G30</f>
        <v>80094.94</v>
      </c>
      <c r="E40" s="495"/>
      <c r="F40" s="496"/>
      <c r="G40" s="224"/>
      <c r="H40" s="224"/>
      <c r="I40" s="224"/>
      <c r="J40" s="205"/>
      <c r="K40" s="225" t="str">
        <f>IF(L40=D40,"ok","falso")</f>
        <v>falso</v>
      </c>
      <c r="L40" s="222">
        <f t="shared" si="6"/>
        <v>0</v>
      </c>
      <c r="M40" s="226">
        <f t="shared" si="7"/>
        <v>0</v>
      </c>
      <c r="N40" s="226">
        <f t="shared" si="8"/>
        <v>0</v>
      </c>
      <c r="O40" s="226">
        <f t="shared" si="9"/>
        <v>0</v>
      </c>
      <c r="P40" s="204">
        <f t="shared" si="10"/>
        <v>0</v>
      </c>
      <c r="Q40" s="227">
        <f t="shared" si="11"/>
        <v>0</v>
      </c>
    </row>
    <row r="41" spans="1:17" ht="5.25" customHeight="1">
      <c r="A41" s="216"/>
      <c r="B41" s="217"/>
      <c r="C41" s="223"/>
      <c r="D41" s="218"/>
      <c r="E41" s="258"/>
      <c r="F41" s="497"/>
      <c r="G41" s="220"/>
      <c r="H41" s="220"/>
      <c r="I41" s="220"/>
      <c r="J41" s="221"/>
      <c r="K41" s="202"/>
      <c r="L41" s="222">
        <f t="shared" si="6"/>
        <v>0</v>
      </c>
      <c r="M41" s="226" t="e">
        <f t="shared" si="7"/>
        <v>#DIV/0!</v>
      </c>
      <c r="N41" s="226" t="e">
        <f t="shared" si="8"/>
        <v>#DIV/0!</v>
      </c>
      <c r="O41" s="226" t="e">
        <f t="shared" si="9"/>
        <v>#DIV/0!</v>
      </c>
      <c r="P41" s="204">
        <f t="shared" si="10"/>
        <v>0</v>
      </c>
      <c r="Q41" s="226" t="e">
        <f t="shared" si="11"/>
        <v>#DIV/0!</v>
      </c>
    </row>
    <row r="42" spans="1:17" ht="13.2">
      <c r="A42" s="212"/>
      <c r="B42" s="217" t="str">
        <f>[17]VALORIZACION!B32</f>
        <v>EXCAVACIÓN NO CLASIFICADA PARA ESTRUCTURAS</v>
      </c>
      <c r="C42" s="223"/>
      <c r="D42" s="259">
        <f>+[17]RESUMEN!G12</f>
        <v>92731.57</v>
      </c>
      <c r="E42" s="495"/>
      <c r="F42" s="496"/>
      <c r="G42" s="224"/>
      <c r="H42" s="224"/>
      <c r="I42" s="224"/>
      <c r="J42" s="205"/>
      <c r="K42" s="225" t="str">
        <f>IF(L42=D42,"ok","falso")</f>
        <v>falso</v>
      </c>
      <c r="L42" s="222">
        <f t="shared" si="6"/>
        <v>0</v>
      </c>
      <c r="M42" s="226">
        <f t="shared" si="7"/>
        <v>0</v>
      </c>
      <c r="N42" s="226">
        <f t="shared" si="8"/>
        <v>0</v>
      </c>
      <c r="O42" s="226">
        <f t="shared" si="9"/>
        <v>0</v>
      </c>
      <c r="P42" s="204">
        <f t="shared" si="10"/>
        <v>0</v>
      </c>
      <c r="Q42" s="226">
        <f t="shared" si="11"/>
        <v>0</v>
      </c>
    </row>
    <row r="43" spans="1:17" ht="5.25" customHeight="1">
      <c r="A43" s="216"/>
      <c r="B43" s="217"/>
      <c r="C43" s="223"/>
      <c r="D43" s="218"/>
      <c r="E43" s="258"/>
      <c r="F43" s="497"/>
      <c r="G43" s="220"/>
      <c r="H43" s="220"/>
      <c r="I43" s="220"/>
      <c r="J43" s="221"/>
      <c r="K43" s="202"/>
      <c r="L43" s="222">
        <f t="shared" si="6"/>
        <v>0</v>
      </c>
      <c r="M43" s="226" t="e">
        <f t="shared" si="7"/>
        <v>#DIV/0!</v>
      </c>
      <c r="N43" s="226" t="e">
        <f t="shared" si="8"/>
        <v>#DIV/0!</v>
      </c>
      <c r="O43" s="226" t="e">
        <f t="shared" si="9"/>
        <v>#DIV/0!</v>
      </c>
      <c r="P43" s="204">
        <f t="shared" si="10"/>
        <v>0</v>
      </c>
      <c r="Q43" s="226" t="e">
        <f t="shared" si="11"/>
        <v>#DIV/0!</v>
      </c>
    </row>
    <row r="44" spans="1:17" ht="13.2">
      <c r="A44" s="212"/>
      <c r="B44" s="217" t="str">
        <f>[17]VALORIZACION!B33</f>
        <v>CONCRETO CICLOPEO f'c=175 kg/cm2 + 30% PM</v>
      </c>
      <c r="C44" s="223"/>
      <c r="D44" s="259">
        <f>+[17]RESUMEN!G14</f>
        <v>430413.80000000005</v>
      </c>
      <c r="E44" s="495"/>
      <c r="F44" s="495"/>
      <c r="G44" s="224"/>
      <c r="H44" s="224"/>
      <c r="I44" s="224"/>
      <c r="J44" s="205"/>
      <c r="K44" s="225" t="str">
        <f>IF(L44=D44,"ok","falso")</f>
        <v>falso</v>
      </c>
      <c r="L44" s="222">
        <f t="shared" si="6"/>
        <v>0</v>
      </c>
      <c r="M44" s="226">
        <f t="shared" si="7"/>
        <v>0</v>
      </c>
      <c r="N44" s="226">
        <f t="shared" si="8"/>
        <v>0</v>
      </c>
      <c r="O44" s="226">
        <f t="shared" si="9"/>
        <v>0</v>
      </c>
      <c r="P44" s="204">
        <f t="shared" si="10"/>
        <v>0</v>
      </c>
      <c r="Q44" s="226">
        <f t="shared" si="11"/>
        <v>0</v>
      </c>
    </row>
    <row r="45" spans="1:17" ht="5.25" customHeight="1">
      <c r="A45" s="216"/>
      <c r="B45" s="217"/>
      <c r="C45" s="223"/>
      <c r="D45" s="218"/>
      <c r="E45" s="258"/>
      <c r="F45" s="497"/>
      <c r="G45" s="220"/>
      <c r="H45" s="220"/>
      <c r="I45" s="220"/>
      <c r="J45" s="221"/>
      <c r="K45" s="202"/>
      <c r="L45" s="222">
        <f t="shared" si="6"/>
        <v>0</v>
      </c>
      <c r="M45" s="226" t="e">
        <f t="shared" si="7"/>
        <v>#DIV/0!</v>
      </c>
      <c r="N45" s="226" t="e">
        <f t="shared" si="8"/>
        <v>#DIV/0!</v>
      </c>
      <c r="O45" s="226" t="e">
        <f t="shared" si="9"/>
        <v>#DIV/0!</v>
      </c>
      <c r="P45" s="204">
        <f t="shared" si="10"/>
        <v>0</v>
      </c>
      <c r="Q45" s="226" t="e">
        <f t="shared" si="11"/>
        <v>#DIV/0!</v>
      </c>
    </row>
    <row r="46" spans="1:17" ht="13.2">
      <c r="A46" s="212"/>
      <c r="B46" s="217" t="str">
        <f>[17]VALORIZACION!B34</f>
        <v>ACERO DE REFUERZO GRADO 60</v>
      </c>
      <c r="C46" s="223"/>
      <c r="D46" s="259">
        <f>+[17]RESUMEN!G16</f>
        <v>85391.61</v>
      </c>
      <c r="E46" s="495"/>
      <c r="F46" s="495"/>
      <c r="G46" s="224"/>
      <c r="H46" s="224"/>
      <c r="I46" s="224"/>
      <c r="J46" s="205"/>
      <c r="K46" s="225" t="str">
        <f>IF(L46=D46,"ok","falso")</f>
        <v>falso</v>
      </c>
      <c r="L46" s="222">
        <f t="shared" si="6"/>
        <v>0</v>
      </c>
      <c r="M46" s="226">
        <f t="shared" si="7"/>
        <v>0</v>
      </c>
      <c r="N46" s="226">
        <f t="shared" si="8"/>
        <v>0</v>
      </c>
      <c r="O46" s="226">
        <f t="shared" si="9"/>
        <v>0</v>
      </c>
      <c r="P46" s="204">
        <f t="shared" si="10"/>
        <v>0</v>
      </c>
      <c r="Q46" s="227">
        <f t="shared" si="11"/>
        <v>0</v>
      </c>
    </row>
    <row r="47" spans="1:17" ht="5.25" customHeight="1">
      <c r="A47" s="216"/>
      <c r="B47" s="217"/>
      <c r="C47" s="223"/>
      <c r="D47" s="218"/>
      <c r="E47" s="258"/>
      <c r="F47" s="497"/>
      <c r="G47" s="220"/>
      <c r="H47" s="220"/>
      <c r="I47" s="220"/>
      <c r="J47" s="221"/>
      <c r="K47" s="202"/>
      <c r="L47" s="222">
        <f t="shared" si="6"/>
        <v>0</v>
      </c>
      <c r="M47" s="226" t="e">
        <f t="shared" si="7"/>
        <v>#DIV/0!</v>
      </c>
      <c r="N47" s="226" t="e">
        <f t="shared" si="8"/>
        <v>#DIV/0!</v>
      </c>
      <c r="O47" s="226" t="e">
        <f t="shared" si="9"/>
        <v>#DIV/0!</v>
      </c>
      <c r="P47" s="204">
        <f t="shared" si="10"/>
        <v>0</v>
      </c>
      <c r="Q47" s="226" t="e">
        <f t="shared" si="11"/>
        <v>#DIV/0!</v>
      </c>
    </row>
    <row r="48" spans="1:17" ht="13.2">
      <c r="A48" s="212"/>
      <c r="B48" s="217" t="str">
        <f>[17]VALORIZACION!B35</f>
        <v xml:space="preserve"> ENCOFRADO Y DESENCOFRADO PARA OBRAS DE ARTE</v>
      </c>
      <c r="C48" s="223"/>
      <c r="D48" s="259">
        <f>+[17]RESUMEN!G18</f>
        <v>311288.70999999996</v>
      </c>
      <c r="E48" s="495"/>
      <c r="F48" s="495"/>
      <c r="G48" s="224"/>
      <c r="H48" s="224"/>
      <c r="I48" s="224"/>
      <c r="J48" s="205"/>
      <c r="K48" s="225" t="str">
        <f>IF(L48=D48,"ok","falso")</f>
        <v>falso</v>
      </c>
      <c r="L48" s="222">
        <f t="shared" si="6"/>
        <v>0</v>
      </c>
      <c r="M48" s="226">
        <f t="shared" si="7"/>
        <v>0</v>
      </c>
      <c r="N48" s="226">
        <f t="shared" si="8"/>
        <v>0</v>
      </c>
      <c r="O48" s="226">
        <f t="shared" si="9"/>
        <v>0</v>
      </c>
      <c r="P48" s="204">
        <f t="shared" si="10"/>
        <v>0</v>
      </c>
      <c r="Q48" s="226">
        <f t="shared" si="11"/>
        <v>0</v>
      </c>
    </row>
    <row r="49" spans="1:17" ht="5.25" customHeight="1">
      <c r="A49" s="216"/>
      <c r="B49" s="217"/>
      <c r="C49" s="223"/>
      <c r="D49" s="218"/>
      <c r="E49" s="258"/>
      <c r="F49" s="497"/>
      <c r="G49" s="220"/>
      <c r="H49" s="220"/>
      <c r="I49" s="220"/>
      <c r="J49" s="221"/>
      <c r="K49" s="202"/>
      <c r="L49" s="222">
        <f t="shared" si="6"/>
        <v>0</v>
      </c>
      <c r="M49" s="226" t="e">
        <f t="shared" si="7"/>
        <v>#DIV/0!</v>
      </c>
      <c r="N49" s="226" t="e">
        <f t="shared" si="8"/>
        <v>#DIV/0!</v>
      </c>
      <c r="O49" s="226" t="e">
        <f t="shared" si="9"/>
        <v>#DIV/0!</v>
      </c>
      <c r="P49" s="204">
        <f t="shared" si="10"/>
        <v>0</v>
      </c>
      <c r="Q49" s="226" t="e">
        <f t="shared" si="11"/>
        <v>#DIV/0!</v>
      </c>
    </row>
    <row r="50" spans="1:17" ht="13.2">
      <c r="A50" s="212"/>
      <c r="B50" s="217" t="str">
        <f>[17]VALORIZACION!B36</f>
        <v xml:space="preserve"> CONCRETO f'c=210 kg/cm2</v>
      </c>
      <c r="C50" s="223"/>
      <c r="D50" s="259">
        <f>+[17]RESUMEN!G20</f>
        <v>224193.1</v>
      </c>
      <c r="E50" s="495"/>
      <c r="F50" s="495"/>
      <c r="G50" s="224"/>
      <c r="H50" s="224"/>
      <c r="I50" s="224"/>
      <c r="J50" s="205"/>
      <c r="K50" s="225" t="str">
        <f>IF(L50=D50,"ok","falso")</f>
        <v>falso</v>
      </c>
      <c r="L50" s="222">
        <f t="shared" si="6"/>
        <v>0</v>
      </c>
      <c r="M50" s="226">
        <f t="shared" si="7"/>
        <v>0</v>
      </c>
      <c r="N50" s="226">
        <f t="shared" si="8"/>
        <v>0</v>
      </c>
      <c r="O50" s="226">
        <f t="shared" si="9"/>
        <v>0</v>
      </c>
      <c r="P50" s="204">
        <f t="shared" si="10"/>
        <v>0</v>
      </c>
      <c r="Q50" s="226">
        <f t="shared" si="11"/>
        <v>0</v>
      </c>
    </row>
    <row r="51" spans="1:17" ht="5.25" customHeight="1">
      <c r="A51" s="216"/>
      <c r="B51" s="217"/>
      <c r="C51" s="223"/>
      <c r="D51" s="218"/>
      <c r="E51" s="258"/>
      <c r="F51" s="497"/>
      <c r="G51" s="220"/>
      <c r="H51" s="220"/>
      <c r="I51" s="220"/>
      <c r="J51" s="221"/>
      <c r="K51" s="202"/>
      <c r="L51" s="222">
        <f t="shared" si="6"/>
        <v>0</v>
      </c>
      <c r="M51" s="226" t="e">
        <f t="shared" si="7"/>
        <v>#DIV/0!</v>
      </c>
      <c r="N51" s="226" t="e">
        <f t="shared" si="8"/>
        <v>#DIV/0!</v>
      </c>
      <c r="O51" s="226" t="e">
        <f t="shared" si="9"/>
        <v>#DIV/0!</v>
      </c>
      <c r="P51" s="204">
        <f t="shared" si="10"/>
        <v>0</v>
      </c>
      <c r="Q51" s="226" t="e">
        <f t="shared" si="11"/>
        <v>#DIV/0!</v>
      </c>
    </row>
    <row r="52" spans="1:17" ht="13.2">
      <c r="A52" s="212"/>
      <c r="B52" s="217" t="str">
        <f>[17]VALORIZACION!B37</f>
        <v>CONCRETO f'c=175 kg/cm2</v>
      </c>
      <c r="C52" s="223"/>
      <c r="D52" s="259">
        <f>+[17]RESUMEN!G22</f>
        <v>118992.08</v>
      </c>
      <c r="E52" s="495"/>
      <c r="F52" s="495"/>
      <c r="G52" s="224"/>
      <c r="H52" s="224"/>
      <c r="I52" s="224"/>
      <c r="J52" s="205"/>
      <c r="K52" s="225" t="str">
        <f>IF(L52=D52,"ok","falso")</f>
        <v>falso</v>
      </c>
      <c r="L52" s="222">
        <f t="shared" si="6"/>
        <v>0</v>
      </c>
      <c r="M52" s="226">
        <f t="shared" si="7"/>
        <v>0</v>
      </c>
      <c r="N52" s="226">
        <f t="shared" si="8"/>
        <v>0</v>
      </c>
      <c r="O52" s="226">
        <f t="shared" si="9"/>
        <v>0</v>
      </c>
      <c r="P52" s="204">
        <f t="shared" si="10"/>
        <v>0</v>
      </c>
      <c r="Q52" s="226">
        <f t="shared" si="11"/>
        <v>0</v>
      </c>
    </row>
    <row r="53" spans="1:17" ht="5.25" customHeight="1">
      <c r="A53" s="216"/>
      <c r="B53" s="217"/>
      <c r="C53" s="223"/>
      <c r="D53" s="218"/>
      <c r="E53" s="258"/>
      <c r="F53" s="497"/>
      <c r="G53" s="220"/>
      <c r="H53" s="220"/>
      <c r="I53" s="220"/>
      <c r="J53" s="221"/>
      <c r="K53" s="202"/>
      <c r="L53" s="222">
        <f t="shared" si="6"/>
        <v>0</v>
      </c>
      <c r="M53" s="226" t="e">
        <f t="shared" si="7"/>
        <v>#DIV/0!</v>
      </c>
      <c r="N53" s="226" t="e">
        <f t="shared" si="8"/>
        <v>#DIV/0!</v>
      </c>
      <c r="O53" s="226" t="e">
        <f t="shared" si="9"/>
        <v>#DIV/0!</v>
      </c>
      <c r="P53" s="204">
        <f t="shared" si="10"/>
        <v>0</v>
      </c>
      <c r="Q53" s="226" t="e">
        <f t="shared" si="11"/>
        <v>#DIV/0!</v>
      </c>
    </row>
    <row r="54" spans="1:17" ht="13.2">
      <c r="A54" s="212"/>
      <c r="B54" s="217" t="str">
        <f>[17]VALORIZACION!B38</f>
        <v xml:space="preserve"> RELLENO PARA ESTRUCTURAS CON MATERIAL PROPIO</v>
      </c>
      <c r="C54" s="223"/>
      <c r="D54" s="259">
        <f>+[17]RESUMEN!G24</f>
        <v>297472</v>
      </c>
      <c r="E54" s="496"/>
      <c r="F54" s="495"/>
      <c r="G54" s="501"/>
      <c r="H54" s="501"/>
      <c r="I54" s="501"/>
      <c r="J54" s="205"/>
      <c r="K54" s="225" t="str">
        <f>IF(L54=D54,"ok","falso")</f>
        <v>falso</v>
      </c>
      <c r="L54" s="222">
        <f t="shared" si="6"/>
        <v>0</v>
      </c>
      <c r="M54" s="226">
        <f t="shared" si="7"/>
        <v>0</v>
      </c>
      <c r="N54" s="226">
        <f t="shared" si="8"/>
        <v>0</v>
      </c>
      <c r="O54" s="226">
        <f t="shared" si="9"/>
        <v>0</v>
      </c>
      <c r="P54" s="204">
        <f t="shared" si="10"/>
        <v>0</v>
      </c>
      <c r="Q54" s="226">
        <f t="shared" si="11"/>
        <v>0</v>
      </c>
    </row>
    <row r="55" spans="1:17" ht="5.25" customHeight="1">
      <c r="A55" s="216"/>
      <c r="B55" s="217"/>
      <c r="C55" s="223"/>
      <c r="D55" s="218"/>
      <c r="E55" s="258"/>
      <c r="F55" s="219"/>
      <c r="G55" s="220"/>
      <c r="H55" s="220"/>
      <c r="I55" s="220"/>
      <c r="J55" s="221"/>
      <c r="K55" s="202"/>
      <c r="L55" s="222"/>
      <c r="M55" s="226"/>
      <c r="N55" s="226"/>
      <c r="O55" s="226"/>
      <c r="Q55" s="226"/>
    </row>
    <row r="56" spans="1:17" ht="13.2">
      <c r="A56" s="215"/>
      <c r="B56" s="229" t="str">
        <f>[17]VALORIZACION!B39</f>
        <v>MURO DE CONTENCION (L=100 m).</v>
      </c>
      <c r="C56" s="223"/>
      <c r="D56" s="259"/>
      <c r="E56" s="223"/>
      <c r="F56" s="223"/>
      <c r="G56" s="224"/>
      <c r="H56" s="224"/>
      <c r="I56" s="224"/>
      <c r="J56" s="205"/>
      <c r="K56" s="225"/>
      <c r="L56" s="222"/>
      <c r="M56" s="226"/>
      <c r="N56" s="226"/>
      <c r="O56" s="226"/>
      <c r="Q56" s="226"/>
    </row>
    <row r="57" spans="1:17" ht="5.25" customHeight="1">
      <c r="A57" s="216"/>
      <c r="B57" s="217"/>
      <c r="C57" s="223"/>
      <c r="D57" s="218"/>
      <c r="E57" s="258"/>
      <c r="F57" s="219"/>
      <c r="G57" s="220"/>
      <c r="H57" s="220"/>
      <c r="I57" s="220"/>
      <c r="J57" s="221"/>
      <c r="K57" s="202"/>
      <c r="L57" s="222">
        <f t="shared" ref="L57:L72" si="12">SUM(E57:G57)</f>
        <v>0</v>
      </c>
      <c r="M57" s="226" t="e">
        <f t="shared" ref="M57:M72" si="13">E57/D57</f>
        <v>#DIV/0!</v>
      </c>
      <c r="N57" s="226" t="e">
        <f t="shared" ref="N57:N72" si="14">F57/D57</f>
        <v>#DIV/0!</v>
      </c>
      <c r="O57" s="226" t="e">
        <f t="shared" ref="O57:O72" si="15">M57+N57</f>
        <v>#DIV/0!</v>
      </c>
      <c r="P57" s="204">
        <f t="shared" ref="P57:P72" si="16">E57+F57+G57</f>
        <v>0</v>
      </c>
      <c r="Q57" s="226" t="e">
        <f t="shared" ref="Q57:Q72" si="17">P57/D57</f>
        <v>#DIV/0!</v>
      </c>
    </row>
    <row r="58" spans="1:17" ht="13.2">
      <c r="A58" s="212"/>
      <c r="B58" s="217" t="str">
        <f>[17]VALORIZACION!B40</f>
        <v>TRAZO, REPLANTEO Y CONTROL TOPOGRAFICO</v>
      </c>
      <c r="C58" s="223"/>
      <c r="D58" s="259">
        <f>+[17]RESUMEN!G26</f>
        <v>9213.36</v>
      </c>
      <c r="E58" s="495"/>
      <c r="F58" s="260"/>
      <c r="G58" s="224"/>
      <c r="H58" s="224"/>
      <c r="I58" s="224"/>
      <c r="J58" s="205"/>
      <c r="K58" s="225" t="str">
        <f>IF(L58=D58,"ok","falso")</f>
        <v>falso</v>
      </c>
      <c r="L58" s="222">
        <f t="shared" si="12"/>
        <v>0</v>
      </c>
      <c r="M58" s="226">
        <f t="shared" si="13"/>
        <v>0</v>
      </c>
      <c r="N58" s="226">
        <f t="shared" si="14"/>
        <v>0</v>
      </c>
      <c r="O58" s="226">
        <f t="shared" si="15"/>
        <v>0</v>
      </c>
      <c r="P58" s="204">
        <f t="shared" si="16"/>
        <v>0</v>
      </c>
      <c r="Q58" s="227">
        <f t="shared" si="17"/>
        <v>0</v>
      </c>
    </row>
    <row r="59" spans="1:17" ht="5.25" customHeight="1">
      <c r="A59" s="216"/>
      <c r="B59" s="217"/>
      <c r="C59" s="223"/>
      <c r="D59" s="218"/>
      <c r="E59" s="258"/>
      <c r="F59" s="219"/>
      <c r="G59" s="224"/>
      <c r="H59" s="224"/>
      <c r="I59" s="224"/>
      <c r="J59" s="221"/>
      <c r="K59" s="202"/>
      <c r="L59" s="222">
        <f t="shared" si="12"/>
        <v>0</v>
      </c>
      <c r="M59" s="226" t="e">
        <f t="shared" si="13"/>
        <v>#DIV/0!</v>
      </c>
      <c r="N59" s="226" t="e">
        <f t="shared" si="14"/>
        <v>#DIV/0!</v>
      </c>
      <c r="O59" s="226" t="e">
        <f t="shared" si="15"/>
        <v>#DIV/0!</v>
      </c>
      <c r="P59" s="204">
        <f t="shared" si="16"/>
        <v>0</v>
      </c>
      <c r="Q59" s="226" t="e">
        <f t="shared" si="17"/>
        <v>#DIV/0!</v>
      </c>
    </row>
    <row r="60" spans="1:17" ht="13.2">
      <c r="A60" s="212"/>
      <c r="B60" s="217" t="str">
        <f>[17]VALORIZACION!B41</f>
        <v xml:space="preserve"> EXCAVACIÓN NO CLASIFICADA PARA ESTRUCTURAS</v>
      </c>
      <c r="C60" s="223"/>
      <c r="D60" s="259">
        <f>+[17]RESUMEN!G28</f>
        <v>13500.68</v>
      </c>
      <c r="E60" s="223"/>
      <c r="F60" s="260"/>
      <c r="G60" s="224"/>
      <c r="H60" s="224"/>
      <c r="I60" s="224"/>
      <c r="J60" s="205"/>
      <c r="K60" s="225" t="str">
        <f>IF(L60=D60,"ok","falso")</f>
        <v>falso</v>
      </c>
      <c r="L60" s="222">
        <f t="shared" si="12"/>
        <v>0</v>
      </c>
      <c r="M60" s="226">
        <f t="shared" si="13"/>
        <v>0</v>
      </c>
      <c r="N60" s="226">
        <f t="shared" si="14"/>
        <v>0</v>
      </c>
      <c r="O60" s="226">
        <f t="shared" si="15"/>
        <v>0</v>
      </c>
      <c r="P60" s="204">
        <f t="shared" si="16"/>
        <v>0</v>
      </c>
      <c r="Q60" s="226">
        <f t="shared" si="17"/>
        <v>0</v>
      </c>
    </row>
    <row r="61" spans="1:17" ht="5.25" customHeight="1">
      <c r="A61" s="216"/>
      <c r="B61" s="217"/>
      <c r="C61" s="223"/>
      <c r="D61" s="218"/>
      <c r="E61" s="258"/>
      <c r="F61" s="219"/>
      <c r="G61" s="224"/>
      <c r="H61" s="224"/>
      <c r="I61" s="224"/>
      <c r="J61" s="221"/>
      <c r="K61" s="202"/>
      <c r="L61" s="222">
        <f t="shared" si="12"/>
        <v>0</v>
      </c>
      <c r="M61" s="226" t="e">
        <f t="shared" si="13"/>
        <v>#DIV/0!</v>
      </c>
      <c r="N61" s="226" t="e">
        <f t="shared" si="14"/>
        <v>#DIV/0!</v>
      </c>
      <c r="O61" s="226" t="e">
        <f t="shared" si="15"/>
        <v>#DIV/0!</v>
      </c>
      <c r="P61" s="204">
        <f t="shared" si="16"/>
        <v>0</v>
      </c>
      <c r="Q61" s="226" t="e">
        <f t="shared" si="17"/>
        <v>#DIV/0!</v>
      </c>
    </row>
    <row r="62" spans="1:17" ht="13.2">
      <c r="A62" s="212"/>
      <c r="B62" s="217" t="str">
        <f>[17]VALORIZACION!B42</f>
        <v>ENCOFRADO Y DESENCOFRADO PARA OBRAS DE ARTE</v>
      </c>
      <c r="C62" s="223"/>
      <c r="D62" s="259">
        <f>+[17]RESUMEN!G30</f>
        <v>80094.94</v>
      </c>
      <c r="E62" s="223"/>
      <c r="F62" s="260"/>
      <c r="G62" s="224"/>
      <c r="H62" s="224"/>
      <c r="I62" s="224"/>
      <c r="J62" s="205"/>
      <c r="K62" s="225" t="str">
        <f>IF(L62=D62,"ok","falso")</f>
        <v>falso</v>
      </c>
      <c r="L62" s="222">
        <f t="shared" si="12"/>
        <v>0</v>
      </c>
      <c r="M62" s="226">
        <f t="shared" si="13"/>
        <v>0</v>
      </c>
      <c r="N62" s="226">
        <f t="shared" si="14"/>
        <v>0</v>
      </c>
      <c r="O62" s="226">
        <f t="shared" si="15"/>
        <v>0</v>
      </c>
      <c r="P62" s="204">
        <f t="shared" si="16"/>
        <v>0</v>
      </c>
      <c r="Q62" s="226">
        <f t="shared" si="17"/>
        <v>0</v>
      </c>
    </row>
    <row r="63" spans="1:17" ht="5.25" customHeight="1">
      <c r="A63" s="216"/>
      <c r="B63" s="217"/>
      <c r="C63" s="223"/>
      <c r="D63" s="218"/>
      <c r="E63" s="258"/>
      <c r="F63" s="219"/>
      <c r="G63" s="224"/>
      <c r="H63" s="224"/>
      <c r="I63" s="224"/>
      <c r="J63" s="221"/>
      <c r="K63" s="202"/>
      <c r="L63" s="222">
        <f t="shared" si="12"/>
        <v>0</v>
      </c>
      <c r="M63" s="226" t="e">
        <f t="shared" si="13"/>
        <v>#DIV/0!</v>
      </c>
      <c r="N63" s="226" t="e">
        <f t="shared" si="14"/>
        <v>#DIV/0!</v>
      </c>
      <c r="O63" s="226" t="e">
        <f t="shared" si="15"/>
        <v>#DIV/0!</v>
      </c>
      <c r="P63" s="204">
        <f t="shared" si="16"/>
        <v>0</v>
      </c>
      <c r="Q63" s="226" t="e">
        <f t="shared" si="17"/>
        <v>#DIV/0!</v>
      </c>
    </row>
    <row r="64" spans="1:17" ht="13.2">
      <c r="A64" s="212"/>
      <c r="B64" s="217" t="str">
        <f>[17]VALORIZACION!B43</f>
        <v xml:space="preserve"> CONCRETO CICLOPEO f'c=175 kg/cm2 + 30% PM</v>
      </c>
      <c r="C64" s="223"/>
      <c r="D64" s="259">
        <f>+[17]RESUMEN!G32</f>
        <v>171613.41</v>
      </c>
      <c r="E64" s="223"/>
      <c r="F64" s="260"/>
      <c r="G64" s="224"/>
      <c r="H64" s="224"/>
      <c r="I64" s="224"/>
      <c r="J64" s="205"/>
      <c r="K64" s="225" t="str">
        <f>IF(L64=D64,"ok","falso")</f>
        <v>falso</v>
      </c>
      <c r="L64" s="222">
        <f t="shared" si="12"/>
        <v>0</v>
      </c>
      <c r="M64" s="226">
        <f t="shared" si="13"/>
        <v>0</v>
      </c>
      <c r="N64" s="226">
        <f t="shared" si="14"/>
        <v>0</v>
      </c>
      <c r="O64" s="226">
        <f t="shared" si="15"/>
        <v>0</v>
      </c>
      <c r="P64" s="204">
        <f t="shared" si="16"/>
        <v>0</v>
      </c>
      <c r="Q64" s="226">
        <f t="shared" si="17"/>
        <v>0</v>
      </c>
    </row>
    <row r="65" spans="1:17" ht="5.25" customHeight="1">
      <c r="A65" s="216"/>
      <c r="B65" s="217"/>
      <c r="C65" s="223"/>
      <c r="D65" s="218"/>
      <c r="E65" s="258"/>
      <c r="F65" s="219"/>
      <c r="G65" s="224"/>
      <c r="H65" s="224"/>
      <c r="I65" s="224"/>
      <c r="J65" s="221"/>
      <c r="K65" s="202"/>
      <c r="L65" s="222">
        <f t="shared" si="12"/>
        <v>0</v>
      </c>
      <c r="M65" s="226" t="e">
        <f t="shared" si="13"/>
        <v>#DIV/0!</v>
      </c>
      <c r="N65" s="226" t="e">
        <f t="shared" si="14"/>
        <v>#DIV/0!</v>
      </c>
      <c r="O65" s="226" t="e">
        <f t="shared" si="15"/>
        <v>#DIV/0!</v>
      </c>
      <c r="P65" s="204">
        <f t="shared" si="16"/>
        <v>0</v>
      </c>
      <c r="Q65" s="226" t="e">
        <f t="shared" si="17"/>
        <v>#DIV/0!</v>
      </c>
    </row>
    <row r="66" spans="1:17" ht="13.2">
      <c r="A66" s="212"/>
      <c r="B66" s="217" t="str">
        <f>[17]VALORIZACION!B44</f>
        <v xml:space="preserve"> TUBERIA DE PVC 2" PARA DRENAJE</v>
      </c>
      <c r="C66" s="223"/>
      <c r="D66" s="259">
        <f>+[17]RESUMEN!G34</f>
        <v>225423.43</v>
      </c>
      <c r="E66" s="223"/>
      <c r="F66" s="260"/>
      <c r="G66" s="224"/>
      <c r="H66" s="224"/>
      <c r="I66" s="224"/>
      <c r="J66" s="205"/>
      <c r="K66" s="225" t="str">
        <f>IF(L66=D66,"ok","falso")</f>
        <v>falso</v>
      </c>
      <c r="L66" s="222">
        <f t="shared" si="12"/>
        <v>0</v>
      </c>
      <c r="M66" s="226">
        <f t="shared" si="13"/>
        <v>0</v>
      </c>
      <c r="N66" s="226">
        <f t="shared" si="14"/>
        <v>0</v>
      </c>
      <c r="O66" s="226">
        <f t="shared" si="15"/>
        <v>0</v>
      </c>
      <c r="P66" s="204">
        <f t="shared" si="16"/>
        <v>0</v>
      </c>
      <c r="Q66" s="226">
        <f t="shared" si="17"/>
        <v>0</v>
      </c>
    </row>
    <row r="67" spans="1:17" ht="5.25" customHeight="1">
      <c r="A67" s="216"/>
      <c r="B67" s="217"/>
      <c r="C67" s="223"/>
      <c r="D67" s="218"/>
      <c r="E67" s="258"/>
      <c r="F67" s="219"/>
      <c r="G67" s="224"/>
      <c r="H67" s="224"/>
      <c r="I67" s="224"/>
      <c r="J67" s="221"/>
      <c r="K67" s="202"/>
      <c r="L67" s="222">
        <f t="shared" si="12"/>
        <v>0</v>
      </c>
      <c r="M67" s="226" t="e">
        <f t="shared" si="13"/>
        <v>#DIV/0!</v>
      </c>
      <c r="N67" s="226" t="e">
        <f t="shared" si="14"/>
        <v>#DIV/0!</v>
      </c>
      <c r="O67" s="226" t="e">
        <f t="shared" si="15"/>
        <v>#DIV/0!</v>
      </c>
      <c r="P67" s="204">
        <f t="shared" si="16"/>
        <v>0</v>
      </c>
      <c r="Q67" s="226" t="e">
        <f t="shared" si="17"/>
        <v>#DIV/0!</v>
      </c>
    </row>
    <row r="68" spans="1:17" ht="13.2">
      <c r="A68" s="212"/>
      <c r="B68" s="217" t="str">
        <f>[17]VALORIZACION!B45</f>
        <v>TUBERIA DE PVC 4" PARA DRENAJE</v>
      </c>
      <c r="C68" s="223"/>
      <c r="D68" s="259">
        <f>+[17]RESUMEN!G37</f>
        <v>0</v>
      </c>
      <c r="E68" s="223"/>
      <c r="F68" s="260"/>
      <c r="G68" s="224"/>
      <c r="H68" s="224"/>
      <c r="I68" s="224"/>
      <c r="J68" s="205"/>
      <c r="K68" s="225" t="str">
        <f>IF(L68=D68,"ok","falso")</f>
        <v>ok</v>
      </c>
      <c r="L68" s="222">
        <f t="shared" si="12"/>
        <v>0</v>
      </c>
      <c r="M68" s="226" t="e">
        <f t="shared" si="13"/>
        <v>#DIV/0!</v>
      </c>
      <c r="N68" s="226" t="e">
        <f t="shared" si="14"/>
        <v>#DIV/0!</v>
      </c>
      <c r="O68" s="226" t="e">
        <f t="shared" si="15"/>
        <v>#DIV/0!</v>
      </c>
      <c r="P68" s="204">
        <f t="shared" si="16"/>
        <v>0</v>
      </c>
      <c r="Q68" s="227" t="e">
        <f t="shared" si="17"/>
        <v>#DIV/0!</v>
      </c>
    </row>
    <row r="69" spans="1:17" ht="5.25" customHeight="1">
      <c r="A69" s="216"/>
      <c r="B69" s="217"/>
      <c r="C69" s="223"/>
      <c r="D69" s="218"/>
      <c r="E69" s="258"/>
      <c r="F69" s="219"/>
      <c r="G69" s="224"/>
      <c r="H69" s="224"/>
      <c r="I69" s="224"/>
      <c r="J69" s="221"/>
      <c r="K69" s="202"/>
      <c r="L69" s="222">
        <f t="shared" si="12"/>
        <v>0</v>
      </c>
      <c r="M69" s="226" t="e">
        <f t="shared" si="13"/>
        <v>#DIV/0!</v>
      </c>
      <c r="N69" s="226" t="e">
        <f t="shared" si="14"/>
        <v>#DIV/0!</v>
      </c>
      <c r="O69" s="226" t="e">
        <f t="shared" si="15"/>
        <v>#DIV/0!</v>
      </c>
      <c r="P69" s="204">
        <f t="shared" si="16"/>
        <v>0</v>
      </c>
      <c r="Q69" s="226" t="e">
        <f t="shared" si="17"/>
        <v>#DIV/0!</v>
      </c>
    </row>
    <row r="70" spans="1:17" ht="13.2">
      <c r="A70" s="212"/>
      <c r="B70" s="217" t="str">
        <f>[17]VALORIZACION!B46</f>
        <v xml:space="preserve"> JUNTAS DE DILATACIÓN CON TECKNOPORT EN MUROS DE C.</v>
      </c>
      <c r="C70" s="223"/>
      <c r="D70" s="259">
        <f>+[17]RESUMEN!G39</f>
        <v>0</v>
      </c>
      <c r="E70" s="223"/>
      <c r="F70" s="260"/>
      <c r="G70" s="224"/>
      <c r="H70" s="224"/>
      <c r="I70" s="224"/>
      <c r="J70" s="205"/>
      <c r="K70" s="225" t="str">
        <f>IF(L70=D70,"ok","falso")</f>
        <v>ok</v>
      </c>
      <c r="L70" s="222">
        <f t="shared" si="12"/>
        <v>0</v>
      </c>
      <c r="M70" s="226" t="e">
        <f t="shared" si="13"/>
        <v>#DIV/0!</v>
      </c>
      <c r="N70" s="226" t="e">
        <f t="shared" si="14"/>
        <v>#DIV/0!</v>
      </c>
      <c r="O70" s="226" t="e">
        <f t="shared" si="15"/>
        <v>#DIV/0!</v>
      </c>
      <c r="P70" s="204">
        <f t="shared" si="16"/>
        <v>0</v>
      </c>
      <c r="Q70" s="226" t="e">
        <f t="shared" si="17"/>
        <v>#DIV/0!</v>
      </c>
    </row>
    <row r="71" spans="1:17" ht="5.25" customHeight="1">
      <c r="A71" s="216"/>
      <c r="B71" s="217"/>
      <c r="C71" s="223"/>
      <c r="D71" s="218"/>
      <c r="E71" s="258"/>
      <c r="F71" s="219"/>
      <c r="G71" s="224"/>
      <c r="H71" s="224"/>
      <c r="I71" s="224"/>
      <c r="J71" s="221"/>
      <c r="K71" s="202"/>
      <c r="L71" s="222">
        <f t="shared" si="12"/>
        <v>0</v>
      </c>
      <c r="M71" s="226" t="e">
        <f t="shared" si="13"/>
        <v>#DIV/0!</v>
      </c>
      <c r="N71" s="226" t="e">
        <f t="shared" si="14"/>
        <v>#DIV/0!</v>
      </c>
      <c r="O71" s="226" t="e">
        <f t="shared" si="15"/>
        <v>#DIV/0!</v>
      </c>
      <c r="P71" s="204">
        <f t="shared" si="16"/>
        <v>0</v>
      </c>
      <c r="Q71" s="226" t="e">
        <f t="shared" si="17"/>
        <v>#DIV/0!</v>
      </c>
    </row>
    <row r="72" spans="1:17" ht="13.2">
      <c r="A72" s="212"/>
      <c r="B72" s="217" t="str">
        <f>[17]VALORIZACION!B47</f>
        <v xml:space="preserve"> RELLENO PARA ESTRUCTURAS CON MATERIAL PROPIO</v>
      </c>
      <c r="C72" s="223"/>
      <c r="D72" s="259">
        <f>+[17]RESUMEN!G41</f>
        <v>0</v>
      </c>
      <c r="E72" s="223"/>
      <c r="F72" s="260"/>
      <c r="G72" s="224"/>
      <c r="H72" s="224"/>
      <c r="I72" s="224"/>
      <c r="J72" s="205"/>
      <c r="K72" s="225" t="str">
        <f>IF(L72=D72,"ok","falso")</f>
        <v>ok</v>
      </c>
      <c r="L72" s="222">
        <f t="shared" si="12"/>
        <v>0</v>
      </c>
      <c r="M72" s="226" t="e">
        <f t="shared" si="13"/>
        <v>#DIV/0!</v>
      </c>
      <c r="N72" s="226" t="e">
        <f t="shared" si="14"/>
        <v>#DIV/0!</v>
      </c>
      <c r="O72" s="226" t="e">
        <f t="shared" si="15"/>
        <v>#DIV/0!</v>
      </c>
      <c r="P72" s="204">
        <f t="shared" si="16"/>
        <v>0</v>
      </c>
      <c r="Q72" s="226" t="e">
        <f t="shared" si="17"/>
        <v>#DIV/0!</v>
      </c>
    </row>
    <row r="73" spans="1:17" ht="5.25" customHeight="1">
      <c r="A73" s="216"/>
      <c r="B73" s="217"/>
      <c r="C73" s="223"/>
      <c r="D73" s="218"/>
      <c r="E73" s="258"/>
      <c r="F73" s="219"/>
      <c r="G73" s="220"/>
      <c r="H73" s="220"/>
      <c r="I73" s="220"/>
      <c r="J73" s="221"/>
      <c r="K73" s="202"/>
      <c r="L73" s="222"/>
      <c r="M73" s="226"/>
      <c r="N73" s="226"/>
      <c r="O73" s="226"/>
      <c r="Q73" s="226"/>
    </row>
    <row r="74" spans="1:17" ht="13.2">
      <c r="A74" s="215"/>
      <c r="B74" s="229" t="str">
        <f>[17]VALORIZACION!B48</f>
        <v xml:space="preserve">                CUNETAS SIN REVESTIR</v>
      </c>
      <c r="C74" s="223"/>
      <c r="D74" s="259"/>
      <c r="E74" s="223"/>
      <c r="F74" s="223"/>
      <c r="G74" s="224"/>
      <c r="H74" s="224"/>
      <c r="I74" s="224"/>
      <c r="J74" s="205"/>
      <c r="K74" s="225"/>
      <c r="L74" s="222"/>
      <c r="M74" s="226"/>
      <c r="N74" s="226"/>
      <c r="O74" s="226"/>
      <c r="Q74" s="226"/>
    </row>
    <row r="75" spans="1:17" ht="5.25" customHeight="1">
      <c r="A75" s="216"/>
      <c r="B75" s="217"/>
      <c r="C75" s="223"/>
      <c r="D75" s="218"/>
      <c r="E75" s="258"/>
      <c r="F75" s="219"/>
      <c r="G75" s="220"/>
      <c r="H75" s="220"/>
      <c r="I75" s="220"/>
      <c r="J75" s="221"/>
      <c r="K75" s="202"/>
      <c r="L75" s="222">
        <f t="shared" ref="L75:L80" si="18">SUM(E75:G75)</f>
        <v>0</v>
      </c>
      <c r="M75" s="226" t="e">
        <f t="shared" ref="M75:M80" si="19">E75/D75</f>
        <v>#DIV/0!</v>
      </c>
      <c r="N75" s="226" t="e">
        <f t="shared" ref="N75:N80" si="20">F75/D75</f>
        <v>#DIV/0!</v>
      </c>
      <c r="O75" s="226" t="e">
        <f t="shared" ref="O75:O80" si="21">M75+N75</f>
        <v>#DIV/0!</v>
      </c>
      <c r="P75" s="204">
        <f t="shared" ref="P75:P80" si="22">E75+F75+G75</f>
        <v>0</v>
      </c>
      <c r="Q75" s="226" t="e">
        <f t="shared" ref="Q75:Q80" si="23">P75/D75</f>
        <v>#DIV/0!</v>
      </c>
    </row>
    <row r="76" spans="1:17" ht="13.2">
      <c r="A76" s="212"/>
      <c r="B76" s="217" t="str">
        <f>[17]VALORIZACION!B49</f>
        <v xml:space="preserve"> CONFORMACIÓN Y PERFILADO DE CUNETAS (MATERIAL SUELTO)</v>
      </c>
      <c r="C76" s="223"/>
      <c r="D76" s="259">
        <f>+[17]RESUMEN!G43</f>
        <v>3202637.94</v>
      </c>
      <c r="E76" s="223"/>
      <c r="F76" s="223"/>
      <c r="G76" s="502"/>
      <c r="H76" s="502"/>
      <c r="I76" s="502"/>
      <c r="J76" s="205"/>
      <c r="K76" s="225" t="str">
        <f>IF(L76=D76,"ok","falso")</f>
        <v>falso</v>
      </c>
      <c r="L76" s="222">
        <f t="shared" si="18"/>
        <v>0</v>
      </c>
      <c r="M76" s="226">
        <f t="shared" si="19"/>
        <v>0</v>
      </c>
      <c r="N76" s="226">
        <f t="shared" si="20"/>
        <v>0</v>
      </c>
      <c r="O76" s="226">
        <f t="shared" si="21"/>
        <v>0</v>
      </c>
      <c r="P76" s="204">
        <f t="shared" si="22"/>
        <v>0</v>
      </c>
      <c r="Q76" s="226">
        <f t="shared" si="23"/>
        <v>0</v>
      </c>
    </row>
    <row r="77" spans="1:17" ht="5.25" customHeight="1">
      <c r="A77" s="216"/>
      <c r="B77" s="217"/>
      <c r="C77" s="223"/>
      <c r="D77" s="218"/>
      <c r="E77" s="258"/>
      <c r="F77" s="219"/>
      <c r="G77" s="220"/>
      <c r="H77" s="220"/>
      <c r="I77" s="220"/>
      <c r="J77" s="221"/>
      <c r="K77" s="202"/>
      <c r="L77" s="222">
        <f t="shared" si="18"/>
        <v>0</v>
      </c>
      <c r="M77" s="226" t="e">
        <f t="shared" si="19"/>
        <v>#DIV/0!</v>
      </c>
      <c r="N77" s="226" t="e">
        <f t="shared" si="20"/>
        <v>#DIV/0!</v>
      </c>
      <c r="O77" s="226" t="e">
        <f t="shared" si="21"/>
        <v>#DIV/0!</v>
      </c>
      <c r="P77" s="204">
        <f t="shared" si="22"/>
        <v>0</v>
      </c>
      <c r="Q77" s="226" t="e">
        <f t="shared" si="23"/>
        <v>#DIV/0!</v>
      </c>
    </row>
    <row r="78" spans="1:17" ht="13.2">
      <c r="A78" s="212"/>
      <c r="B78" s="217" t="str">
        <f>[17]VALORIZACION!B50</f>
        <v xml:space="preserve"> CONFORMACIÓN Y PERFILADO DE CUNETAS (ROCA SUELTA)</v>
      </c>
      <c r="C78" s="223"/>
      <c r="D78" s="259">
        <f>+[17]RESUMEN!G45</f>
        <v>64052.76</v>
      </c>
      <c r="E78" s="223"/>
      <c r="F78" s="223"/>
      <c r="G78" s="502"/>
      <c r="H78" s="502"/>
      <c r="I78" s="502"/>
      <c r="J78" s="205"/>
      <c r="K78" s="225" t="str">
        <f>IF(L78=D78,"ok","falso")</f>
        <v>falso</v>
      </c>
      <c r="L78" s="222">
        <f t="shared" si="18"/>
        <v>0</v>
      </c>
      <c r="M78" s="226">
        <f t="shared" si="19"/>
        <v>0</v>
      </c>
      <c r="N78" s="226">
        <f t="shared" si="20"/>
        <v>0</v>
      </c>
      <c r="O78" s="226">
        <f t="shared" si="21"/>
        <v>0</v>
      </c>
      <c r="P78" s="204">
        <f t="shared" si="22"/>
        <v>0</v>
      </c>
      <c r="Q78" s="226">
        <f t="shared" si="23"/>
        <v>0</v>
      </c>
    </row>
    <row r="79" spans="1:17" ht="5.25" customHeight="1">
      <c r="A79" s="216"/>
      <c r="B79" s="217"/>
      <c r="C79" s="223"/>
      <c r="D79" s="218"/>
      <c r="E79" s="258"/>
      <c r="F79" s="219"/>
      <c r="G79" s="220"/>
      <c r="H79" s="220"/>
      <c r="I79" s="220"/>
      <c r="J79" s="221"/>
      <c r="K79" s="202"/>
      <c r="L79" s="222">
        <f t="shared" si="18"/>
        <v>0</v>
      </c>
      <c r="M79" s="226" t="e">
        <f t="shared" si="19"/>
        <v>#DIV/0!</v>
      </c>
      <c r="N79" s="226" t="e">
        <f t="shared" si="20"/>
        <v>#DIV/0!</v>
      </c>
      <c r="O79" s="226" t="e">
        <f t="shared" si="21"/>
        <v>#DIV/0!</v>
      </c>
      <c r="P79" s="204">
        <f t="shared" si="22"/>
        <v>0</v>
      </c>
      <c r="Q79" s="226" t="e">
        <f t="shared" si="23"/>
        <v>#DIV/0!</v>
      </c>
    </row>
    <row r="80" spans="1:17" ht="13.2">
      <c r="A80" s="212"/>
      <c r="B80" s="217" t="str">
        <f>[17]VALORIZACION!B51</f>
        <v>CONFORMACIÓN Y PERFILADO DE CUNETAS (ROCA FIJA)</v>
      </c>
      <c r="C80" s="223"/>
      <c r="D80" s="259">
        <f>+[17]RESUMEN!G47</f>
        <v>616828.06999999995</v>
      </c>
      <c r="E80" s="223"/>
      <c r="F80" s="223"/>
      <c r="G80" s="502"/>
      <c r="H80" s="502"/>
      <c r="I80" s="502"/>
      <c r="J80" s="205"/>
      <c r="K80" s="225" t="str">
        <f>IF(L80=D80,"ok","falso")</f>
        <v>falso</v>
      </c>
      <c r="L80" s="222">
        <f t="shared" si="18"/>
        <v>0</v>
      </c>
      <c r="M80" s="226">
        <f t="shared" si="19"/>
        <v>0</v>
      </c>
      <c r="N80" s="226">
        <f t="shared" si="20"/>
        <v>0</v>
      </c>
      <c r="O80" s="226">
        <f t="shared" si="21"/>
        <v>0</v>
      </c>
      <c r="P80" s="204">
        <f t="shared" si="22"/>
        <v>0</v>
      </c>
      <c r="Q80" s="226">
        <f t="shared" si="23"/>
        <v>0</v>
      </c>
    </row>
    <row r="81" spans="1:17" ht="5.25" customHeight="1">
      <c r="A81" s="216"/>
      <c r="B81" s="217"/>
      <c r="C81" s="223"/>
      <c r="D81" s="218"/>
      <c r="E81" s="258"/>
      <c r="F81" s="219"/>
      <c r="G81" s="220"/>
      <c r="H81" s="220"/>
      <c r="I81" s="220"/>
      <c r="J81" s="221"/>
      <c r="K81" s="202"/>
      <c r="L81" s="222"/>
      <c r="M81" s="226"/>
      <c r="N81" s="226"/>
      <c r="O81" s="226"/>
      <c r="Q81" s="226"/>
    </row>
    <row r="82" spans="1:17" ht="12.75" hidden="1" customHeight="1">
      <c r="A82" s="215"/>
      <c r="B82" s="228" t="str">
        <f>[17]VALORIZACION!B52</f>
        <v xml:space="preserve">            PUENTE TABLERO SECCIÓN COMPUESTA.</v>
      </c>
      <c r="C82" s="223"/>
      <c r="D82" s="259"/>
      <c r="E82" s="223"/>
      <c r="F82" s="223"/>
      <c r="G82" s="224"/>
      <c r="H82" s="224"/>
      <c r="I82" s="224"/>
      <c r="J82" s="205"/>
      <c r="K82" s="225"/>
      <c r="L82" s="222"/>
      <c r="M82" s="226"/>
      <c r="N82" s="226"/>
      <c r="O82" s="226"/>
      <c r="Q82" s="226"/>
    </row>
    <row r="83" spans="1:17" ht="12.75" hidden="1" customHeight="1">
      <c r="A83" s="215"/>
      <c r="B83" s="229" t="str">
        <f>[17]VALORIZACION!B53</f>
        <v xml:space="preserve">                TRABAJOS PRELIMINARES.</v>
      </c>
      <c r="C83" s="223"/>
      <c r="D83" s="259"/>
      <c r="E83" s="223"/>
      <c r="F83" s="223"/>
      <c r="G83" s="224"/>
      <c r="H83" s="224"/>
      <c r="I83" s="224"/>
      <c r="J83" s="205"/>
      <c r="K83" s="225"/>
      <c r="L83" s="222"/>
      <c r="M83" s="226"/>
      <c r="N83" s="226"/>
      <c r="O83" s="226"/>
      <c r="Q83" s="226"/>
    </row>
    <row r="84" spans="1:17" ht="5.25" hidden="1" customHeight="1">
      <c r="A84" s="216"/>
      <c r="B84" s="217"/>
      <c r="C84" s="223"/>
      <c r="D84" s="218"/>
      <c r="E84" s="258"/>
      <c r="F84" s="219"/>
      <c r="G84" s="220"/>
      <c r="H84" s="220"/>
      <c r="I84" s="220"/>
      <c r="J84" s="221"/>
      <c r="K84" s="202"/>
      <c r="L84" s="222"/>
      <c r="M84" s="226"/>
      <c r="N84" s="226"/>
      <c r="O84" s="226"/>
      <c r="Q84" s="226"/>
    </row>
    <row r="85" spans="1:17" ht="5.25" hidden="1" customHeight="1">
      <c r="A85" s="216"/>
      <c r="B85" s="217"/>
      <c r="C85" s="223"/>
      <c r="D85" s="218"/>
      <c r="E85" s="258"/>
      <c r="F85" s="219"/>
      <c r="G85" s="220"/>
      <c r="H85" s="220"/>
      <c r="I85" s="220"/>
      <c r="J85" s="221"/>
      <c r="K85" s="202"/>
      <c r="L85" s="222">
        <f t="shared" ref="L85:L90" si="24">SUM(E85:G85)</f>
        <v>0</v>
      </c>
      <c r="M85" s="226" t="e">
        <f t="shared" ref="M85:M90" si="25">E85/D85</f>
        <v>#DIV/0!</v>
      </c>
      <c r="N85" s="226" t="e">
        <f t="shared" ref="N85:N90" si="26">F85/D85</f>
        <v>#DIV/0!</v>
      </c>
      <c r="O85" s="226" t="e">
        <f t="shared" ref="O85:O90" si="27">M85+N85</f>
        <v>#DIV/0!</v>
      </c>
      <c r="P85" s="204">
        <f t="shared" ref="P85:P90" si="28">E85+F85+G85</f>
        <v>0</v>
      </c>
      <c r="Q85" s="226" t="e">
        <f t="shared" ref="Q85:Q90" si="29">P85/D85</f>
        <v>#DIV/0!</v>
      </c>
    </row>
    <row r="86" spans="1:17" ht="12.75" hidden="1" customHeight="1">
      <c r="A86" s="212"/>
      <c r="B86" s="217" t="str">
        <f>[17]VALORIZACION!B54</f>
        <v xml:space="preserve"> LIMPIEZA MANUAL DE TERRENO</v>
      </c>
      <c r="C86" s="223"/>
      <c r="D86" s="259">
        <f>+[17]RESUMEN!G49</f>
        <v>0</v>
      </c>
      <c r="E86" s="223"/>
      <c r="F86" s="223"/>
      <c r="G86" s="224"/>
      <c r="H86" s="224"/>
      <c r="I86" s="224"/>
      <c r="J86" s="205"/>
      <c r="K86" s="225" t="str">
        <f>IF(L86=D86,"ok","falso")</f>
        <v>ok</v>
      </c>
      <c r="L86" s="222">
        <f t="shared" si="24"/>
        <v>0</v>
      </c>
      <c r="M86" s="226" t="e">
        <f t="shared" si="25"/>
        <v>#DIV/0!</v>
      </c>
      <c r="N86" s="226" t="e">
        <f t="shared" si="26"/>
        <v>#DIV/0!</v>
      </c>
      <c r="O86" s="226" t="e">
        <f t="shared" si="27"/>
        <v>#DIV/0!</v>
      </c>
      <c r="P86" s="204">
        <f t="shared" si="28"/>
        <v>0</v>
      </c>
      <c r="Q86" s="226" t="e">
        <f t="shared" si="29"/>
        <v>#DIV/0!</v>
      </c>
    </row>
    <row r="87" spans="1:17" ht="5.25" hidden="1" customHeight="1">
      <c r="A87" s="216"/>
      <c r="B87" s="217"/>
      <c r="C87" s="223"/>
      <c r="D87" s="218"/>
      <c r="E87" s="258"/>
      <c r="F87" s="219"/>
      <c r="G87" s="220"/>
      <c r="H87" s="220"/>
      <c r="I87" s="220"/>
      <c r="J87" s="221"/>
      <c r="K87" s="202"/>
      <c r="L87" s="222">
        <f t="shared" si="24"/>
        <v>0</v>
      </c>
      <c r="M87" s="226" t="e">
        <f t="shared" si="25"/>
        <v>#DIV/0!</v>
      </c>
      <c r="N87" s="226" t="e">
        <f t="shared" si="26"/>
        <v>#DIV/0!</v>
      </c>
      <c r="O87" s="226" t="e">
        <f t="shared" si="27"/>
        <v>#DIV/0!</v>
      </c>
      <c r="P87" s="204">
        <f t="shared" si="28"/>
        <v>0</v>
      </c>
      <c r="Q87" s="226" t="e">
        <f t="shared" si="29"/>
        <v>#DIV/0!</v>
      </c>
    </row>
    <row r="88" spans="1:17" ht="12.75" hidden="1" customHeight="1">
      <c r="A88" s="212"/>
      <c r="B88" s="217" t="str">
        <f>[17]VALORIZACION!B55</f>
        <v>TRAZO, REPLANTEO Y CONTROL TOPOGRAFICO</v>
      </c>
      <c r="C88" s="223"/>
      <c r="D88" s="259">
        <f>+[17]RESUMEN!G51</f>
        <v>0</v>
      </c>
      <c r="E88" s="223"/>
      <c r="F88" s="223"/>
      <c r="G88" s="224"/>
      <c r="H88" s="224"/>
      <c r="I88" s="224"/>
      <c r="J88" s="205"/>
      <c r="K88" s="225" t="str">
        <f>IF(L88=D88,"ok","falso")</f>
        <v>ok</v>
      </c>
      <c r="L88" s="222">
        <f t="shared" si="24"/>
        <v>0</v>
      </c>
      <c r="M88" s="226" t="e">
        <f t="shared" si="25"/>
        <v>#DIV/0!</v>
      </c>
      <c r="N88" s="226" t="e">
        <f t="shared" si="26"/>
        <v>#DIV/0!</v>
      </c>
      <c r="O88" s="226" t="e">
        <f t="shared" si="27"/>
        <v>#DIV/0!</v>
      </c>
      <c r="P88" s="204">
        <f t="shared" si="28"/>
        <v>0</v>
      </c>
      <c r="Q88" s="226" t="e">
        <f t="shared" si="29"/>
        <v>#DIV/0!</v>
      </c>
    </row>
    <row r="89" spans="1:17" ht="5.25" hidden="1" customHeight="1">
      <c r="A89" s="216"/>
      <c r="B89" s="217"/>
      <c r="C89" s="223"/>
      <c r="D89" s="218"/>
      <c r="E89" s="258"/>
      <c r="F89" s="219"/>
      <c r="G89" s="220"/>
      <c r="H89" s="220"/>
      <c r="I89" s="220"/>
      <c r="J89" s="221"/>
      <c r="K89" s="202"/>
      <c r="L89" s="222">
        <f t="shared" si="24"/>
        <v>0</v>
      </c>
      <c r="M89" s="226" t="e">
        <f t="shared" si="25"/>
        <v>#DIV/0!</v>
      </c>
      <c r="N89" s="226" t="e">
        <f t="shared" si="26"/>
        <v>#DIV/0!</v>
      </c>
      <c r="O89" s="226" t="e">
        <f t="shared" si="27"/>
        <v>#DIV/0!</v>
      </c>
      <c r="P89" s="204">
        <f t="shared" si="28"/>
        <v>0</v>
      </c>
      <c r="Q89" s="226" t="e">
        <f t="shared" si="29"/>
        <v>#DIV/0!</v>
      </c>
    </row>
    <row r="90" spans="1:17" ht="12.75" hidden="1" customHeight="1">
      <c r="A90" s="212"/>
      <c r="B90" s="217" t="str">
        <f>[17]VALORIZACION!B56</f>
        <v>FLETE TERRESTRE DE MATERIALES A OBRA (PUENTE)</v>
      </c>
      <c r="C90" s="223"/>
      <c r="D90" s="259">
        <f>+[17]RESUMEN!G53</f>
        <v>0</v>
      </c>
      <c r="E90" s="223"/>
      <c r="F90" s="223"/>
      <c r="G90" s="224"/>
      <c r="H90" s="224"/>
      <c r="I90" s="224"/>
      <c r="J90" s="205"/>
      <c r="K90" s="225" t="str">
        <f>IF(L90=D90,"ok","falso")</f>
        <v>ok</v>
      </c>
      <c r="L90" s="222">
        <f t="shared" si="24"/>
        <v>0</v>
      </c>
      <c r="M90" s="226" t="e">
        <f t="shared" si="25"/>
        <v>#DIV/0!</v>
      </c>
      <c r="N90" s="226" t="e">
        <f t="shared" si="26"/>
        <v>#DIV/0!</v>
      </c>
      <c r="O90" s="226" t="e">
        <f t="shared" si="27"/>
        <v>#DIV/0!</v>
      </c>
      <c r="P90" s="204">
        <f t="shared" si="28"/>
        <v>0</v>
      </c>
      <c r="Q90" s="226" t="e">
        <f t="shared" si="29"/>
        <v>#DIV/0!</v>
      </c>
    </row>
    <row r="91" spans="1:17" ht="5.25" hidden="1" customHeight="1">
      <c r="A91" s="216"/>
      <c r="B91" s="217"/>
      <c r="C91" s="223"/>
      <c r="D91" s="218"/>
      <c r="E91" s="258"/>
      <c r="F91" s="219"/>
      <c r="G91" s="220"/>
      <c r="H91" s="220"/>
      <c r="I91" s="220"/>
      <c r="J91" s="221"/>
      <c r="K91" s="202"/>
      <c r="L91" s="222"/>
      <c r="M91" s="226"/>
      <c r="N91" s="226"/>
      <c r="O91" s="226"/>
      <c r="Q91" s="226"/>
    </row>
    <row r="92" spans="1:17" ht="12.75" hidden="1" customHeight="1">
      <c r="A92" s="215"/>
      <c r="B92" s="229" t="str">
        <f>[17]VALORIZACION!B57</f>
        <v xml:space="preserve">                MOVIMIENTO DE TIERRAS</v>
      </c>
      <c r="C92" s="223"/>
      <c r="D92" s="259"/>
      <c r="E92" s="223"/>
      <c r="F92" s="223"/>
      <c r="G92" s="224"/>
      <c r="H92" s="224"/>
      <c r="I92" s="224"/>
      <c r="J92" s="205"/>
      <c r="K92" s="225"/>
      <c r="L92" s="222"/>
      <c r="M92" s="226"/>
      <c r="N92" s="226"/>
      <c r="O92" s="226"/>
      <c r="Q92" s="226"/>
    </row>
    <row r="93" spans="1:17" ht="5.25" hidden="1" customHeight="1">
      <c r="A93" s="216"/>
      <c r="B93" s="217"/>
      <c r="C93" s="223"/>
      <c r="D93" s="218"/>
      <c r="E93" s="258"/>
      <c r="F93" s="219"/>
      <c r="G93" s="220"/>
      <c r="H93" s="220"/>
      <c r="I93" s="220"/>
      <c r="J93" s="221"/>
      <c r="K93" s="202"/>
      <c r="L93" s="222">
        <f t="shared" ref="L93:L98" si="30">SUM(E93:G93)</f>
        <v>0</v>
      </c>
      <c r="M93" s="226" t="e">
        <f t="shared" ref="M93:M98" si="31">E93/D93</f>
        <v>#DIV/0!</v>
      </c>
      <c r="N93" s="226" t="e">
        <f t="shared" ref="N93:N98" si="32">F93/D93</f>
        <v>#DIV/0!</v>
      </c>
      <c r="O93" s="226" t="e">
        <f t="shared" ref="O93:O98" si="33">M93+N93</f>
        <v>#DIV/0!</v>
      </c>
      <c r="P93" s="204">
        <f t="shared" ref="P93:P98" si="34">E93+F93+G93</f>
        <v>0</v>
      </c>
      <c r="Q93" s="226" t="e">
        <f t="shared" ref="Q93:Q98" si="35">P93/D93</f>
        <v>#DIV/0!</v>
      </c>
    </row>
    <row r="94" spans="1:17" ht="12.75" hidden="1" customHeight="1">
      <c r="A94" s="212"/>
      <c r="B94" s="217" t="str">
        <f>[17]VALORIZACION!B58</f>
        <v xml:space="preserve"> EXCAVACIONES.</v>
      </c>
      <c r="C94" s="223"/>
      <c r="D94" s="259">
        <f>+[17]RESUMEN!G55</f>
        <v>0</v>
      </c>
      <c r="E94" s="223"/>
      <c r="F94" s="223"/>
      <c r="G94" s="224"/>
      <c r="H94" s="224"/>
      <c r="I94" s="224"/>
      <c r="J94" s="205"/>
      <c r="K94" s="225" t="str">
        <f>IF(L94=D94,"ok","falso")</f>
        <v>ok</v>
      </c>
      <c r="L94" s="222">
        <f t="shared" si="30"/>
        <v>0</v>
      </c>
      <c r="M94" s="226" t="e">
        <f t="shared" si="31"/>
        <v>#DIV/0!</v>
      </c>
      <c r="N94" s="226" t="e">
        <f t="shared" si="32"/>
        <v>#DIV/0!</v>
      </c>
      <c r="O94" s="226" t="e">
        <f t="shared" si="33"/>
        <v>#DIV/0!</v>
      </c>
      <c r="P94" s="204">
        <f t="shared" si="34"/>
        <v>0</v>
      </c>
      <c r="Q94" s="226" t="e">
        <f t="shared" si="35"/>
        <v>#DIV/0!</v>
      </c>
    </row>
    <row r="95" spans="1:17" ht="5.25" hidden="1" customHeight="1">
      <c r="A95" s="216"/>
      <c r="B95" s="217"/>
      <c r="C95" s="223"/>
      <c r="D95" s="218"/>
      <c r="E95" s="258"/>
      <c r="F95" s="219"/>
      <c r="G95" s="220"/>
      <c r="H95" s="220"/>
      <c r="I95" s="220"/>
      <c r="J95" s="221"/>
      <c r="K95" s="202"/>
      <c r="L95" s="222">
        <f t="shared" si="30"/>
        <v>0</v>
      </c>
      <c r="M95" s="226" t="e">
        <f t="shared" si="31"/>
        <v>#DIV/0!</v>
      </c>
      <c r="N95" s="226" t="e">
        <f t="shared" si="32"/>
        <v>#DIV/0!</v>
      </c>
      <c r="O95" s="226" t="e">
        <f t="shared" si="33"/>
        <v>#DIV/0!</v>
      </c>
      <c r="P95" s="204">
        <f t="shared" si="34"/>
        <v>0</v>
      </c>
      <c r="Q95" s="226" t="e">
        <f t="shared" si="35"/>
        <v>#DIV/0!</v>
      </c>
    </row>
    <row r="96" spans="1:17" ht="12.75" hidden="1" customHeight="1">
      <c r="A96" s="212"/>
      <c r="B96" s="217" t="str">
        <f>[17]VALORIZACION!B59</f>
        <v xml:space="preserve"> EXCAVACIÓN EN SECO CON MAQUINARIA</v>
      </c>
      <c r="C96" s="223"/>
      <c r="D96" s="259">
        <f>+[17]RESUMEN!G57</f>
        <v>0</v>
      </c>
      <c r="E96" s="223"/>
      <c r="F96" s="223"/>
      <c r="G96" s="224"/>
      <c r="H96" s="224"/>
      <c r="I96" s="224"/>
      <c r="J96" s="205"/>
      <c r="K96" s="225" t="str">
        <f>IF(L96=D96,"ok","falso")</f>
        <v>ok</v>
      </c>
      <c r="L96" s="222">
        <f t="shared" si="30"/>
        <v>0</v>
      </c>
      <c r="M96" s="226" t="e">
        <f t="shared" si="31"/>
        <v>#DIV/0!</v>
      </c>
      <c r="N96" s="226" t="e">
        <f t="shared" si="32"/>
        <v>#DIV/0!</v>
      </c>
      <c r="O96" s="226" t="e">
        <f t="shared" si="33"/>
        <v>#DIV/0!</v>
      </c>
      <c r="P96" s="204">
        <f t="shared" si="34"/>
        <v>0</v>
      </c>
      <c r="Q96" s="226" t="e">
        <f t="shared" si="35"/>
        <v>#DIV/0!</v>
      </c>
    </row>
    <row r="97" spans="1:17" ht="5.25" hidden="1" customHeight="1">
      <c r="A97" s="216"/>
      <c r="B97" s="217"/>
      <c r="C97" s="223"/>
      <c r="D97" s="218"/>
      <c r="E97" s="258"/>
      <c r="F97" s="219"/>
      <c r="G97" s="220"/>
      <c r="H97" s="220"/>
      <c r="I97" s="220"/>
      <c r="J97" s="221"/>
      <c r="K97" s="202"/>
      <c r="L97" s="222">
        <f t="shared" si="30"/>
        <v>0</v>
      </c>
      <c r="M97" s="226" t="e">
        <f t="shared" si="31"/>
        <v>#DIV/0!</v>
      </c>
      <c r="N97" s="226" t="e">
        <f t="shared" si="32"/>
        <v>#DIV/0!</v>
      </c>
      <c r="O97" s="226" t="e">
        <f t="shared" si="33"/>
        <v>#DIV/0!</v>
      </c>
      <c r="P97" s="204">
        <f t="shared" si="34"/>
        <v>0</v>
      </c>
      <c r="Q97" s="226" t="e">
        <f t="shared" si="35"/>
        <v>#DIV/0!</v>
      </c>
    </row>
    <row r="98" spans="1:17" ht="12.75" hidden="1" customHeight="1">
      <c r="A98" s="212"/>
      <c r="B98" s="217" t="str">
        <f>[17]VALORIZACION!B60</f>
        <v>EXCAVACIÓN BAJO AGUA CON MAQUINARIA</v>
      </c>
      <c r="C98" s="223"/>
      <c r="D98" s="259">
        <f>+[17]RESUMEN!G59</f>
        <v>0</v>
      </c>
      <c r="E98" s="223"/>
      <c r="F98" s="223"/>
      <c r="G98" s="224"/>
      <c r="H98" s="224"/>
      <c r="I98" s="224"/>
      <c r="J98" s="205"/>
      <c r="K98" s="225" t="str">
        <f>IF(L98=D98,"ok","falso")</f>
        <v>ok</v>
      </c>
      <c r="L98" s="222">
        <f t="shared" si="30"/>
        <v>0</v>
      </c>
      <c r="M98" s="226" t="e">
        <f t="shared" si="31"/>
        <v>#DIV/0!</v>
      </c>
      <c r="N98" s="226" t="e">
        <f t="shared" si="32"/>
        <v>#DIV/0!</v>
      </c>
      <c r="O98" s="226" t="e">
        <f t="shared" si="33"/>
        <v>#DIV/0!</v>
      </c>
      <c r="P98" s="204">
        <f t="shared" si="34"/>
        <v>0</v>
      </c>
      <c r="Q98" s="226" t="e">
        <f t="shared" si="35"/>
        <v>#DIV/0!</v>
      </c>
    </row>
    <row r="99" spans="1:17" ht="5.25" hidden="1" customHeight="1">
      <c r="A99" s="216"/>
      <c r="B99" s="217"/>
      <c r="C99" s="223"/>
      <c r="D99" s="218"/>
      <c r="E99" s="258"/>
      <c r="F99" s="219"/>
      <c r="G99" s="220"/>
      <c r="H99" s="220"/>
      <c r="I99" s="220"/>
      <c r="J99" s="221"/>
      <c r="K99" s="202"/>
      <c r="L99" s="222"/>
      <c r="M99" s="226"/>
      <c r="N99" s="226"/>
      <c r="O99" s="226"/>
      <c r="Q99" s="226"/>
    </row>
    <row r="100" spans="1:17" ht="12.75" hidden="1" customHeight="1">
      <c r="A100" s="215"/>
      <c r="B100" s="217" t="str">
        <f>[17]VALORIZACION!B61</f>
        <v xml:space="preserve"> EXCAVACIÓN BAJO AGUA MANUAL</v>
      </c>
      <c r="C100" s="223"/>
      <c r="D100" s="259">
        <f>+[17]RESUMEN!G61</f>
        <v>0</v>
      </c>
      <c r="E100" s="223"/>
      <c r="F100" s="223"/>
      <c r="G100" s="224"/>
      <c r="H100" s="224"/>
      <c r="I100" s="224"/>
      <c r="J100" s="205"/>
      <c r="K100" s="225"/>
      <c r="L100" s="222"/>
      <c r="M100" s="226"/>
      <c r="N100" s="226"/>
      <c r="O100" s="226"/>
      <c r="Q100" s="226"/>
    </row>
    <row r="101" spans="1:17" ht="12.75" hidden="1" customHeight="1">
      <c r="A101" s="215"/>
      <c r="B101" s="232" t="str">
        <f>[17]VALORIZACION!B62</f>
        <v xml:space="preserve">                    RELLENOS.</v>
      </c>
      <c r="C101" s="223"/>
      <c r="D101" s="259"/>
      <c r="E101" s="223"/>
      <c r="F101" s="223"/>
      <c r="G101" s="224"/>
      <c r="H101" s="224"/>
      <c r="I101" s="224"/>
      <c r="J101" s="205"/>
      <c r="K101" s="225"/>
      <c r="L101" s="222"/>
      <c r="M101" s="226"/>
      <c r="N101" s="226"/>
      <c r="O101" s="226"/>
      <c r="Q101" s="226"/>
    </row>
    <row r="102" spans="1:17" ht="5.25" hidden="1" customHeight="1">
      <c r="A102" s="216"/>
      <c r="B102" s="217"/>
      <c r="C102" s="223"/>
      <c r="D102" s="218"/>
      <c r="E102" s="258"/>
      <c r="F102" s="219"/>
      <c r="G102" s="220"/>
      <c r="H102" s="220"/>
      <c r="I102" s="220"/>
      <c r="J102" s="221"/>
      <c r="K102" s="202"/>
      <c r="L102" s="222">
        <f>SUM(E102:G102)</f>
        <v>0</v>
      </c>
      <c r="M102" s="226" t="e">
        <f>E102/D102</f>
        <v>#DIV/0!</v>
      </c>
      <c r="N102" s="226" t="e">
        <f>F102/D102</f>
        <v>#DIV/0!</v>
      </c>
      <c r="O102" s="226" t="e">
        <f t="shared" ref="O102:O139" si="36">M102+N102</f>
        <v>#DIV/0!</v>
      </c>
      <c r="P102" s="204">
        <f>E102+F102+G102</f>
        <v>0</v>
      </c>
      <c r="Q102" s="226" t="e">
        <f>P102/D102</f>
        <v>#DIV/0!</v>
      </c>
    </row>
    <row r="103" spans="1:17" ht="12.75" hidden="1" customHeight="1">
      <c r="A103" s="212"/>
      <c r="B103" s="217" t="str">
        <f>[17]VALORIZACION!B63</f>
        <v xml:space="preserve"> RELLENO PARA ESTRUCTURAS CON MATERIAL PROPIO</v>
      </c>
      <c r="C103" s="223"/>
      <c r="D103" s="259">
        <f>+[17]RESUMEN!G61</f>
        <v>0</v>
      </c>
      <c r="E103" s="223"/>
      <c r="F103" s="223"/>
      <c r="G103" s="224"/>
      <c r="H103" s="224"/>
      <c r="I103" s="224"/>
      <c r="J103" s="205"/>
      <c r="K103" s="225" t="str">
        <f>IF(L103=D103,"ok","falso")</f>
        <v>ok</v>
      </c>
      <c r="L103" s="222">
        <f>SUM(E103:G103)</f>
        <v>0</v>
      </c>
      <c r="M103" s="226" t="e">
        <f>E103/D103</f>
        <v>#DIV/0!</v>
      </c>
      <c r="N103" s="226" t="e">
        <f>F103/D103</f>
        <v>#DIV/0!</v>
      </c>
      <c r="O103" s="226" t="e">
        <f t="shared" si="36"/>
        <v>#DIV/0!</v>
      </c>
      <c r="P103" s="204">
        <f>E103+F103+G103</f>
        <v>0</v>
      </c>
      <c r="Q103" s="226" t="e">
        <f>P103/D103</f>
        <v>#DIV/0!</v>
      </c>
    </row>
    <row r="104" spans="1:17" ht="12.75" hidden="1" customHeight="1">
      <c r="A104" s="215"/>
      <c r="B104" s="232" t="str">
        <f>[17]VALORIZACION!B64</f>
        <v xml:space="preserve">      ELIMINACION DE MATERIAL EXCEDENTE.</v>
      </c>
      <c r="C104" s="223"/>
      <c r="D104" s="259"/>
      <c r="E104" s="223"/>
      <c r="F104" s="223"/>
      <c r="G104" s="224"/>
      <c r="H104" s="224"/>
      <c r="I104" s="224"/>
      <c r="J104" s="205"/>
      <c r="K104" s="225"/>
      <c r="L104" s="222"/>
      <c r="M104" s="226"/>
      <c r="N104" s="226"/>
      <c r="O104" s="226"/>
      <c r="Q104" s="226"/>
    </row>
    <row r="105" spans="1:17" ht="5.25" hidden="1" customHeight="1">
      <c r="A105" s="216"/>
      <c r="B105" s="217"/>
      <c r="C105" s="223"/>
      <c r="D105" s="218"/>
      <c r="E105" s="258"/>
      <c r="F105" s="219"/>
      <c r="G105" s="220"/>
      <c r="H105" s="220"/>
      <c r="I105" s="220"/>
      <c r="J105" s="221"/>
      <c r="K105" s="202"/>
      <c r="L105" s="222">
        <f t="shared" ref="L105:L120" si="37">SUM(E105:G105)</f>
        <v>0</v>
      </c>
      <c r="M105" s="226" t="e">
        <f t="shared" ref="M105:M120" si="38">E105/D105</f>
        <v>#DIV/0!</v>
      </c>
      <c r="N105" s="226" t="e">
        <f t="shared" ref="N105:N120" si="39">F105/D105</f>
        <v>#DIV/0!</v>
      </c>
      <c r="O105" s="226" t="e">
        <f t="shared" si="36"/>
        <v>#DIV/0!</v>
      </c>
      <c r="P105" s="204">
        <f t="shared" ref="P105:P120" si="40">E105+F105+G105</f>
        <v>0</v>
      </c>
      <c r="Q105" s="226" t="e">
        <f t="shared" ref="Q105:Q120" si="41">P105/D105</f>
        <v>#DIV/0!</v>
      </c>
    </row>
    <row r="106" spans="1:17" ht="12.75" hidden="1" customHeight="1">
      <c r="A106" s="212"/>
      <c r="B106" s="217" t="str">
        <f>[17]VALORIZACION!B65</f>
        <v>TRANSPORTE DE ELIMINACIÓN DE MATERIAL A DME D&lt;=1 km</v>
      </c>
      <c r="C106" s="223"/>
      <c r="D106" s="259">
        <f>+[17]RESUMEN!G63</f>
        <v>0</v>
      </c>
      <c r="E106" s="223"/>
      <c r="F106" s="223"/>
      <c r="G106" s="224"/>
      <c r="H106" s="224"/>
      <c r="I106" s="224"/>
      <c r="J106" s="205"/>
      <c r="K106" s="225" t="str">
        <f>IF(L106=D106,"ok","falso")</f>
        <v>ok</v>
      </c>
      <c r="L106" s="222">
        <f t="shared" si="37"/>
        <v>0</v>
      </c>
      <c r="M106" s="226" t="e">
        <f t="shared" si="38"/>
        <v>#DIV/0!</v>
      </c>
      <c r="N106" s="226" t="e">
        <f t="shared" si="39"/>
        <v>#DIV/0!</v>
      </c>
      <c r="O106" s="226" t="e">
        <f t="shared" si="36"/>
        <v>#DIV/0!</v>
      </c>
      <c r="P106" s="204">
        <f t="shared" si="40"/>
        <v>0</v>
      </c>
      <c r="Q106" s="226" t="e">
        <f t="shared" si="41"/>
        <v>#DIV/0!</v>
      </c>
    </row>
    <row r="107" spans="1:17" ht="5.25" hidden="1" customHeight="1">
      <c r="A107" s="216"/>
      <c r="B107" s="217"/>
      <c r="C107" s="223"/>
      <c r="D107" s="218"/>
      <c r="E107" s="258"/>
      <c r="F107" s="219"/>
      <c r="G107" s="220"/>
      <c r="H107" s="220"/>
      <c r="I107" s="220"/>
      <c r="J107" s="221"/>
      <c r="K107" s="202"/>
      <c r="L107" s="222">
        <f t="shared" si="37"/>
        <v>0</v>
      </c>
      <c r="M107" s="226" t="e">
        <f t="shared" si="38"/>
        <v>#DIV/0!</v>
      </c>
      <c r="N107" s="226" t="e">
        <f t="shared" si="39"/>
        <v>#DIV/0!</v>
      </c>
      <c r="O107" s="226" t="e">
        <f t="shared" si="36"/>
        <v>#DIV/0!</v>
      </c>
      <c r="P107" s="204">
        <f t="shared" si="40"/>
        <v>0</v>
      </c>
      <c r="Q107" s="226" t="e">
        <f t="shared" si="41"/>
        <v>#DIV/0!</v>
      </c>
    </row>
    <row r="108" spans="1:17" ht="12.75" hidden="1" customHeight="1">
      <c r="A108" s="212"/>
      <c r="B108" s="229" t="str">
        <f>[17]VALORIZACION!B66</f>
        <v xml:space="preserve">                ENCOFRADO Y DESENCOFRADO.</v>
      </c>
      <c r="C108" s="223"/>
      <c r="D108" s="259">
        <f>+[17]RESUMEN!G65</f>
        <v>0</v>
      </c>
      <c r="E108" s="223"/>
      <c r="F108" s="223"/>
      <c r="G108" s="224"/>
      <c r="H108" s="224"/>
      <c r="I108" s="224"/>
      <c r="J108" s="205"/>
      <c r="K108" s="225" t="str">
        <f>IF(L108=D108,"ok","falso")</f>
        <v>ok</v>
      </c>
      <c r="L108" s="222">
        <f t="shared" si="37"/>
        <v>0</v>
      </c>
      <c r="M108" s="226" t="e">
        <f t="shared" si="38"/>
        <v>#DIV/0!</v>
      </c>
      <c r="N108" s="226" t="e">
        <f t="shared" si="39"/>
        <v>#DIV/0!</v>
      </c>
      <c r="O108" s="226" t="e">
        <f t="shared" si="36"/>
        <v>#DIV/0!</v>
      </c>
      <c r="P108" s="204">
        <f t="shared" si="40"/>
        <v>0</v>
      </c>
      <c r="Q108" s="226" t="e">
        <f t="shared" si="41"/>
        <v>#DIV/0!</v>
      </c>
    </row>
    <row r="109" spans="1:17" ht="5.25" hidden="1" customHeight="1">
      <c r="A109" s="216"/>
      <c r="B109" s="217"/>
      <c r="C109" s="223"/>
      <c r="D109" s="218"/>
      <c r="E109" s="258"/>
      <c r="F109" s="219"/>
      <c r="G109" s="220"/>
      <c r="H109" s="220"/>
      <c r="I109" s="220"/>
      <c r="J109" s="221"/>
      <c r="K109" s="202"/>
      <c r="L109" s="222">
        <f t="shared" si="37"/>
        <v>0</v>
      </c>
      <c r="M109" s="226" t="e">
        <f t="shared" si="38"/>
        <v>#DIV/0!</v>
      </c>
      <c r="N109" s="226" t="e">
        <f t="shared" si="39"/>
        <v>#DIV/0!</v>
      </c>
      <c r="O109" s="226" t="e">
        <f t="shared" si="36"/>
        <v>#DIV/0!</v>
      </c>
      <c r="P109" s="204">
        <f t="shared" si="40"/>
        <v>0</v>
      </c>
      <c r="Q109" s="226" t="e">
        <f t="shared" si="41"/>
        <v>#DIV/0!</v>
      </c>
    </row>
    <row r="110" spans="1:17" ht="12.75" hidden="1" customHeight="1">
      <c r="A110" s="212"/>
      <c r="B110" s="217" t="str">
        <f>[17]VALORIZACION!B67</f>
        <v xml:space="preserve"> ENCOFRADO Y DESENCOFRADO DE SUB ESTRUCTURA.</v>
      </c>
      <c r="C110" s="223"/>
      <c r="D110" s="259">
        <f>+[17]RESUMEN!G67</f>
        <v>0</v>
      </c>
      <c r="E110" s="223"/>
      <c r="F110" s="223"/>
      <c r="G110" s="224"/>
      <c r="H110" s="224"/>
      <c r="I110" s="224"/>
      <c r="J110" s="205"/>
      <c r="K110" s="225" t="str">
        <f>IF(L110=D110,"ok","falso")</f>
        <v>ok</v>
      </c>
      <c r="L110" s="222">
        <f t="shared" si="37"/>
        <v>0</v>
      </c>
      <c r="M110" s="226" t="e">
        <f t="shared" si="38"/>
        <v>#DIV/0!</v>
      </c>
      <c r="N110" s="226" t="e">
        <f t="shared" si="39"/>
        <v>#DIV/0!</v>
      </c>
      <c r="O110" s="226" t="e">
        <f t="shared" si="36"/>
        <v>#DIV/0!</v>
      </c>
      <c r="P110" s="204">
        <f t="shared" si="40"/>
        <v>0</v>
      </c>
      <c r="Q110" s="226" t="e">
        <f t="shared" si="41"/>
        <v>#DIV/0!</v>
      </c>
    </row>
    <row r="111" spans="1:17" ht="5.25" hidden="1" customHeight="1">
      <c r="A111" s="216"/>
      <c r="B111" s="217"/>
      <c r="C111" s="223"/>
      <c r="D111" s="218"/>
      <c r="E111" s="258"/>
      <c r="F111" s="219"/>
      <c r="G111" s="220"/>
      <c r="H111" s="220"/>
      <c r="I111" s="220"/>
      <c r="J111" s="221"/>
      <c r="K111" s="202"/>
      <c r="L111" s="222">
        <f t="shared" si="37"/>
        <v>0</v>
      </c>
      <c r="M111" s="226" t="e">
        <f t="shared" si="38"/>
        <v>#DIV/0!</v>
      </c>
      <c r="N111" s="226" t="e">
        <f t="shared" si="39"/>
        <v>#DIV/0!</v>
      </c>
      <c r="O111" s="226" t="e">
        <f t="shared" si="36"/>
        <v>#DIV/0!</v>
      </c>
      <c r="P111" s="204">
        <f t="shared" si="40"/>
        <v>0</v>
      </c>
      <c r="Q111" s="226" t="e">
        <f t="shared" si="41"/>
        <v>#DIV/0!</v>
      </c>
    </row>
    <row r="112" spans="1:17" ht="12.75" hidden="1" customHeight="1">
      <c r="A112" s="212"/>
      <c r="B112" s="217" t="str">
        <f>[17]VALORIZACION!B68</f>
        <v xml:space="preserve"> ENCOFRADO Y DESENCOFRADO NORMAL BAJO AGUA</v>
      </c>
      <c r="C112" s="223"/>
      <c r="D112" s="259">
        <f>+[17]RESUMEN!G69</f>
        <v>0</v>
      </c>
      <c r="E112" s="223"/>
      <c r="F112" s="223"/>
      <c r="G112" s="224"/>
      <c r="H112" s="224"/>
      <c r="I112" s="224"/>
      <c r="J112" s="205"/>
      <c r="K112" s="225" t="str">
        <f>IF(L112=D112,"ok","falso")</f>
        <v>ok</v>
      </c>
      <c r="L112" s="222">
        <f t="shared" si="37"/>
        <v>0</v>
      </c>
      <c r="M112" s="226" t="e">
        <f t="shared" si="38"/>
        <v>#DIV/0!</v>
      </c>
      <c r="N112" s="226" t="e">
        <f t="shared" si="39"/>
        <v>#DIV/0!</v>
      </c>
      <c r="O112" s="226" t="e">
        <f t="shared" si="36"/>
        <v>#DIV/0!</v>
      </c>
      <c r="P112" s="204">
        <f t="shared" si="40"/>
        <v>0</v>
      </c>
      <c r="Q112" s="226" t="e">
        <f t="shared" si="41"/>
        <v>#DIV/0!</v>
      </c>
    </row>
    <row r="113" spans="1:17" ht="5.25" hidden="1" customHeight="1">
      <c r="A113" s="216"/>
      <c r="B113" s="217"/>
      <c r="C113" s="223"/>
      <c r="D113" s="218"/>
      <c r="E113" s="258"/>
      <c r="F113" s="219"/>
      <c r="G113" s="220"/>
      <c r="H113" s="220"/>
      <c r="I113" s="220"/>
      <c r="J113" s="221"/>
      <c r="K113" s="202"/>
      <c r="L113" s="222">
        <f t="shared" si="37"/>
        <v>0</v>
      </c>
      <c r="M113" s="226" t="e">
        <f t="shared" si="38"/>
        <v>#DIV/0!</v>
      </c>
      <c r="N113" s="226" t="e">
        <f t="shared" si="39"/>
        <v>#DIV/0!</v>
      </c>
      <c r="O113" s="226" t="e">
        <f t="shared" si="36"/>
        <v>#DIV/0!</v>
      </c>
      <c r="P113" s="204">
        <f t="shared" si="40"/>
        <v>0</v>
      </c>
      <c r="Q113" s="226" t="e">
        <f t="shared" si="41"/>
        <v>#DIV/0!</v>
      </c>
    </row>
    <row r="114" spans="1:17" ht="12.75" hidden="1" customHeight="1">
      <c r="A114" s="212"/>
      <c r="B114" s="217" t="str">
        <f>[17]VALORIZACION!B69</f>
        <v xml:space="preserve"> ENCOFRADO Y DESENCOFRADO NORMAL DE ESTRIBOS</v>
      </c>
      <c r="C114" s="223"/>
      <c r="D114" s="259">
        <f>+[17]RESUMEN!G71</f>
        <v>0</v>
      </c>
      <c r="E114" s="223"/>
      <c r="F114" s="223"/>
      <c r="G114" s="224"/>
      <c r="H114" s="224"/>
      <c r="I114" s="224"/>
      <c r="J114" s="205"/>
      <c r="K114" s="225" t="str">
        <f>IF(L114=D114,"ok","falso")</f>
        <v>ok</v>
      </c>
      <c r="L114" s="222">
        <f t="shared" si="37"/>
        <v>0</v>
      </c>
      <c r="M114" s="226" t="e">
        <f t="shared" si="38"/>
        <v>#DIV/0!</v>
      </c>
      <c r="N114" s="226" t="e">
        <f t="shared" si="39"/>
        <v>#DIV/0!</v>
      </c>
      <c r="O114" s="226" t="e">
        <f t="shared" si="36"/>
        <v>#DIV/0!</v>
      </c>
      <c r="P114" s="204">
        <f t="shared" si="40"/>
        <v>0</v>
      </c>
      <c r="Q114" s="226" t="e">
        <f t="shared" si="41"/>
        <v>#DIV/0!</v>
      </c>
    </row>
    <row r="115" spans="1:17" ht="5.25" hidden="1" customHeight="1">
      <c r="A115" s="216"/>
      <c r="B115" s="217"/>
      <c r="C115" s="223"/>
      <c r="D115" s="218"/>
      <c r="E115" s="258"/>
      <c r="F115" s="219"/>
      <c r="G115" s="220"/>
      <c r="H115" s="220"/>
      <c r="I115" s="220"/>
      <c r="J115" s="221"/>
      <c r="K115" s="202"/>
      <c r="L115" s="222">
        <f t="shared" si="37"/>
        <v>0</v>
      </c>
      <c r="M115" s="226" t="e">
        <f t="shared" si="38"/>
        <v>#DIV/0!</v>
      </c>
      <c r="N115" s="226" t="e">
        <f t="shared" si="39"/>
        <v>#DIV/0!</v>
      </c>
      <c r="O115" s="226" t="e">
        <f t="shared" si="36"/>
        <v>#DIV/0!</v>
      </c>
      <c r="P115" s="204">
        <f t="shared" si="40"/>
        <v>0</v>
      </c>
      <c r="Q115" s="226" t="e">
        <f t="shared" si="41"/>
        <v>#DIV/0!</v>
      </c>
    </row>
    <row r="116" spans="1:17" ht="12.75" hidden="1" customHeight="1">
      <c r="A116" s="212"/>
      <c r="B116" s="217" t="str">
        <f>[17]VALORIZACION!B70</f>
        <v xml:space="preserve">  ENCOFRADO Y DESENCOFRADO CARAVISTA EN ESTRIBOS</v>
      </c>
      <c r="C116" s="223"/>
      <c r="D116" s="259">
        <f>+[17]RESUMEN!G73</f>
        <v>0</v>
      </c>
      <c r="E116" s="223"/>
      <c r="F116" s="223"/>
      <c r="G116" s="224"/>
      <c r="H116" s="224"/>
      <c r="I116" s="224"/>
      <c r="J116" s="205"/>
      <c r="K116" s="225" t="str">
        <f>IF(L116=D116,"ok","falso")</f>
        <v>ok</v>
      </c>
      <c r="L116" s="222">
        <f t="shared" si="37"/>
        <v>0</v>
      </c>
      <c r="M116" s="226" t="e">
        <f t="shared" si="38"/>
        <v>#DIV/0!</v>
      </c>
      <c r="N116" s="226" t="e">
        <f t="shared" si="39"/>
        <v>#DIV/0!</v>
      </c>
      <c r="O116" s="226" t="e">
        <f t="shared" si="36"/>
        <v>#DIV/0!</v>
      </c>
      <c r="P116" s="204">
        <f t="shared" si="40"/>
        <v>0</v>
      </c>
      <c r="Q116" s="226" t="e">
        <f t="shared" si="41"/>
        <v>#DIV/0!</v>
      </c>
    </row>
    <row r="117" spans="1:17" ht="5.25" hidden="1" customHeight="1">
      <c r="A117" s="216"/>
      <c r="B117" s="217"/>
      <c r="C117" s="223"/>
      <c r="D117" s="218"/>
      <c r="E117" s="258"/>
      <c r="F117" s="219"/>
      <c r="G117" s="220"/>
      <c r="H117" s="220"/>
      <c r="I117" s="220"/>
      <c r="J117" s="221"/>
      <c r="K117" s="202"/>
      <c r="L117" s="222">
        <f t="shared" si="37"/>
        <v>0</v>
      </c>
      <c r="M117" s="226" t="e">
        <f t="shared" si="38"/>
        <v>#DIV/0!</v>
      </c>
      <c r="N117" s="226" t="e">
        <f t="shared" si="39"/>
        <v>#DIV/0!</v>
      </c>
      <c r="O117" s="226" t="e">
        <f t="shared" si="36"/>
        <v>#DIV/0!</v>
      </c>
      <c r="P117" s="204">
        <f t="shared" si="40"/>
        <v>0</v>
      </c>
      <c r="Q117" s="226" t="e">
        <f t="shared" si="41"/>
        <v>#DIV/0!</v>
      </c>
    </row>
    <row r="118" spans="1:17" ht="12.75" hidden="1" customHeight="1">
      <c r="A118" s="212"/>
      <c r="B118" s="217" t="str">
        <f>[17]VALORIZACION!B71</f>
        <v>ENCOFRADO Y DESENCOFRADO DE SUPER ESTRUCTURA.</v>
      </c>
      <c r="C118" s="223"/>
      <c r="D118" s="259">
        <f>+[17]RESUMEN!G75</f>
        <v>0</v>
      </c>
      <c r="E118" s="223"/>
      <c r="F118" s="223"/>
      <c r="G118" s="224"/>
      <c r="H118" s="224"/>
      <c r="I118" s="224"/>
      <c r="J118" s="205"/>
      <c r="K118" s="225" t="str">
        <f>IF(L118=D118,"ok","falso")</f>
        <v>ok</v>
      </c>
      <c r="L118" s="222">
        <f t="shared" si="37"/>
        <v>0</v>
      </c>
      <c r="M118" s="226" t="e">
        <f t="shared" si="38"/>
        <v>#DIV/0!</v>
      </c>
      <c r="N118" s="226" t="e">
        <f t="shared" si="39"/>
        <v>#DIV/0!</v>
      </c>
      <c r="O118" s="226" t="e">
        <f t="shared" si="36"/>
        <v>#DIV/0!</v>
      </c>
      <c r="P118" s="204">
        <f t="shared" si="40"/>
        <v>0</v>
      </c>
      <c r="Q118" s="226" t="e">
        <f t="shared" si="41"/>
        <v>#DIV/0!</v>
      </c>
    </row>
    <row r="119" spans="1:17" ht="5.25" hidden="1" customHeight="1">
      <c r="A119" s="216"/>
      <c r="B119" s="217"/>
      <c r="C119" s="223"/>
      <c r="D119" s="218"/>
      <c r="E119" s="258"/>
      <c r="F119" s="219"/>
      <c r="G119" s="220"/>
      <c r="H119" s="220"/>
      <c r="I119" s="220"/>
      <c r="J119" s="221"/>
      <c r="K119" s="202"/>
      <c r="L119" s="222">
        <f t="shared" si="37"/>
        <v>0</v>
      </c>
      <c r="M119" s="226" t="e">
        <f t="shared" si="38"/>
        <v>#DIV/0!</v>
      </c>
      <c r="N119" s="226" t="e">
        <f t="shared" si="39"/>
        <v>#DIV/0!</v>
      </c>
      <c r="O119" s="226" t="e">
        <f t="shared" si="36"/>
        <v>#DIV/0!</v>
      </c>
      <c r="P119" s="204">
        <f t="shared" si="40"/>
        <v>0</v>
      </c>
      <c r="Q119" s="226" t="e">
        <f t="shared" si="41"/>
        <v>#DIV/0!</v>
      </c>
    </row>
    <row r="120" spans="1:17" ht="12.75" hidden="1" customHeight="1">
      <c r="A120" s="212"/>
      <c r="B120" s="217" t="str">
        <f>[17]VALORIZACION!B72</f>
        <v xml:space="preserve"> ENCOFRADO Y DESENCOFRADO CARAVISTA DE TABLERO</v>
      </c>
      <c r="C120" s="223"/>
      <c r="D120" s="259">
        <f>+[17]RESUMEN!G77</f>
        <v>0</v>
      </c>
      <c r="E120" s="223"/>
      <c r="F120" s="223"/>
      <c r="G120" s="224"/>
      <c r="H120" s="224"/>
      <c r="I120" s="224"/>
      <c r="J120" s="205"/>
      <c r="K120" s="225" t="str">
        <f>IF(L120=D120,"ok","falso")</f>
        <v>ok</v>
      </c>
      <c r="L120" s="222">
        <f t="shared" si="37"/>
        <v>0</v>
      </c>
      <c r="M120" s="226" t="e">
        <f t="shared" si="38"/>
        <v>#DIV/0!</v>
      </c>
      <c r="N120" s="226" t="e">
        <f t="shared" si="39"/>
        <v>#DIV/0!</v>
      </c>
      <c r="O120" s="226" t="e">
        <f t="shared" si="36"/>
        <v>#DIV/0!</v>
      </c>
      <c r="P120" s="204">
        <f t="shared" si="40"/>
        <v>0</v>
      </c>
      <c r="Q120" s="226" t="e">
        <f t="shared" si="41"/>
        <v>#DIV/0!</v>
      </c>
    </row>
    <row r="121" spans="1:17" ht="5.25" hidden="1" customHeight="1">
      <c r="A121" s="216"/>
      <c r="B121" s="217"/>
      <c r="C121" s="223"/>
      <c r="D121" s="218"/>
      <c r="E121" s="258"/>
      <c r="F121" s="219"/>
      <c r="G121" s="220"/>
      <c r="H121" s="220"/>
      <c r="I121" s="220"/>
      <c r="J121" s="221"/>
      <c r="K121" s="202"/>
      <c r="L121" s="222"/>
      <c r="M121" s="226"/>
      <c r="N121" s="226"/>
      <c r="O121" s="226"/>
      <c r="Q121" s="226"/>
    </row>
    <row r="122" spans="1:17" ht="12.75" hidden="1" customHeight="1">
      <c r="A122" s="215"/>
      <c r="B122" s="229" t="str">
        <f>[17]VALORIZACION!B73</f>
        <v xml:space="preserve">                OBRAS DE CONCRETO SIMPLE.</v>
      </c>
      <c r="C122" s="223"/>
      <c r="D122" s="259"/>
      <c r="E122" s="223"/>
      <c r="F122" s="223"/>
      <c r="G122" s="224"/>
      <c r="H122" s="224"/>
      <c r="I122" s="224"/>
      <c r="J122" s="205"/>
      <c r="K122" s="225"/>
      <c r="L122" s="222"/>
      <c r="M122" s="226"/>
      <c r="N122" s="226"/>
      <c r="O122" s="226"/>
      <c r="Q122" s="226"/>
    </row>
    <row r="123" spans="1:17" ht="5.25" hidden="1" customHeight="1">
      <c r="A123" s="216"/>
      <c r="B123" s="217"/>
      <c r="C123" s="223"/>
      <c r="D123" s="218"/>
      <c r="E123" s="258"/>
      <c r="F123" s="219"/>
      <c r="G123" s="220"/>
      <c r="H123" s="220"/>
      <c r="I123" s="220"/>
      <c r="J123" s="221"/>
      <c r="K123" s="202"/>
      <c r="L123" s="222">
        <f t="shared" ref="L123:L130" si="42">SUM(E123:G123)</f>
        <v>0</v>
      </c>
      <c r="M123" s="226" t="e">
        <f t="shared" ref="M123:M130" si="43">E123/D123</f>
        <v>#DIV/0!</v>
      </c>
      <c r="N123" s="226" t="e">
        <f t="shared" ref="N123:N130" si="44">F123/D123</f>
        <v>#DIV/0!</v>
      </c>
      <c r="O123" s="226" t="e">
        <f t="shared" si="36"/>
        <v>#DIV/0!</v>
      </c>
      <c r="P123" s="204">
        <f t="shared" ref="P123:P130" si="45">E123+F123+G123</f>
        <v>0</v>
      </c>
      <c r="Q123" s="226" t="e">
        <f t="shared" ref="Q123:Q130" si="46">P123/D123</f>
        <v>#DIV/0!</v>
      </c>
    </row>
    <row r="124" spans="1:17" ht="12.75" hidden="1" customHeight="1">
      <c r="A124" s="212"/>
      <c r="B124" s="217" t="str">
        <f>[17]VALORIZACION!B74</f>
        <v>CONCRETO CICLOPEO f'c=140 kg/cm2 + 30% PM</v>
      </c>
      <c r="C124" s="223"/>
      <c r="D124" s="259">
        <f>+[17]RESUMEN!G79</f>
        <v>0</v>
      </c>
      <c r="E124" s="223"/>
      <c r="F124" s="223"/>
      <c r="G124" s="224"/>
      <c r="H124" s="224"/>
      <c r="I124" s="224"/>
      <c r="J124" s="205"/>
      <c r="K124" s="225" t="str">
        <f>IF(L124=D124,"ok","falso")</f>
        <v>ok</v>
      </c>
      <c r="L124" s="222">
        <f t="shared" si="42"/>
        <v>0</v>
      </c>
      <c r="M124" s="226" t="e">
        <f t="shared" si="43"/>
        <v>#DIV/0!</v>
      </c>
      <c r="N124" s="226" t="e">
        <f t="shared" si="44"/>
        <v>#DIV/0!</v>
      </c>
      <c r="O124" s="226" t="e">
        <f t="shared" si="36"/>
        <v>#DIV/0!</v>
      </c>
      <c r="P124" s="204">
        <f t="shared" si="45"/>
        <v>0</v>
      </c>
      <c r="Q124" s="226" t="e">
        <f t="shared" si="46"/>
        <v>#DIV/0!</v>
      </c>
    </row>
    <row r="125" spans="1:17" ht="5.25" hidden="1" customHeight="1">
      <c r="A125" s="216"/>
      <c r="B125" s="217"/>
      <c r="C125" s="223"/>
      <c r="D125" s="218"/>
      <c r="E125" s="258"/>
      <c r="F125" s="219"/>
      <c r="G125" s="220"/>
      <c r="H125" s="220"/>
      <c r="I125" s="220"/>
      <c r="J125" s="221"/>
      <c r="K125" s="202"/>
      <c r="L125" s="222">
        <f t="shared" si="42"/>
        <v>0</v>
      </c>
      <c r="M125" s="226" t="e">
        <f t="shared" si="43"/>
        <v>#DIV/0!</v>
      </c>
      <c r="N125" s="226" t="e">
        <f t="shared" si="44"/>
        <v>#DIV/0!</v>
      </c>
      <c r="O125" s="226" t="e">
        <f t="shared" si="36"/>
        <v>#DIV/0!</v>
      </c>
      <c r="P125" s="204">
        <f t="shared" si="45"/>
        <v>0</v>
      </c>
      <c r="Q125" s="226" t="e">
        <f t="shared" si="46"/>
        <v>#DIV/0!</v>
      </c>
    </row>
    <row r="126" spans="1:17" ht="12.75" hidden="1" customHeight="1">
      <c r="A126" s="212"/>
      <c r="B126" s="217" t="str">
        <f>[17]VALORIZACION!B75</f>
        <v xml:space="preserve"> CONCRETO CICLOPEO f'c=175 kg/cm2 + 30% PG</v>
      </c>
      <c r="C126" s="223"/>
      <c r="D126" s="259">
        <f>+[17]RESUMEN!G81</f>
        <v>0</v>
      </c>
      <c r="E126" s="223"/>
      <c r="F126" s="223"/>
      <c r="G126" s="224"/>
      <c r="H126" s="224"/>
      <c r="I126" s="224"/>
      <c r="J126" s="205"/>
      <c r="K126" s="225" t="str">
        <f>IF(L126=D126,"ok","falso")</f>
        <v>ok</v>
      </c>
      <c r="L126" s="222">
        <f t="shared" si="42"/>
        <v>0</v>
      </c>
      <c r="M126" s="226" t="e">
        <f t="shared" si="43"/>
        <v>#DIV/0!</v>
      </c>
      <c r="N126" s="226" t="e">
        <f t="shared" si="44"/>
        <v>#DIV/0!</v>
      </c>
      <c r="O126" s="226" t="e">
        <f t="shared" si="36"/>
        <v>#DIV/0!</v>
      </c>
      <c r="P126" s="204">
        <f t="shared" si="45"/>
        <v>0</v>
      </c>
      <c r="Q126" s="226" t="e">
        <f t="shared" si="46"/>
        <v>#DIV/0!</v>
      </c>
    </row>
    <row r="127" spans="1:17" ht="5.25" hidden="1" customHeight="1">
      <c r="A127" s="216"/>
      <c r="B127" s="217"/>
      <c r="C127" s="223"/>
      <c r="D127" s="218"/>
      <c r="E127" s="258"/>
      <c r="F127" s="219"/>
      <c r="G127" s="220"/>
      <c r="H127" s="220"/>
      <c r="I127" s="220"/>
      <c r="J127" s="221"/>
      <c r="K127" s="202"/>
      <c r="L127" s="222">
        <f t="shared" si="42"/>
        <v>0</v>
      </c>
      <c r="M127" s="226" t="e">
        <f t="shared" si="43"/>
        <v>#DIV/0!</v>
      </c>
      <c r="N127" s="226" t="e">
        <f t="shared" si="44"/>
        <v>#DIV/0!</v>
      </c>
      <c r="O127" s="226" t="e">
        <f t="shared" si="36"/>
        <v>#DIV/0!</v>
      </c>
      <c r="P127" s="204">
        <f t="shared" si="45"/>
        <v>0</v>
      </c>
      <c r="Q127" s="226" t="e">
        <f t="shared" si="46"/>
        <v>#DIV/0!</v>
      </c>
    </row>
    <row r="128" spans="1:17" ht="12.75" hidden="1" customHeight="1">
      <c r="A128" s="212"/>
      <c r="B128" s="217" t="str">
        <f>[17]VALORIZACION!B76</f>
        <v xml:space="preserve">                    CONCRETO f'c=210 kg/cm2</v>
      </c>
      <c r="C128" s="223"/>
      <c r="D128" s="259">
        <f>+[17]RESUMEN!G83</f>
        <v>0</v>
      </c>
      <c r="E128" s="223"/>
      <c r="F128" s="223"/>
      <c r="G128" s="224"/>
      <c r="H128" s="224"/>
      <c r="I128" s="224"/>
      <c r="J128" s="205"/>
      <c r="K128" s="225" t="str">
        <f>IF(L128=D128,"ok","falso")</f>
        <v>ok</v>
      </c>
      <c r="L128" s="222">
        <f t="shared" si="42"/>
        <v>0</v>
      </c>
      <c r="M128" s="226" t="e">
        <f t="shared" si="43"/>
        <v>#DIV/0!</v>
      </c>
      <c r="N128" s="226" t="e">
        <f t="shared" si="44"/>
        <v>#DIV/0!</v>
      </c>
      <c r="O128" s="226" t="e">
        <f t="shared" si="36"/>
        <v>#DIV/0!</v>
      </c>
      <c r="P128" s="204">
        <f t="shared" si="45"/>
        <v>0</v>
      </c>
      <c r="Q128" s="226" t="e">
        <f t="shared" si="46"/>
        <v>#DIV/0!</v>
      </c>
    </row>
    <row r="129" spans="1:17" ht="5.25" hidden="1" customHeight="1">
      <c r="A129" s="216"/>
      <c r="B129" s="217"/>
      <c r="C129" s="223"/>
      <c r="D129" s="218"/>
      <c r="E129" s="258"/>
      <c r="F129" s="219"/>
      <c r="G129" s="220"/>
      <c r="H129" s="220"/>
      <c r="I129" s="220"/>
      <c r="J129" s="221"/>
      <c r="K129" s="202"/>
      <c r="L129" s="222">
        <f t="shared" si="42"/>
        <v>0</v>
      </c>
      <c r="M129" s="226" t="e">
        <f t="shared" si="43"/>
        <v>#DIV/0!</v>
      </c>
      <c r="N129" s="226" t="e">
        <f t="shared" si="44"/>
        <v>#DIV/0!</v>
      </c>
      <c r="O129" s="226" t="e">
        <f t="shared" si="36"/>
        <v>#DIV/0!</v>
      </c>
      <c r="P129" s="204">
        <f t="shared" si="45"/>
        <v>0</v>
      </c>
      <c r="Q129" s="226" t="e">
        <f t="shared" si="46"/>
        <v>#DIV/0!</v>
      </c>
    </row>
    <row r="130" spans="1:17" ht="12.75" hidden="1" customHeight="1">
      <c r="A130" s="212"/>
      <c r="B130" s="217" t="str">
        <f>[17]VALORIZACION!B77</f>
        <v xml:space="preserve">                    CONCRETO f'c=280 kg/cm2</v>
      </c>
      <c r="C130" s="223"/>
      <c r="D130" s="259">
        <f>+[17]RESUMEN!G85</f>
        <v>0</v>
      </c>
      <c r="E130" s="223"/>
      <c r="F130" s="223"/>
      <c r="G130" s="224"/>
      <c r="H130" s="224"/>
      <c r="I130" s="224"/>
      <c r="J130" s="205"/>
      <c r="K130" s="225" t="str">
        <f>IF(L130=D130,"ok","falso")</f>
        <v>ok</v>
      </c>
      <c r="L130" s="222">
        <f t="shared" si="42"/>
        <v>0</v>
      </c>
      <c r="M130" s="226" t="e">
        <f t="shared" si="43"/>
        <v>#DIV/0!</v>
      </c>
      <c r="N130" s="226" t="e">
        <f t="shared" si="44"/>
        <v>#DIV/0!</v>
      </c>
      <c r="O130" s="226" t="e">
        <f t="shared" si="36"/>
        <v>#DIV/0!</v>
      </c>
      <c r="P130" s="204">
        <f t="shared" si="45"/>
        <v>0</v>
      </c>
      <c r="Q130" s="226" t="e">
        <f t="shared" si="46"/>
        <v>#DIV/0!</v>
      </c>
    </row>
    <row r="131" spans="1:17" ht="5.25" hidden="1" customHeight="1">
      <c r="A131" s="216"/>
      <c r="B131" s="217"/>
      <c r="C131" s="223"/>
      <c r="D131" s="218"/>
      <c r="E131" s="258"/>
      <c r="F131" s="219"/>
      <c r="G131" s="220"/>
      <c r="H131" s="220"/>
      <c r="I131" s="220"/>
      <c r="J131" s="221"/>
      <c r="K131" s="202"/>
      <c r="L131" s="222"/>
      <c r="M131" s="226"/>
      <c r="N131" s="226"/>
      <c r="O131" s="226"/>
      <c r="Q131" s="226"/>
    </row>
    <row r="132" spans="1:17" ht="12.75" hidden="1" customHeight="1">
      <c r="A132" s="215"/>
      <c r="B132" s="229" t="str">
        <f>[17]VALORIZACION!B78</f>
        <v xml:space="preserve">                OBRAS DE CONCRETO ARMADO.</v>
      </c>
      <c r="C132" s="223"/>
      <c r="D132" s="259"/>
      <c r="E132" s="223"/>
      <c r="F132" s="223"/>
      <c r="G132" s="224"/>
      <c r="H132" s="224"/>
      <c r="I132" s="224"/>
      <c r="J132" s="205"/>
      <c r="K132" s="225"/>
      <c r="L132" s="222"/>
      <c r="M132" s="226"/>
      <c r="N132" s="226"/>
      <c r="O132" s="226"/>
      <c r="Q132" s="226"/>
    </row>
    <row r="133" spans="1:17" ht="12.75" hidden="1" customHeight="1">
      <c r="A133" s="215"/>
      <c r="B133" s="232" t="str">
        <f>[17]VALORIZACION!B79</f>
        <v xml:space="preserve">                    CONCRETO.</v>
      </c>
      <c r="C133" s="223"/>
      <c r="D133" s="259"/>
      <c r="E133" s="223"/>
      <c r="F133" s="223"/>
      <c r="G133" s="224"/>
      <c r="H133" s="224"/>
      <c r="I133" s="224"/>
      <c r="J133" s="205"/>
      <c r="K133" s="225"/>
      <c r="L133" s="222"/>
      <c r="M133" s="226"/>
      <c r="N133" s="226"/>
      <c r="O133" s="226"/>
      <c r="Q133" s="226"/>
    </row>
    <row r="134" spans="1:17" ht="5.25" hidden="1" customHeight="1">
      <c r="A134" s="216"/>
      <c r="B134" s="217"/>
      <c r="C134" s="223"/>
      <c r="D134" s="218"/>
      <c r="E134" s="258"/>
      <c r="F134" s="219"/>
      <c r="G134" s="220"/>
      <c r="H134" s="220"/>
      <c r="I134" s="220"/>
      <c r="J134" s="221"/>
      <c r="K134" s="202"/>
      <c r="L134" s="222">
        <f t="shared" ref="L134:L139" si="47">SUM(E134:G134)</f>
        <v>0</v>
      </c>
      <c r="M134" s="226" t="e">
        <f t="shared" ref="M134:M139" si="48">E134/D134</f>
        <v>#DIV/0!</v>
      </c>
      <c r="N134" s="226" t="e">
        <f t="shared" ref="N134:N139" si="49">F134/D134</f>
        <v>#DIV/0!</v>
      </c>
      <c r="O134" s="226" t="e">
        <f t="shared" si="36"/>
        <v>#DIV/0!</v>
      </c>
      <c r="P134" s="204">
        <f t="shared" ref="P134:P139" si="50">E134+F134+G134</f>
        <v>0</v>
      </c>
      <c r="Q134" s="226" t="e">
        <f t="shared" ref="Q134:Q139" si="51">P134/D134</f>
        <v>#DIV/0!</v>
      </c>
    </row>
    <row r="135" spans="1:17" ht="12.75" hidden="1" customHeight="1">
      <c r="A135" s="212"/>
      <c r="B135" s="217" t="str">
        <f>[17]VALORIZACION!B80</f>
        <v xml:space="preserve">                        CONCRETO f'c=210 kg/cm2</v>
      </c>
      <c r="C135" s="223"/>
      <c r="D135" s="259">
        <f>+[17]RESUMEN!G87</f>
        <v>0</v>
      </c>
      <c r="E135" s="223"/>
      <c r="F135" s="223"/>
      <c r="G135" s="224"/>
      <c r="H135" s="224"/>
      <c r="I135" s="224"/>
      <c r="J135" s="205"/>
      <c r="K135" s="225" t="str">
        <f>IF(L135=D135,"ok","falso")</f>
        <v>ok</v>
      </c>
      <c r="L135" s="222">
        <f t="shared" si="47"/>
        <v>0</v>
      </c>
      <c r="M135" s="226" t="e">
        <f t="shared" si="48"/>
        <v>#DIV/0!</v>
      </c>
      <c r="N135" s="226" t="e">
        <f t="shared" si="49"/>
        <v>#DIV/0!</v>
      </c>
      <c r="O135" s="226" t="e">
        <f t="shared" si="36"/>
        <v>#DIV/0!</v>
      </c>
      <c r="P135" s="204">
        <f t="shared" si="50"/>
        <v>0</v>
      </c>
      <c r="Q135" s="226" t="e">
        <f t="shared" si="51"/>
        <v>#DIV/0!</v>
      </c>
    </row>
    <row r="136" spans="1:17" ht="5.25" hidden="1" customHeight="1">
      <c r="A136" s="216"/>
      <c r="B136" s="217"/>
      <c r="C136" s="223"/>
      <c r="D136" s="218"/>
      <c r="E136" s="258"/>
      <c r="F136" s="219"/>
      <c r="G136" s="220"/>
      <c r="H136" s="220"/>
      <c r="I136" s="220"/>
      <c r="J136" s="221"/>
      <c r="K136" s="202"/>
      <c r="L136" s="222">
        <f t="shared" si="47"/>
        <v>0</v>
      </c>
      <c r="M136" s="226" t="e">
        <f t="shared" si="48"/>
        <v>#DIV/0!</v>
      </c>
      <c r="N136" s="226" t="e">
        <f t="shared" si="49"/>
        <v>#DIV/0!</v>
      </c>
      <c r="O136" s="226" t="e">
        <f t="shared" si="36"/>
        <v>#DIV/0!</v>
      </c>
      <c r="P136" s="204">
        <f t="shared" si="50"/>
        <v>0</v>
      </c>
      <c r="Q136" s="226" t="e">
        <f t="shared" si="51"/>
        <v>#DIV/0!</v>
      </c>
    </row>
    <row r="137" spans="1:17" ht="12.75" hidden="1" customHeight="1">
      <c r="A137" s="212"/>
      <c r="B137" s="217" t="str">
        <f>[17]VALORIZACION!B81</f>
        <v xml:space="preserve">                        CONCRETO f'c=280 kg/cm2</v>
      </c>
      <c r="C137" s="223"/>
      <c r="D137" s="259">
        <f>+[17]RESUMEN!G89</f>
        <v>0</v>
      </c>
      <c r="E137" s="223"/>
      <c r="F137" s="223"/>
      <c r="G137" s="224"/>
      <c r="H137" s="224"/>
      <c r="I137" s="224"/>
      <c r="J137" s="205"/>
      <c r="K137" s="225" t="str">
        <f>IF(L137=D137,"ok","falso")</f>
        <v>ok</v>
      </c>
      <c r="L137" s="222">
        <f t="shared" si="47"/>
        <v>0</v>
      </c>
      <c r="M137" s="226" t="e">
        <f t="shared" si="48"/>
        <v>#DIV/0!</v>
      </c>
      <c r="N137" s="226" t="e">
        <f t="shared" si="49"/>
        <v>#DIV/0!</v>
      </c>
      <c r="O137" s="226" t="e">
        <f t="shared" si="36"/>
        <v>#DIV/0!</v>
      </c>
      <c r="P137" s="204">
        <f t="shared" si="50"/>
        <v>0</v>
      </c>
      <c r="Q137" s="226" t="e">
        <f t="shared" si="51"/>
        <v>#DIV/0!</v>
      </c>
    </row>
    <row r="138" spans="1:17" ht="5.25" hidden="1" customHeight="1">
      <c r="A138" s="216"/>
      <c r="B138" s="217"/>
      <c r="C138" s="223"/>
      <c r="D138" s="218"/>
      <c r="E138" s="258"/>
      <c r="F138" s="219"/>
      <c r="G138" s="220"/>
      <c r="H138" s="220"/>
      <c r="I138" s="220"/>
      <c r="J138" s="221"/>
      <c r="K138" s="202"/>
      <c r="L138" s="222">
        <f t="shared" si="47"/>
        <v>0</v>
      </c>
      <c r="M138" s="226" t="e">
        <f t="shared" si="48"/>
        <v>#DIV/0!</v>
      </c>
      <c r="N138" s="226" t="e">
        <f t="shared" si="49"/>
        <v>#DIV/0!</v>
      </c>
      <c r="O138" s="226" t="e">
        <f t="shared" si="36"/>
        <v>#DIV/0!</v>
      </c>
      <c r="P138" s="204">
        <f t="shared" si="50"/>
        <v>0</v>
      </c>
      <c r="Q138" s="226" t="e">
        <f t="shared" si="51"/>
        <v>#DIV/0!</v>
      </c>
    </row>
    <row r="139" spans="1:17" ht="12.75" hidden="1" customHeight="1">
      <c r="A139" s="212"/>
      <c r="B139" s="217" t="str">
        <f>[17]VALORIZACION!B82</f>
        <v xml:space="preserve">                        CURADO DE CONCRETO</v>
      </c>
      <c r="C139" s="223"/>
      <c r="D139" s="259">
        <f>+[17]RESUMEN!G91</f>
        <v>0</v>
      </c>
      <c r="E139" s="223"/>
      <c r="F139" s="223"/>
      <c r="G139" s="224"/>
      <c r="H139" s="224"/>
      <c r="I139" s="224"/>
      <c r="J139" s="205"/>
      <c r="K139" s="225" t="str">
        <f>IF(L139=D139,"ok","falso")</f>
        <v>ok</v>
      </c>
      <c r="L139" s="222">
        <f t="shared" si="47"/>
        <v>0</v>
      </c>
      <c r="M139" s="226" t="e">
        <f t="shared" si="48"/>
        <v>#DIV/0!</v>
      </c>
      <c r="N139" s="226" t="e">
        <f t="shared" si="49"/>
        <v>#DIV/0!</v>
      </c>
      <c r="O139" s="226" t="e">
        <f t="shared" si="36"/>
        <v>#DIV/0!</v>
      </c>
      <c r="P139" s="204">
        <f t="shared" si="50"/>
        <v>0</v>
      </c>
      <c r="Q139" s="226" t="e">
        <f t="shared" si="51"/>
        <v>#DIV/0!</v>
      </c>
    </row>
    <row r="140" spans="1:17" ht="12.75" hidden="1" customHeight="1">
      <c r="A140" s="215"/>
      <c r="B140" s="232" t="str">
        <f>[17]VALORIZACION!B83</f>
        <v xml:space="preserve">                    ACERO.</v>
      </c>
      <c r="C140" s="223"/>
      <c r="D140" s="259"/>
      <c r="E140" s="223"/>
      <c r="F140" s="223"/>
      <c r="G140" s="224"/>
      <c r="H140" s="224"/>
      <c r="I140" s="224"/>
      <c r="J140" s="205"/>
      <c r="K140" s="225"/>
      <c r="L140" s="222"/>
      <c r="M140" s="226"/>
      <c r="N140" s="226"/>
      <c r="O140" s="226"/>
      <c r="Q140" s="226"/>
    </row>
    <row r="141" spans="1:17" ht="5.25" hidden="1" customHeight="1">
      <c r="A141" s="216"/>
      <c r="B141" s="217"/>
      <c r="C141" s="223"/>
      <c r="D141" s="218"/>
      <c r="E141" s="258"/>
      <c r="F141" s="219"/>
      <c r="G141" s="220"/>
      <c r="H141" s="220"/>
      <c r="I141" s="220"/>
      <c r="J141" s="221"/>
      <c r="K141" s="202"/>
      <c r="L141" s="222">
        <f t="shared" ref="L141:L146" si="52">SUM(E141:G141)</f>
        <v>0</v>
      </c>
      <c r="M141" s="226" t="e">
        <f t="shared" ref="M141:M146" si="53">E141/D141</f>
        <v>#DIV/0!</v>
      </c>
      <c r="N141" s="226" t="e">
        <f t="shared" ref="N141:N146" si="54">F141/D141</f>
        <v>#DIV/0!</v>
      </c>
      <c r="O141" s="226" t="e">
        <f t="shared" ref="O141:O200" si="55">M141+N141</f>
        <v>#DIV/0!</v>
      </c>
      <c r="P141" s="204">
        <f t="shared" ref="P141:P146" si="56">E141+F141+G141</f>
        <v>0</v>
      </c>
      <c r="Q141" s="226" t="e">
        <f t="shared" ref="Q141:Q146" si="57">P141/D141</f>
        <v>#DIV/0!</v>
      </c>
    </row>
    <row r="142" spans="1:17" ht="12.75" hidden="1" customHeight="1">
      <c r="A142" s="212"/>
      <c r="B142" s="217" t="str">
        <f>[17]VALORIZACION!B84</f>
        <v xml:space="preserve"> ACERO DE REFUERZO GRADO 60 EN CIMENTACIÓN</v>
      </c>
      <c r="C142" s="223"/>
      <c r="D142" s="259">
        <f>+[17]RESUMEN!G94</f>
        <v>0</v>
      </c>
      <c r="E142" s="223"/>
      <c r="F142" s="223"/>
      <c r="G142" s="224"/>
      <c r="H142" s="224"/>
      <c r="I142" s="224"/>
      <c r="J142" s="205"/>
      <c r="K142" s="225" t="str">
        <f>IF(L142=D142,"ok","falso")</f>
        <v>ok</v>
      </c>
      <c r="L142" s="222">
        <f t="shared" si="52"/>
        <v>0</v>
      </c>
      <c r="M142" s="226" t="e">
        <f t="shared" si="53"/>
        <v>#DIV/0!</v>
      </c>
      <c r="N142" s="226" t="e">
        <f t="shared" si="54"/>
        <v>#DIV/0!</v>
      </c>
      <c r="O142" s="226" t="e">
        <f t="shared" si="55"/>
        <v>#DIV/0!</v>
      </c>
      <c r="P142" s="204">
        <f t="shared" si="56"/>
        <v>0</v>
      </c>
      <c r="Q142" s="226" t="e">
        <f t="shared" si="57"/>
        <v>#DIV/0!</v>
      </c>
    </row>
    <row r="143" spans="1:17" ht="5.25" hidden="1" customHeight="1">
      <c r="A143" s="216"/>
      <c r="B143" s="217"/>
      <c r="C143" s="223"/>
      <c r="D143" s="218"/>
      <c r="E143" s="258"/>
      <c r="F143" s="219"/>
      <c r="G143" s="220"/>
      <c r="H143" s="220"/>
      <c r="I143" s="220"/>
      <c r="J143" s="221"/>
      <c r="K143" s="202"/>
      <c r="L143" s="222">
        <f t="shared" si="52"/>
        <v>0</v>
      </c>
      <c r="M143" s="226" t="e">
        <f t="shared" si="53"/>
        <v>#DIV/0!</v>
      </c>
      <c r="N143" s="226" t="e">
        <f t="shared" si="54"/>
        <v>#DIV/0!</v>
      </c>
      <c r="O143" s="226" t="e">
        <f t="shared" si="55"/>
        <v>#DIV/0!</v>
      </c>
      <c r="P143" s="204">
        <f t="shared" si="56"/>
        <v>0</v>
      </c>
      <c r="Q143" s="226" t="e">
        <f t="shared" si="57"/>
        <v>#DIV/0!</v>
      </c>
    </row>
    <row r="144" spans="1:17" ht="12.75" hidden="1" customHeight="1">
      <c r="A144" s="212"/>
      <c r="B144" s="217" t="str">
        <f>[17]VALORIZACION!B85</f>
        <v xml:space="preserve"> ACERO DE REFUERZO GRADO 60 EN ESTRIBOS</v>
      </c>
      <c r="C144" s="223"/>
      <c r="D144" s="259">
        <f>+[17]RESUMEN!G96</f>
        <v>0</v>
      </c>
      <c r="E144" s="223"/>
      <c r="F144" s="223"/>
      <c r="G144" s="224"/>
      <c r="H144" s="224"/>
      <c r="I144" s="224"/>
      <c r="J144" s="205"/>
      <c r="K144" s="225" t="str">
        <f>IF(L144=D144,"ok","falso")</f>
        <v>ok</v>
      </c>
      <c r="L144" s="222">
        <f t="shared" si="52"/>
        <v>0</v>
      </c>
      <c r="M144" s="226" t="e">
        <f t="shared" si="53"/>
        <v>#DIV/0!</v>
      </c>
      <c r="N144" s="226" t="e">
        <f t="shared" si="54"/>
        <v>#DIV/0!</v>
      </c>
      <c r="O144" s="226" t="e">
        <f t="shared" si="55"/>
        <v>#DIV/0!</v>
      </c>
      <c r="P144" s="204">
        <f t="shared" si="56"/>
        <v>0</v>
      </c>
      <c r="Q144" s="226" t="e">
        <f t="shared" si="57"/>
        <v>#DIV/0!</v>
      </c>
    </row>
    <row r="145" spans="1:17" ht="5.25" hidden="1" customHeight="1">
      <c r="A145" s="216"/>
      <c r="B145" s="217"/>
      <c r="C145" s="223"/>
      <c r="D145" s="218"/>
      <c r="E145" s="258"/>
      <c r="F145" s="219"/>
      <c r="G145" s="220"/>
      <c r="H145" s="220"/>
      <c r="I145" s="220"/>
      <c r="J145" s="221"/>
      <c r="K145" s="202"/>
      <c r="L145" s="222">
        <f t="shared" si="52"/>
        <v>0</v>
      </c>
      <c r="M145" s="226" t="e">
        <f t="shared" si="53"/>
        <v>#DIV/0!</v>
      </c>
      <c r="N145" s="226" t="e">
        <f t="shared" si="54"/>
        <v>#DIV/0!</v>
      </c>
      <c r="O145" s="226" t="e">
        <f t="shared" si="55"/>
        <v>#DIV/0!</v>
      </c>
      <c r="P145" s="204">
        <f t="shared" si="56"/>
        <v>0</v>
      </c>
      <c r="Q145" s="226" t="e">
        <f t="shared" si="57"/>
        <v>#DIV/0!</v>
      </c>
    </row>
    <row r="146" spans="1:17" ht="12.75" hidden="1" customHeight="1">
      <c r="A146" s="212"/>
      <c r="B146" s="217" t="str">
        <f>[17]VALORIZACION!B86</f>
        <v>ACERO DE REFUERZO GRADO 60 EN LOSA DE TABLERO</v>
      </c>
      <c r="C146" s="223"/>
      <c r="D146" s="259">
        <f>+[17]RESUMEN!G98</f>
        <v>0</v>
      </c>
      <c r="E146" s="223"/>
      <c r="F146" s="223"/>
      <c r="G146" s="224"/>
      <c r="H146" s="224"/>
      <c r="I146" s="224"/>
      <c r="J146" s="205"/>
      <c r="K146" s="225" t="str">
        <f>IF(L146=D146,"ok","falso")</f>
        <v>ok</v>
      </c>
      <c r="L146" s="222">
        <f t="shared" si="52"/>
        <v>0</v>
      </c>
      <c r="M146" s="226" t="e">
        <f t="shared" si="53"/>
        <v>#DIV/0!</v>
      </c>
      <c r="N146" s="226" t="e">
        <f t="shared" si="54"/>
        <v>#DIV/0!</v>
      </c>
      <c r="O146" s="226" t="e">
        <f t="shared" si="55"/>
        <v>#DIV/0!</v>
      </c>
      <c r="P146" s="204">
        <f t="shared" si="56"/>
        <v>0</v>
      </c>
      <c r="Q146" s="226" t="e">
        <f t="shared" si="57"/>
        <v>#DIV/0!</v>
      </c>
    </row>
    <row r="147" spans="1:17" ht="12.75" hidden="1" customHeight="1">
      <c r="A147" s="215"/>
      <c r="B147" s="232" t="str">
        <f>[17]VALORIZACION!B87</f>
        <v xml:space="preserve">                 ESTRUCTURA METÁLICA.</v>
      </c>
      <c r="C147" s="223"/>
      <c r="D147" s="259"/>
      <c r="E147" s="223"/>
      <c r="F147" s="223"/>
      <c r="G147" s="224"/>
      <c r="H147" s="224"/>
      <c r="I147" s="224"/>
      <c r="J147" s="205"/>
      <c r="K147" s="225"/>
      <c r="L147" s="222"/>
      <c r="M147" s="226"/>
      <c r="N147" s="226"/>
      <c r="O147" s="226"/>
      <c r="Q147" s="226"/>
    </row>
    <row r="148" spans="1:17" ht="5.25" hidden="1" customHeight="1">
      <c r="A148" s="216"/>
      <c r="B148" s="217"/>
      <c r="C148" s="223"/>
      <c r="D148" s="218"/>
      <c r="E148" s="258"/>
      <c r="F148" s="219"/>
      <c r="G148" s="220"/>
      <c r="H148" s="220"/>
      <c r="I148" s="220"/>
      <c r="J148" s="221"/>
      <c r="K148" s="202"/>
      <c r="L148" s="222">
        <f t="shared" ref="L148:L155" si="58">SUM(E148:G148)</f>
        <v>0</v>
      </c>
      <c r="M148" s="226" t="e">
        <f t="shared" ref="M148:M155" si="59">E148/D148</f>
        <v>#DIV/0!</v>
      </c>
      <c r="N148" s="226" t="e">
        <f t="shared" ref="N148:N155" si="60">F148/D148</f>
        <v>#DIV/0!</v>
      </c>
      <c r="O148" s="226" t="e">
        <f t="shared" si="55"/>
        <v>#DIV/0!</v>
      </c>
      <c r="P148" s="204">
        <f t="shared" ref="P148:P155" si="61">E148+F148+G148</f>
        <v>0</v>
      </c>
      <c r="Q148" s="226" t="e">
        <f t="shared" ref="Q148:Q155" si="62">P148/D148</f>
        <v>#DIV/0!</v>
      </c>
    </row>
    <row r="149" spans="1:17" ht="12.75" hidden="1" customHeight="1">
      <c r="A149" s="212"/>
      <c r="B149" s="217" t="str">
        <f>[17]VALORIZACION!B88</f>
        <v xml:space="preserve"> FABRICACIÓN DE ESTRUCTURA METÁLICA (ACERO A-709)</v>
      </c>
      <c r="C149" s="223"/>
      <c r="D149" s="259">
        <f>+[17]RESUMEN!G100</f>
        <v>0</v>
      </c>
      <c r="E149" s="223"/>
      <c r="F149" s="223"/>
      <c r="G149" s="224"/>
      <c r="H149" s="224"/>
      <c r="I149" s="224"/>
      <c r="J149" s="205"/>
      <c r="K149" s="225" t="str">
        <f>IF(L149=D149,"ok","falso")</f>
        <v>ok</v>
      </c>
      <c r="L149" s="222">
        <f t="shared" si="58"/>
        <v>0</v>
      </c>
      <c r="M149" s="226" t="e">
        <f t="shared" si="59"/>
        <v>#DIV/0!</v>
      </c>
      <c r="N149" s="226" t="e">
        <f t="shared" si="60"/>
        <v>#DIV/0!</v>
      </c>
      <c r="O149" s="226" t="e">
        <f t="shared" si="55"/>
        <v>#DIV/0!</v>
      </c>
      <c r="P149" s="204">
        <f t="shared" si="61"/>
        <v>0</v>
      </c>
      <c r="Q149" s="226" t="e">
        <f t="shared" si="62"/>
        <v>#DIV/0!</v>
      </c>
    </row>
    <row r="150" spans="1:17" ht="5.25" hidden="1" customHeight="1">
      <c r="A150" s="216"/>
      <c r="B150" s="217"/>
      <c r="C150" s="223"/>
      <c r="D150" s="218"/>
      <c r="E150" s="258"/>
      <c r="F150" s="219"/>
      <c r="G150" s="220"/>
      <c r="H150" s="220"/>
      <c r="I150" s="220"/>
      <c r="J150" s="221"/>
      <c r="K150" s="202"/>
      <c r="L150" s="222">
        <f t="shared" si="58"/>
        <v>0</v>
      </c>
      <c r="M150" s="226" t="e">
        <f t="shared" si="59"/>
        <v>#DIV/0!</v>
      </c>
      <c r="N150" s="226" t="e">
        <f t="shared" si="60"/>
        <v>#DIV/0!</v>
      </c>
      <c r="O150" s="226" t="e">
        <f t="shared" si="55"/>
        <v>#DIV/0!</v>
      </c>
      <c r="P150" s="204">
        <f t="shared" si="61"/>
        <v>0</v>
      </c>
      <c r="Q150" s="226" t="e">
        <f t="shared" si="62"/>
        <v>#DIV/0!</v>
      </c>
    </row>
    <row r="151" spans="1:17" ht="12.75" hidden="1" customHeight="1">
      <c r="A151" s="212"/>
      <c r="B151" s="217" t="str">
        <f>[17]VALORIZACION!B89</f>
        <v>PINTURA DE ESTRUCTURAS METÁLICAS</v>
      </c>
      <c r="C151" s="223"/>
      <c r="D151" s="259">
        <f>+[17]RESUMEN!G102</f>
        <v>0</v>
      </c>
      <c r="E151" s="223"/>
      <c r="F151" s="223"/>
      <c r="G151" s="224"/>
      <c r="H151" s="224"/>
      <c r="I151" s="224"/>
      <c r="J151" s="205"/>
      <c r="K151" s="225" t="str">
        <f>IF(L151=D151,"ok","falso")</f>
        <v>ok</v>
      </c>
      <c r="L151" s="222">
        <f t="shared" si="58"/>
        <v>0</v>
      </c>
      <c r="M151" s="226" t="e">
        <f t="shared" si="59"/>
        <v>#DIV/0!</v>
      </c>
      <c r="N151" s="226" t="e">
        <f t="shared" si="60"/>
        <v>#DIV/0!</v>
      </c>
      <c r="O151" s="226" t="e">
        <f t="shared" si="55"/>
        <v>#DIV/0!</v>
      </c>
      <c r="P151" s="204">
        <f t="shared" si="61"/>
        <v>0</v>
      </c>
      <c r="Q151" s="226" t="e">
        <f t="shared" si="62"/>
        <v>#DIV/0!</v>
      </c>
    </row>
    <row r="152" spans="1:17" ht="5.25" hidden="1" customHeight="1">
      <c r="A152" s="216"/>
      <c r="B152" s="217"/>
      <c r="C152" s="223"/>
      <c r="D152" s="218"/>
      <c r="E152" s="258"/>
      <c r="F152" s="219"/>
      <c r="G152" s="220"/>
      <c r="H152" s="220"/>
      <c r="I152" s="220"/>
      <c r="J152" s="221"/>
      <c r="K152" s="202"/>
      <c r="L152" s="222">
        <f t="shared" si="58"/>
        <v>0</v>
      </c>
      <c r="M152" s="226" t="e">
        <f t="shared" si="59"/>
        <v>#DIV/0!</v>
      </c>
      <c r="N152" s="226" t="e">
        <f t="shared" si="60"/>
        <v>#DIV/0!</v>
      </c>
      <c r="O152" s="226" t="e">
        <f t="shared" si="55"/>
        <v>#DIV/0!</v>
      </c>
      <c r="P152" s="204">
        <f t="shared" si="61"/>
        <v>0</v>
      </c>
      <c r="Q152" s="226" t="e">
        <f t="shared" si="62"/>
        <v>#DIV/0!</v>
      </c>
    </row>
    <row r="153" spans="1:17" ht="12.75" hidden="1" customHeight="1">
      <c r="A153" s="212"/>
      <c r="B153" s="217" t="str">
        <f>[17]VALORIZACION!B90</f>
        <v xml:space="preserve"> TRANSPORTE DE ESTRUCTURA METÁLICA A OBRA</v>
      </c>
      <c r="C153" s="223"/>
      <c r="D153" s="259">
        <f>+[17]RESUMEN!G104</f>
        <v>0</v>
      </c>
      <c r="E153" s="223"/>
      <c r="F153" s="223"/>
      <c r="G153" s="224"/>
      <c r="H153" s="224"/>
      <c r="I153" s="224"/>
      <c r="J153" s="205"/>
      <c r="K153" s="225" t="str">
        <f>IF(L153=D153,"ok","falso")</f>
        <v>ok</v>
      </c>
      <c r="L153" s="222">
        <f t="shared" si="58"/>
        <v>0</v>
      </c>
      <c r="M153" s="226" t="e">
        <f t="shared" si="59"/>
        <v>#DIV/0!</v>
      </c>
      <c r="N153" s="226" t="e">
        <f t="shared" si="60"/>
        <v>#DIV/0!</v>
      </c>
      <c r="O153" s="226" t="e">
        <f t="shared" si="55"/>
        <v>#DIV/0!</v>
      </c>
      <c r="P153" s="204">
        <f t="shared" si="61"/>
        <v>0</v>
      </c>
      <c r="Q153" s="226" t="e">
        <f t="shared" si="62"/>
        <v>#DIV/0!</v>
      </c>
    </row>
    <row r="154" spans="1:17" ht="5.25" hidden="1" customHeight="1">
      <c r="A154" s="216"/>
      <c r="B154" s="217"/>
      <c r="C154" s="223"/>
      <c r="D154" s="218"/>
      <c r="E154" s="258"/>
      <c r="F154" s="219"/>
      <c r="G154" s="220"/>
      <c r="H154" s="220"/>
      <c r="I154" s="220"/>
      <c r="J154" s="221"/>
      <c r="K154" s="202"/>
      <c r="L154" s="222">
        <f t="shared" si="58"/>
        <v>0</v>
      </c>
      <c r="M154" s="226" t="e">
        <f t="shared" si="59"/>
        <v>#DIV/0!</v>
      </c>
      <c r="N154" s="226" t="e">
        <f t="shared" si="60"/>
        <v>#DIV/0!</v>
      </c>
      <c r="O154" s="226" t="e">
        <f t="shared" si="55"/>
        <v>#DIV/0!</v>
      </c>
      <c r="P154" s="204">
        <f t="shared" si="61"/>
        <v>0</v>
      </c>
      <c r="Q154" s="226" t="e">
        <f t="shared" si="62"/>
        <v>#DIV/0!</v>
      </c>
    </row>
    <row r="155" spans="1:17" ht="12.75" hidden="1" customHeight="1">
      <c r="A155" s="212"/>
      <c r="B155" s="217" t="str">
        <f>[17]VALORIZACION!B91</f>
        <v xml:space="preserve"> MONTAJE Y LANZAMIENTO DE ESTRUCTURA METÁLICA</v>
      </c>
      <c r="C155" s="223"/>
      <c r="D155" s="259">
        <f>+[17]RESUMEN!G106</f>
        <v>0</v>
      </c>
      <c r="E155" s="223"/>
      <c r="F155" s="223"/>
      <c r="G155" s="224"/>
      <c r="H155" s="224"/>
      <c r="I155" s="224"/>
      <c r="J155" s="205"/>
      <c r="K155" s="225" t="str">
        <f>IF(L155=D155,"ok","falso")</f>
        <v>ok</v>
      </c>
      <c r="L155" s="222">
        <f t="shared" si="58"/>
        <v>0</v>
      </c>
      <c r="M155" s="226" t="e">
        <f t="shared" si="59"/>
        <v>#DIV/0!</v>
      </c>
      <c r="N155" s="226" t="e">
        <f t="shared" si="60"/>
        <v>#DIV/0!</v>
      </c>
      <c r="O155" s="226" t="e">
        <f t="shared" si="55"/>
        <v>#DIV/0!</v>
      </c>
      <c r="P155" s="204">
        <f t="shared" si="61"/>
        <v>0</v>
      </c>
      <c r="Q155" s="226" t="e">
        <f t="shared" si="62"/>
        <v>#DIV/0!</v>
      </c>
    </row>
    <row r="156" spans="1:17" ht="12.75" hidden="1" customHeight="1">
      <c r="A156" s="215"/>
      <c r="B156" s="229" t="str">
        <f>[17]VALORIZACION!B92</f>
        <v xml:space="preserve">                VARIOS.</v>
      </c>
      <c r="C156" s="223"/>
      <c r="D156" s="259"/>
      <c r="E156" s="223"/>
      <c r="F156" s="223"/>
      <c r="G156" s="224"/>
      <c r="H156" s="224"/>
      <c r="I156" s="224"/>
      <c r="J156" s="205"/>
      <c r="K156" s="225"/>
      <c r="L156" s="222"/>
      <c r="M156" s="226"/>
      <c r="N156" s="226"/>
      <c r="O156" s="226"/>
      <c r="Q156" s="226"/>
    </row>
    <row r="157" spans="1:17" ht="12.75" hidden="1" customHeight="1">
      <c r="A157" s="215"/>
      <c r="B157" s="232" t="str">
        <f>[17]VALORIZACION!B93</f>
        <v xml:space="preserve">                    TUBERÍA PARA DRENAJE.</v>
      </c>
      <c r="C157" s="223"/>
      <c r="D157" s="259"/>
      <c r="E157" s="223"/>
      <c r="F157" s="223"/>
      <c r="G157" s="224"/>
      <c r="H157" s="224"/>
      <c r="I157" s="224"/>
      <c r="J157" s="205"/>
      <c r="K157" s="225"/>
      <c r="L157" s="222"/>
      <c r="M157" s="226"/>
      <c r="N157" s="226"/>
      <c r="O157" s="226"/>
      <c r="Q157" s="226"/>
    </row>
    <row r="158" spans="1:17" ht="5.25" hidden="1" customHeight="1">
      <c r="A158" s="216"/>
      <c r="B158" s="217"/>
      <c r="C158" s="223"/>
      <c r="D158" s="218"/>
      <c r="E158" s="258"/>
      <c r="F158" s="219"/>
      <c r="G158" s="220"/>
      <c r="H158" s="220"/>
      <c r="I158" s="220"/>
      <c r="J158" s="221"/>
      <c r="K158" s="202"/>
      <c r="L158" s="222">
        <f>SUM(E158:G158)</f>
        <v>0</v>
      </c>
      <c r="M158" s="226" t="e">
        <f>E158/D158</f>
        <v>#DIV/0!</v>
      </c>
      <c r="N158" s="226" t="e">
        <f>F158/D158</f>
        <v>#DIV/0!</v>
      </c>
      <c r="O158" s="226" t="e">
        <f t="shared" si="55"/>
        <v>#DIV/0!</v>
      </c>
      <c r="P158" s="204">
        <f>E158+F158+G158</f>
        <v>0</v>
      </c>
      <c r="Q158" s="226" t="e">
        <f>P158/D158</f>
        <v>#DIV/0!</v>
      </c>
    </row>
    <row r="159" spans="1:17" ht="12.75" hidden="1" customHeight="1">
      <c r="A159" s="212"/>
      <c r="B159" s="217" t="str">
        <f>[17]VALORIZACION!B94</f>
        <v xml:space="preserve"> TUBERIA DE PVC 3" PARA DRENAJE</v>
      </c>
      <c r="C159" s="223"/>
      <c r="D159" s="259">
        <f>+[17]RESUMEN!G108</f>
        <v>0</v>
      </c>
      <c r="E159" s="223"/>
      <c r="F159" s="223"/>
      <c r="G159" s="224"/>
      <c r="H159" s="224"/>
      <c r="I159" s="224"/>
      <c r="J159" s="205"/>
      <c r="K159" s="225" t="str">
        <f>IF(L159=D159,"ok","falso")</f>
        <v>ok</v>
      </c>
      <c r="L159" s="222">
        <f>SUM(E159:G159)</f>
        <v>0</v>
      </c>
      <c r="M159" s="226" t="e">
        <f>E159/D159</f>
        <v>#DIV/0!</v>
      </c>
      <c r="N159" s="226" t="e">
        <f>F159/D159</f>
        <v>#DIV/0!</v>
      </c>
      <c r="O159" s="226" t="e">
        <f t="shared" si="55"/>
        <v>#DIV/0!</v>
      </c>
      <c r="P159" s="204">
        <f>E159+F159+G159</f>
        <v>0</v>
      </c>
      <c r="Q159" s="226" t="e">
        <f>P159/D159</f>
        <v>#DIV/0!</v>
      </c>
    </row>
    <row r="160" spans="1:17" ht="12.75" hidden="1" customHeight="1">
      <c r="A160" s="215"/>
      <c r="B160" s="232" t="str">
        <f>[17]VALORIZACION!B95</f>
        <v xml:space="preserve">                    BARANDA METÁLICA.</v>
      </c>
      <c r="C160" s="223"/>
      <c r="D160" s="259"/>
      <c r="E160" s="223"/>
      <c r="F160" s="223"/>
      <c r="G160" s="224"/>
      <c r="H160" s="224"/>
      <c r="I160" s="224"/>
      <c r="J160" s="205"/>
      <c r="K160" s="225"/>
      <c r="L160" s="222"/>
      <c r="M160" s="226"/>
      <c r="N160" s="226"/>
      <c r="O160" s="226"/>
      <c r="Q160" s="226"/>
    </row>
    <row r="161" spans="1:17" ht="5.25" hidden="1" customHeight="1">
      <c r="A161" s="216"/>
      <c r="B161" s="217"/>
      <c r="C161" s="223"/>
      <c r="D161" s="218"/>
      <c r="E161" s="258"/>
      <c r="F161" s="219"/>
      <c r="G161" s="220"/>
      <c r="H161" s="220"/>
      <c r="I161" s="220"/>
      <c r="J161" s="221"/>
      <c r="K161" s="202"/>
      <c r="L161" s="222">
        <f>SUM(E161:G161)</f>
        <v>0</v>
      </c>
      <c r="M161" s="226" t="e">
        <f>E161/D161</f>
        <v>#DIV/0!</v>
      </c>
      <c r="N161" s="226" t="e">
        <f>F161/D161</f>
        <v>#DIV/0!</v>
      </c>
      <c r="O161" s="226" t="e">
        <f t="shared" si="55"/>
        <v>#DIV/0!</v>
      </c>
      <c r="P161" s="204">
        <f>E161+F161+G161</f>
        <v>0</v>
      </c>
      <c r="Q161" s="226" t="e">
        <f>P161/D161</f>
        <v>#DIV/0!</v>
      </c>
    </row>
    <row r="162" spans="1:17" ht="12.75" hidden="1" customHeight="1">
      <c r="A162" s="212"/>
      <c r="B162" s="217" t="str">
        <f>[17]VALORIZACION!B96</f>
        <v>BARANDA METÁLICA, INC. PINTURA (SEGUN DISEÑO)</v>
      </c>
      <c r="C162" s="223"/>
      <c r="D162" s="259">
        <f>+[17]RESUMEN!G110</f>
        <v>0</v>
      </c>
      <c r="E162" s="223"/>
      <c r="F162" s="223"/>
      <c r="G162" s="224"/>
      <c r="H162" s="224"/>
      <c r="I162" s="224"/>
      <c r="J162" s="205"/>
      <c r="K162" s="225" t="str">
        <f>IF(L162=D162,"ok","falso")</f>
        <v>ok</v>
      </c>
      <c r="L162" s="222">
        <f>SUM(E162:G162)</f>
        <v>0</v>
      </c>
      <c r="M162" s="226" t="e">
        <f>E162/D162</f>
        <v>#DIV/0!</v>
      </c>
      <c r="N162" s="226" t="e">
        <f>F162/D162</f>
        <v>#DIV/0!</v>
      </c>
      <c r="O162" s="226" t="e">
        <f t="shared" si="55"/>
        <v>#DIV/0!</v>
      </c>
      <c r="P162" s="204">
        <f>E162+F162+G162</f>
        <v>0</v>
      </c>
      <c r="Q162" s="226" t="e">
        <f>P162/D162</f>
        <v>#DIV/0!</v>
      </c>
    </row>
    <row r="163" spans="1:17" ht="12.75" hidden="1" customHeight="1">
      <c r="A163" s="215"/>
      <c r="B163" s="232" t="str">
        <f>[17]VALORIZACION!B97</f>
        <v xml:space="preserve">                    PINTURA .</v>
      </c>
      <c r="C163" s="223"/>
      <c r="D163" s="259"/>
      <c r="E163" s="223"/>
      <c r="F163" s="223"/>
      <c r="G163" s="224"/>
      <c r="H163" s="224"/>
      <c r="I163" s="224"/>
      <c r="J163" s="205"/>
      <c r="K163" s="225"/>
      <c r="L163" s="222"/>
      <c r="M163" s="226"/>
      <c r="N163" s="226"/>
      <c r="O163" s="226"/>
      <c r="Q163" s="226"/>
    </row>
    <row r="164" spans="1:17" ht="5.25" hidden="1" customHeight="1">
      <c r="A164" s="216"/>
      <c r="B164" s="217"/>
      <c r="C164" s="223"/>
      <c r="D164" s="218"/>
      <c r="E164" s="258"/>
      <c r="F164" s="219"/>
      <c r="G164" s="220"/>
      <c r="H164" s="220"/>
      <c r="I164" s="220"/>
      <c r="J164" s="221"/>
      <c r="K164" s="202"/>
      <c r="L164" s="222">
        <f>SUM(E164:G164)</f>
        <v>0</v>
      </c>
      <c r="M164" s="226" t="e">
        <f>E164/D164</f>
        <v>#DIV/0!</v>
      </c>
      <c r="N164" s="226" t="e">
        <f>F164/D164</f>
        <v>#DIV/0!</v>
      </c>
      <c r="O164" s="226" t="e">
        <f t="shared" si="55"/>
        <v>#DIV/0!</v>
      </c>
      <c r="P164" s="204">
        <f>E164+F164+G164</f>
        <v>0</v>
      </c>
      <c r="Q164" s="226" t="e">
        <f>P164/D164</f>
        <v>#DIV/0!</v>
      </c>
    </row>
    <row r="165" spans="1:17" ht="12.75" hidden="1" customHeight="1">
      <c r="A165" s="212"/>
      <c r="B165" s="217" t="str">
        <f>[17]VALORIZACION!B98</f>
        <v xml:space="preserve"> PINTURA EN SARDINELES</v>
      </c>
      <c r="C165" s="223"/>
      <c r="D165" s="259">
        <f>+[17]RESUMEN!G112</f>
        <v>0</v>
      </c>
      <c r="E165" s="223"/>
      <c r="F165" s="223"/>
      <c r="G165" s="224"/>
      <c r="H165" s="224"/>
      <c r="I165" s="224"/>
      <c r="J165" s="205"/>
      <c r="K165" s="225" t="str">
        <f>IF(L165=D165,"ok","falso")</f>
        <v>ok</v>
      </c>
      <c r="L165" s="222">
        <f>SUM(E165:G165)</f>
        <v>0</v>
      </c>
      <c r="M165" s="226" t="e">
        <f>E165/D165</f>
        <v>#DIV/0!</v>
      </c>
      <c r="N165" s="226" t="e">
        <f>F165/D165</f>
        <v>#DIV/0!</v>
      </c>
      <c r="O165" s="226" t="e">
        <f t="shared" si="55"/>
        <v>#DIV/0!</v>
      </c>
      <c r="P165" s="204">
        <f>E165+F165+G165</f>
        <v>0</v>
      </c>
      <c r="Q165" s="226" t="e">
        <f>P165/D165</f>
        <v>#DIV/0!</v>
      </c>
    </row>
    <row r="166" spans="1:17" ht="12.75" hidden="1" customHeight="1">
      <c r="A166" s="215"/>
      <c r="B166" s="232" t="str">
        <f>[17]VALORIZACION!B99</f>
        <v xml:space="preserve">                    ELEMENTOS DE APOYO.</v>
      </c>
      <c r="C166" s="223"/>
      <c r="D166" s="259"/>
      <c r="E166" s="223"/>
      <c r="F166" s="223"/>
      <c r="G166" s="224"/>
      <c r="H166" s="224"/>
      <c r="I166" s="224"/>
      <c r="J166" s="205"/>
      <c r="K166" s="225"/>
      <c r="L166" s="222"/>
      <c r="M166" s="226"/>
      <c r="N166" s="226"/>
      <c r="O166" s="226"/>
      <c r="Q166" s="226"/>
    </row>
    <row r="167" spans="1:17" ht="5.25" hidden="1" customHeight="1">
      <c r="A167" s="216"/>
      <c r="B167" s="217"/>
      <c r="C167" s="223"/>
      <c r="D167" s="218"/>
      <c r="E167" s="258"/>
      <c r="F167" s="219"/>
      <c r="G167" s="220"/>
      <c r="H167" s="220"/>
      <c r="I167" s="220"/>
      <c r="J167" s="221"/>
      <c r="K167" s="202"/>
      <c r="L167" s="222">
        <f>SUM(E167:G167)</f>
        <v>0</v>
      </c>
      <c r="M167" s="226" t="e">
        <f>E167/D167</f>
        <v>#DIV/0!</v>
      </c>
      <c r="N167" s="226" t="e">
        <f>F167/D167</f>
        <v>#DIV/0!</v>
      </c>
      <c r="O167" s="226" t="e">
        <f t="shared" si="55"/>
        <v>#DIV/0!</v>
      </c>
      <c r="P167" s="204">
        <f>E167+F167+G167</f>
        <v>0</v>
      </c>
      <c r="Q167" s="226" t="e">
        <f>P167/D167</f>
        <v>#DIV/0!</v>
      </c>
    </row>
    <row r="168" spans="1:17" ht="12.75" hidden="1" customHeight="1">
      <c r="A168" s="212"/>
      <c r="B168" s="217" t="str">
        <f>[17]VALORIZACION!B100</f>
        <v xml:space="preserve"> APOYO DE NEOPRENO FIJO</v>
      </c>
      <c r="C168" s="223"/>
      <c r="D168" s="259">
        <f>+[17]RESUMEN!G114</f>
        <v>0</v>
      </c>
      <c r="E168" s="223"/>
      <c r="F168" s="223"/>
      <c r="G168" s="224"/>
      <c r="H168" s="224"/>
      <c r="I168" s="224"/>
      <c r="J168" s="205"/>
      <c r="K168" s="225" t="str">
        <f>IF(L168=D168,"ok","falso")</f>
        <v>ok</v>
      </c>
      <c r="L168" s="222">
        <f>SUM(E168:G168)</f>
        <v>0</v>
      </c>
      <c r="M168" s="226" t="e">
        <f>E168/D168</f>
        <v>#DIV/0!</v>
      </c>
      <c r="N168" s="226" t="e">
        <f>F168/D168</f>
        <v>#DIV/0!</v>
      </c>
      <c r="O168" s="226" t="e">
        <f t="shared" si="55"/>
        <v>#DIV/0!</v>
      </c>
      <c r="P168" s="204">
        <f>E168+F168+G168</f>
        <v>0</v>
      </c>
      <c r="Q168" s="226" t="e">
        <f>P168/D168</f>
        <v>#DIV/0!</v>
      </c>
    </row>
    <row r="169" spans="1:17" ht="5.25" hidden="1" customHeight="1">
      <c r="A169" s="216"/>
      <c r="B169" s="217"/>
      <c r="C169" s="223"/>
      <c r="D169" s="218"/>
      <c r="E169" s="258"/>
      <c r="F169" s="219"/>
      <c r="G169" s="220"/>
      <c r="H169" s="220"/>
      <c r="I169" s="220"/>
      <c r="J169" s="221"/>
      <c r="K169" s="202"/>
      <c r="L169" s="222">
        <f>SUM(E169:G169)</f>
        <v>0</v>
      </c>
      <c r="M169" s="226" t="e">
        <f>E169/D169</f>
        <v>#DIV/0!</v>
      </c>
      <c r="N169" s="226" t="e">
        <f>F169/D169</f>
        <v>#DIV/0!</v>
      </c>
      <c r="O169" s="226" t="e">
        <f t="shared" si="55"/>
        <v>#DIV/0!</v>
      </c>
      <c r="P169" s="204">
        <f>E169+F169+G169</f>
        <v>0</v>
      </c>
      <c r="Q169" s="226" t="e">
        <f>P169/D169</f>
        <v>#DIV/0!</v>
      </c>
    </row>
    <row r="170" spans="1:17" ht="12.75" hidden="1" customHeight="1">
      <c r="A170" s="212"/>
      <c r="B170" s="217" t="str">
        <f>[17]VALORIZACION!B101</f>
        <v xml:space="preserve"> APOYO DE NEOPRENO MOVIL</v>
      </c>
      <c r="C170" s="223"/>
      <c r="D170" s="259">
        <f>+[17]RESUMEN!G116</f>
        <v>0</v>
      </c>
      <c r="E170" s="223"/>
      <c r="F170" s="223"/>
      <c r="G170" s="224"/>
      <c r="H170" s="224"/>
      <c r="I170" s="224"/>
      <c r="J170" s="205"/>
      <c r="K170" s="225" t="str">
        <f>IF(L170=D170,"ok","falso")</f>
        <v>ok</v>
      </c>
      <c r="L170" s="222">
        <f>SUM(E170:G170)</f>
        <v>0</v>
      </c>
      <c r="M170" s="226" t="e">
        <f>E170/D170</f>
        <v>#DIV/0!</v>
      </c>
      <c r="N170" s="226" t="e">
        <f>F170/D170</f>
        <v>#DIV/0!</v>
      </c>
      <c r="O170" s="226" t="e">
        <f t="shared" si="55"/>
        <v>#DIV/0!</v>
      </c>
      <c r="P170" s="204">
        <f>E170+F170+G170</f>
        <v>0</v>
      </c>
      <c r="Q170" s="226" t="e">
        <f>P170/D170</f>
        <v>#DIV/0!</v>
      </c>
    </row>
    <row r="171" spans="1:17" ht="12.75" hidden="1" customHeight="1">
      <c r="A171" s="215"/>
      <c r="B171" s="232" t="str">
        <f>[17]VALORIZACION!B102</f>
        <v xml:space="preserve">                    UÑA DE HINCADO.</v>
      </c>
      <c r="C171" s="223"/>
      <c r="D171" s="259"/>
      <c r="E171" s="223"/>
      <c r="F171" s="223"/>
      <c r="G171" s="224"/>
      <c r="H171" s="224"/>
      <c r="I171" s="224"/>
      <c r="J171" s="205"/>
      <c r="K171" s="225"/>
      <c r="L171" s="222"/>
      <c r="M171" s="226"/>
      <c r="N171" s="226"/>
      <c r="O171" s="226"/>
      <c r="Q171" s="226"/>
    </row>
    <row r="172" spans="1:17" ht="5.25" hidden="1" customHeight="1">
      <c r="A172" s="216"/>
      <c r="B172" s="217"/>
      <c r="C172" s="223"/>
      <c r="D172" s="218"/>
      <c r="E172" s="258"/>
      <c r="F172" s="219"/>
      <c r="G172" s="220"/>
      <c r="H172" s="220"/>
      <c r="I172" s="220"/>
      <c r="J172" s="221"/>
      <c r="K172" s="202"/>
      <c r="L172" s="222">
        <f>SUM(E172:G172)</f>
        <v>0</v>
      </c>
      <c r="M172" s="226" t="e">
        <f>E172/D172</f>
        <v>#DIV/0!</v>
      </c>
      <c r="N172" s="226" t="e">
        <f>F172/D172</f>
        <v>#DIV/0!</v>
      </c>
      <c r="O172" s="226" t="e">
        <f t="shared" si="55"/>
        <v>#DIV/0!</v>
      </c>
      <c r="P172" s="204">
        <f>E172+F172+G172</f>
        <v>0</v>
      </c>
      <c r="Q172" s="226" t="e">
        <f>P172/D172</f>
        <v>#DIV/0!</v>
      </c>
    </row>
    <row r="173" spans="1:17" ht="12.75" hidden="1" customHeight="1">
      <c r="A173" s="212"/>
      <c r="B173" s="217" t="str">
        <f>[17]VALORIZACION!B103</f>
        <v>FABRICACIÓN DE ESTRUCTURA METÁLICA (UÑA)</v>
      </c>
      <c r="C173" s="223"/>
      <c r="D173" s="259">
        <f>+[17]RESUMEN!G118</f>
        <v>0</v>
      </c>
      <c r="E173" s="223"/>
      <c r="F173" s="223"/>
      <c r="G173" s="224"/>
      <c r="H173" s="224"/>
      <c r="I173" s="224"/>
      <c r="J173" s="205"/>
      <c r="K173" s="225" t="str">
        <f>IF(L173=D173,"ok","falso")</f>
        <v>ok</v>
      </c>
      <c r="L173" s="222">
        <f>SUM(E173:G173)</f>
        <v>0</v>
      </c>
      <c r="M173" s="226" t="e">
        <f>E173/D173</f>
        <v>#DIV/0!</v>
      </c>
      <c r="N173" s="226" t="e">
        <f>F173/D173</f>
        <v>#DIV/0!</v>
      </c>
      <c r="O173" s="226" t="e">
        <f t="shared" si="55"/>
        <v>#DIV/0!</v>
      </c>
      <c r="P173" s="204">
        <f>E173+F173+G173</f>
        <v>0</v>
      </c>
      <c r="Q173" s="226" t="e">
        <f>P173/D173</f>
        <v>#DIV/0!</v>
      </c>
    </row>
    <row r="174" spans="1:17" ht="12.75" hidden="1" customHeight="1">
      <c r="A174" s="215"/>
      <c r="B174" s="232" t="str">
        <f>[17]VALORIZACION!B104</f>
        <v xml:space="preserve">                    DOWELLS DE ANCLAJE.</v>
      </c>
      <c r="C174" s="223"/>
      <c r="D174" s="259"/>
      <c r="E174" s="223"/>
      <c r="F174" s="223"/>
      <c r="G174" s="224"/>
      <c r="H174" s="224"/>
      <c r="I174" s="224"/>
      <c r="J174" s="205"/>
      <c r="K174" s="225"/>
      <c r="L174" s="222"/>
      <c r="M174" s="226"/>
      <c r="N174" s="226"/>
      <c r="O174" s="226"/>
      <c r="Q174" s="226"/>
    </row>
    <row r="175" spans="1:17" ht="5.25" hidden="1" customHeight="1">
      <c r="A175" s="216"/>
      <c r="B175" s="217"/>
      <c r="C175" s="223"/>
      <c r="D175" s="218"/>
      <c r="E175" s="258"/>
      <c r="F175" s="219"/>
      <c r="G175" s="220"/>
      <c r="H175" s="220"/>
      <c r="I175" s="220"/>
      <c r="J175" s="221"/>
      <c r="K175" s="202"/>
      <c r="L175" s="222">
        <f>SUM(E175:G175)</f>
        <v>0</v>
      </c>
      <c r="M175" s="226" t="e">
        <f>E175/D175</f>
        <v>#DIV/0!</v>
      </c>
      <c r="N175" s="226" t="e">
        <f>F175/D175</f>
        <v>#DIV/0!</v>
      </c>
      <c r="O175" s="226" t="e">
        <f t="shared" si="55"/>
        <v>#DIV/0!</v>
      </c>
      <c r="P175" s="204">
        <f>E175+F175+G175</f>
        <v>0</v>
      </c>
      <c r="Q175" s="226" t="e">
        <f>P175/D175</f>
        <v>#DIV/0!</v>
      </c>
    </row>
    <row r="176" spans="1:17" ht="12.75" hidden="1" customHeight="1">
      <c r="A176" s="212"/>
      <c r="B176" s="217" t="str">
        <f>[17]VALORIZACION!B105</f>
        <v xml:space="preserve"> DOWELLS DE ANCLAJE D=1"</v>
      </c>
      <c r="C176" s="223"/>
      <c r="D176" s="259">
        <f>+[17]RESUMEN!G120</f>
        <v>0</v>
      </c>
      <c r="E176" s="223"/>
      <c r="F176" s="223"/>
      <c r="G176" s="224"/>
      <c r="H176" s="224"/>
      <c r="I176" s="224"/>
      <c r="J176" s="205"/>
      <c r="K176" s="225" t="str">
        <f>IF(L176=D176,"ok","falso")</f>
        <v>ok</v>
      </c>
      <c r="L176" s="222">
        <f>SUM(E176:G176)</f>
        <v>0</v>
      </c>
      <c r="M176" s="226" t="e">
        <f>E176/D176</f>
        <v>#DIV/0!</v>
      </c>
      <c r="N176" s="226" t="e">
        <f>F176/D176</f>
        <v>#DIV/0!</v>
      </c>
      <c r="O176" s="226" t="e">
        <f t="shared" si="55"/>
        <v>#DIV/0!</v>
      </c>
      <c r="P176" s="204">
        <f>E176+F176+G176</f>
        <v>0</v>
      </c>
      <c r="Q176" s="226" t="e">
        <f>P176/D176</f>
        <v>#DIV/0!</v>
      </c>
    </row>
    <row r="177" spans="1:17" ht="12.75" hidden="1" customHeight="1">
      <c r="A177" s="215"/>
      <c r="B177" s="232" t="str">
        <f>[17]VALORIZACION!B106</f>
        <v xml:space="preserve">                    LOSA DE APROXIMACIÓN.</v>
      </c>
      <c r="C177" s="223"/>
      <c r="D177" s="259"/>
      <c r="E177" s="223"/>
      <c r="F177" s="223"/>
      <c r="G177" s="224"/>
      <c r="H177" s="224"/>
      <c r="I177" s="224"/>
      <c r="J177" s="205"/>
      <c r="K177" s="225"/>
      <c r="L177" s="222"/>
      <c r="M177" s="226"/>
      <c r="N177" s="226"/>
      <c r="O177" s="226"/>
      <c r="Q177" s="226"/>
    </row>
    <row r="178" spans="1:17" ht="5.25" hidden="1" customHeight="1">
      <c r="A178" s="216"/>
      <c r="B178" s="217"/>
      <c r="C178" s="223"/>
      <c r="D178" s="218"/>
      <c r="E178" s="258"/>
      <c r="F178" s="219"/>
      <c r="G178" s="220"/>
      <c r="H178" s="220"/>
      <c r="I178" s="220"/>
      <c r="J178" s="221"/>
      <c r="K178" s="202"/>
      <c r="L178" s="222">
        <f t="shared" ref="L178:L185" si="63">SUM(E178:G178)</f>
        <v>0</v>
      </c>
      <c r="M178" s="226" t="e">
        <f t="shared" ref="M178:M185" si="64">E178/D178</f>
        <v>#DIV/0!</v>
      </c>
      <c r="N178" s="226" t="e">
        <f t="shared" ref="N178:N185" si="65">F178/D178</f>
        <v>#DIV/0!</v>
      </c>
      <c r="O178" s="226" t="e">
        <f t="shared" si="55"/>
        <v>#DIV/0!</v>
      </c>
      <c r="P178" s="204">
        <f t="shared" ref="P178:P185" si="66">E178+F178+G178</f>
        <v>0</v>
      </c>
      <c r="Q178" s="226" t="e">
        <f t="shared" ref="Q178:Q185" si="67">P178/D178</f>
        <v>#DIV/0!</v>
      </c>
    </row>
    <row r="179" spans="1:17" ht="12.75" hidden="1" customHeight="1">
      <c r="A179" s="212"/>
      <c r="B179" s="217" t="str">
        <f>[17]VALORIZACION!B107</f>
        <v xml:space="preserve"> ACERO DE REFUERZO GRADO 60</v>
      </c>
      <c r="C179" s="223"/>
      <c r="D179" s="259">
        <f>+[17]RESUMEN!G122</f>
        <v>0</v>
      </c>
      <c r="E179" s="223"/>
      <c r="F179" s="223"/>
      <c r="G179" s="224"/>
      <c r="H179" s="224"/>
      <c r="I179" s="224"/>
      <c r="J179" s="205"/>
      <c r="K179" s="225" t="str">
        <f>IF(L179=D179,"ok","falso")</f>
        <v>ok</v>
      </c>
      <c r="L179" s="222">
        <f t="shared" si="63"/>
        <v>0</v>
      </c>
      <c r="M179" s="226" t="e">
        <f t="shared" si="64"/>
        <v>#DIV/0!</v>
      </c>
      <c r="N179" s="226" t="e">
        <f t="shared" si="65"/>
        <v>#DIV/0!</v>
      </c>
      <c r="O179" s="226" t="e">
        <f t="shared" si="55"/>
        <v>#DIV/0!</v>
      </c>
      <c r="P179" s="204">
        <f t="shared" si="66"/>
        <v>0</v>
      </c>
      <c r="Q179" s="226" t="e">
        <f t="shared" si="67"/>
        <v>#DIV/0!</v>
      </c>
    </row>
    <row r="180" spans="1:17" ht="5.25" hidden="1" customHeight="1">
      <c r="A180" s="216"/>
      <c r="B180" s="217"/>
      <c r="C180" s="223"/>
      <c r="D180" s="218"/>
      <c r="E180" s="258"/>
      <c r="F180" s="219"/>
      <c r="G180" s="220"/>
      <c r="H180" s="220"/>
      <c r="I180" s="220"/>
      <c r="J180" s="221"/>
      <c r="K180" s="202"/>
      <c r="L180" s="222">
        <f t="shared" si="63"/>
        <v>0</v>
      </c>
      <c r="M180" s="226" t="e">
        <f t="shared" si="64"/>
        <v>#DIV/0!</v>
      </c>
      <c r="N180" s="226" t="e">
        <f t="shared" si="65"/>
        <v>#DIV/0!</v>
      </c>
      <c r="O180" s="226" t="e">
        <f t="shared" si="55"/>
        <v>#DIV/0!</v>
      </c>
      <c r="P180" s="204">
        <f t="shared" si="66"/>
        <v>0</v>
      </c>
      <c r="Q180" s="226" t="e">
        <f t="shared" si="67"/>
        <v>#DIV/0!</v>
      </c>
    </row>
    <row r="181" spans="1:17" ht="12.75" hidden="1" customHeight="1">
      <c r="A181" s="212"/>
      <c r="B181" s="217" t="str">
        <f>[17]VALORIZACION!B108</f>
        <v>ENCOFRADO Y DESENCOFRADO PARA OBRAS DE ARTE</v>
      </c>
      <c r="C181" s="223"/>
      <c r="D181" s="259">
        <f>+[17]RESUMEN!G124</f>
        <v>0</v>
      </c>
      <c r="E181" s="223"/>
      <c r="F181" s="223"/>
      <c r="G181" s="224"/>
      <c r="H181" s="224"/>
      <c r="I181" s="224"/>
      <c r="J181" s="205"/>
      <c r="K181" s="225" t="str">
        <f>IF(L181=D181,"ok","falso")</f>
        <v>ok</v>
      </c>
      <c r="L181" s="222">
        <f t="shared" si="63"/>
        <v>0</v>
      </c>
      <c r="M181" s="226" t="e">
        <f t="shared" si="64"/>
        <v>#DIV/0!</v>
      </c>
      <c r="N181" s="226" t="e">
        <f t="shared" si="65"/>
        <v>#DIV/0!</v>
      </c>
      <c r="O181" s="226" t="e">
        <f t="shared" si="55"/>
        <v>#DIV/0!</v>
      </c>
      <c r="P181" s="204">
        <f t="shared" si="66"/>
        <v>0</v>
      </c>
      <c r="Q181" s="226" t="e">
        <f t="shared" si="67"/>
        <v>#DIV/0!</v>
      </c>
    </row>
    <row r="182" spans="1:17" ht="5.25" hidden="1" customHeight="1">
      <c r="A182" s="216"/>
      <c r="B182" s="217"/>
      <c r="C182" s="223"/>
      <c r="D182" s="218"/>
      <c r="E182" s="258"/>
      <c r="F182" s="219"/>
      <c r="G182" s="220"/>
      <c r="H182" s="220"/>
      <c r="I182" s="220"/>
      <c r="J182" s="221"/>
      <c r="K182" s="202"/>
      <c r="L182" s="222">
        <f t="shared" si="63"/>
        <v>0</v>
      </c>
      <c r="M182" s="226" t="e">
        <f t="shared" si="64"/>
        <v>#DIV/0!</v>
      </c>
      <c r="N182" s="226" t="e">
        <f t="shared" si="65"/>
        <v>#DIV/0!</v>
      </c>
      <c r="O182" s="226" t="e">
        <f t="shared" si="55"/>
        <v>#DIV/0!</v>
      </c>
      <c r="P182" s="204">
        <f t="shared" si="66"/>
        <v>0</v>
      </c>
      <c r="Q182" s="226" t="e">
        <f t="shared" si="67"/>
        <v>#DIV/0!</v>
      </c>
    </row>
    <row r="183" spans="1:17" ht="12.75" hidden="1" customHeight="1">
      <c r="A183" s="212"/>
      <c r="B183" s="217" t="str">
        <f>[17]VALORIZACION!B109</f>
        <v xml:space="preserve"> CONCRETO f'c=210 kg/cm2</v>
      </c>
      <c r="C183" s="223"/>
      <c r="D183" s="259">
        <f>+[17]RESUMEN!G126</f>
        <v>0</v>
      </c>
      <c r="E183" s="223"/>
      <c r="F183" s="223"/>
      <c r="G183" s="224"/>
      <c r="H183" s="224"/>
      <c r="I183" s="224"/>
      <c r="J183" s="205"/>
      <c r="K183" s="225" t="str">
        <f>IF(L183=D183,"ok","falso")</f>
        <v>ok</v>
      </c>
      <c r="L183" s="222">
        <f t="shared" si="63"/>
        <v>0</v>
      </c>
      <c r="M183" s="226" t="e">
        <f t="shared" si="64"/>
        <v>#DIV/0!</v>
      </c>
      <c r="N183" s="226" t="e">
        <f t="shared" si="65"/>
        <v>#DIV/0!</v>
      </c>
      <c r="O183" s="226" t="e">
        <f t="shared" si="55"/>
        <v>#DIV/0!</v>
      </c>
      <c r="P183" s="204">
        <f t="shared" si="66"/>
        <v>0</v>
      </c>
      <c r="Q183" s="226" t="e">
        <f t="shared" si="67"/>
        <v>#DIV/0!</v>
      </c>
    </row>
    <row r="184" spans="1:17" ht="5.25" hidden="1" customHeight="1">
      <c r="A184" s="216"/>
      <c r="B184" s="217"/>
      <c r="C184" s="223"/>
      <c r="D184" s="218"/>
      <c r="E184" s="258"/>
      <c r="F184" s="219"/>
      <c r="G184" s="220"/>
      <c r="H184" s="220"/>
      <c r="I184" s="220"/>
      <c r="J184" s="221"/>
      <c r="K184" s="202"/>
      <c r="L184" s="222">
        <f t="shared" si="63"/>
        <v>0</v>
      </c>
      <c r="M184" s="226" t="e">
        <f t="shared" si="64"/>
        <v>#DIV/0!</v>
      </c>
      <c r="N184" s="226" t="e">
        <f t="shared" si="65"/>
        <v>#DIV/0!</v>
      </c>
      <c r="O184" s="226" t="e">
        <f t="shared" si="55"/>
        <v>#DIV/0!</v>
      </c>
      <c r="P184" s="204">
        <f t="shared" si="66"/>
        <v>0</v>
      </c>
      <c r="Q184" s="226" t="e">
        <f t="shared" si="67"/>
        <v>#DIV/0!</v>
      </c>
    </row>
    <row r="185" spans="1:17" ht="12.75" hidden="1" customHeight="1">
      <c r="A185" s="212"/>
      <c r="B185" s="217" t="str">
        <f>[17]VALORIZACION!B110</f>
        <v>CURADO DE CONCRETO</v>
      </c>
      <c r="C185" s="223"/>
      <c r="D185" s="259">
        <f>+[17]RESUMEN!G128</f>
        <v>0</v>
      </c>
      <c r="E185" s="223"/>
      <c r="F185" s="223"/>
      <c r="G185" s="224"/>
      <c r="H185" s="224"/>
      <c r="I185" s="224"/>
      <c r="J185" s="205"/>
      <c r="K185" s="225" t="str">
        <f>IF(L185=D185,"ok","falso")</f>
        <v>ok</v>
      </c>
      <c r="L185" s="222">
        <f t="shared" si="63"/>
        <v>0</v>
      </c>
      <c r="M185" s="226" t="e">
        <f t="shared" si="64"/>
        <v>#DIV/0!</v>
      </c>
      <c r="N185" s="226" t="e">
        <f t="shared" si="65"/>
        <v>#DIV/0!</v>
      </c>
      <c r="O185" s="226" t="e">
        <f t="shared" si="55"/>
        <v>#DIV/0!</v>
      </c>
      <c r="P185" s="204">
        <f t="shared" si="66"/>
        <v>0</v>
      </c>
      <c r="Q185" s="226" t="e">
        <f t="shared" si="67"/>
        <v>#DIV/0!</v>
      </c>
    </row>
    <row r="186" spans="1:17" ht="13.2">
      <c r="A186" s="215"/>
      <c r="B186" s="228" t="str">
        <f>[17]VALORIZACION!B111</f>
        <v xml:space="preserve">            PARTIDAS COMPLEMENTARIAS Y PRUEBAS DE LABORATORIO</v>
      </c>
      <c r="C186" s="223"/>
      <c r="D186" s="259"/>
      <c r="E186" s="223"/>
      <c r="F186" s="223"/>
      <c r="G186" s="224"/>
      <c r="H186" s="224"/>
      <c r="I186" s="224"/>
      <c r="J186" s="205"/>
      <c r="K186" s="225"/>
      <c r="L186" s="222"/>
      <c r="M186" s="226"/>
      <c r="N186" s="226"/>
      <c r="O186" s="226"/>
      <c r="Q186" s="226"/>
    </row>
    <row r="187" spans="1:17" ht="5.25" customHeight="1">
      <c r="A187" s="216"/>
      <c r="B187" s="217"/>
      <c r="C187" s="223"/>
      <c r="D187" s="218"/>
      <c r="E187" s="258"/>
      <c r="F187" s="219"/>
      <c r="G187" s="220"/>
      <c r="H187" s="220"/>
      <c r="I187" s="220"/>
      <c r="J187" s="221"/>
      <c r="K187" s="202"/>
      <c r="L187" s="222">
        <f t="shared" ref="L187:L200" si="68">SUM(E187:G187)</f>
        <v>0</v>
      </c>
      <c r="M187" s="226" t="e">
        <f t="shared" ref="M187:M200" si="69">E187/D187</f>
        <v>#DIV/0!</v>
      </c>
      <c r="N187" s="226" t="e">
        <f t="shared" ref="N187:N200" si="70">F187/D187</f>
        <v>#DIV/0!</v>
      </c>
      <c r="O187" s="226" t="e">
        <f t="shared" si="55"/>
        <v>#DIV/0!</v>
      </c>
      <c r="P187" s="204">
        <f t="shared" ref="P187:P200" si="71">E187+F187+G187</f>
        <v>0</v>
      </c>
      <c r="Q187" s="226" t="e">
        <f t="shared" ref="Q187:Q200" si="72">P187/D187</f>
        <v>#DIV/0!</v>
      </c>
    </row>
    <row r="188" spans="1:17" ht="13.2">
      <c r="A188" s="212"/>
      <c r="B188" s="217" t="str">
        <f>[17]VALORIZACION!B112</f>
        <v>DISEÑO DE MEZCLA (CONCRETO)</v>
      </c>
      <c r="C188" s="223"/>
      <c r="D188" s="259">
        <f>+[17]RESUMEN!G130</f>
        <v>0</v>
      </c>
      <c r="E188" s="495"/>
      <c r="F188" s="495"/>
      <c r="G188" s="502"/>
      <c r="H188" s="501"/>
      <c r="I188" s="501"/>
      <c r="J188" s="205"/>
      <c r="K188" s="225" t="str">
        <f>IF(L188=D188,"ok","falso")</f>
        <v>ok</v>
      </c>
      <c r="L188" s="222">
        <f t="shared" si="68"/>
        <v>0</v>
      </c>
      <c r="M188" s="226" t="e">
        <f t="shared" si="69"/>
        <v>#DIV/0!</v>
      </c>
      <c r="N188" s="226" t="e">
        <f t="shared" si="70"/>
        <v>#DIV/0!</v>
      </c>
      <c r="O188" s="226" t="e">
        <f t="shared" si="55"/>
        <v>#DIV/0!</v>
      </c>
      <c r="P188" s="204">
        <f t="shared" si="71"/>
        <v>0</v>
      </c>
      <c r="Q188" s="226" t="e">
        <f t="shared" si="72"/>
        <v>#DIV/0!</v>
      </c>
    </row>
    <row r="189" spans="1:17" ht="5.25" customHeight="1">
      <c r="A189" s="216"/>
      <c r="B189" s="217"/>
      <c r="C189" s="223"/>
      <c r="D189" s="218"/>
      <c r="E189" s="258"/>
      <c r="F189" s="497"/>
      <c r="G189" s="503"/>
      <c r="H189" s="503"/>
      <c r="I189" s="503"/>
      <c r="J189" s="221"/>
      <c r="K189" s="202"/>
      <c r="L189" s="222">
        <f t="shared" si="68"/>
        <v>0</v>
      </c>
      <c r="M189" s="226" t="e">
        <f t="shared" si="69"/>
        <v>#DIV/0!</v>
      </c>
      <c r="N189" s="226" t="e">
        <f t="shared" si="70"/>
        <v>#DIV/0!</v>
      </c>
      <c r="O189" s="226" t="e">
        <f t="shared" si="55"/>
        <v>#DIV/0!</v>
      </c>
      <c r="P189" s="204">
        <f t="shared" si="71"/>
        <v>0</v>
      </c>
      <c r="Q189" s="226" t="e">
        <f t="shared" si="72"/>
        <v>#DIV/0!</v>
      </c>
    </row>
    <row r="190" spans="1:17" ht="13.2">
      <c r="A190" s="212"/>
      <c r="B190" s="217" t="str">
        <f>[17]VALORIZACION!B113</f>
        <v xml:space="preserve"> TESTIGOS DE CONCRETO (BRIQUETAS) Y SLUMP TEST</v>
      </c>
      <c r="C190" s="223"/>
      <c r="D190" s="259">
        <f>+[17]RESUMEN!G132</f>
        <v>0</v>
      </c>
      <c r="E190" s="495"/>
      <c r="F190" s="495"/>
      <c r="G190" s="502"/>
      <c r="H190" s="501"/>
      <c r="I190" s="501"/>
      <c r="J190" s="205"/>
      <c r="K190" s="225" t="str">
        <f>IF(L190=D190,"ok","falso")</f>
        <v>ok</v>
      </c>
      <c r="L190" s="222">
        <f t="shared" si="68"/>
        <v>0</v>
      </c>
      <c r="M190" s="226" t="e">
        <f t="shared" si="69"/>
        <v>#DIV/0!</v>
      </c>
      <c r="N190" s="226" t="e">
        <f t="shared" si="70"/>
        <v>#DIV/0!</v>
      </c>
      <c r="O190" s="226" t="e">
        <f t="shared" si="55"/>
        <v>#DIV/0!</v>
      </c>
      <c r="P190" s="204">
        <f t="shared" si="71"/>
        <v>0</v>
      </c>
      <c r="Q190" s="226" t="e">
        <f t="shared" si="72"/>
        <v>#DIV/0!</v>
      </c>
    </row>
    <row r="191" spans="1:17" ht="5.25" customHeight="1">
      <c r="A191" s="216"/>
      <c r="B191" s="217"/>
      <c r="C191" s="223"/>
      <c r="D191" s="218"/>
      <c r="E191" s="258"/>
      <c r="F191" s="497"/>
      <c r="G191" s="503"/>
      <c r="H191" s="503"/>
      <c r="I191" s="503"/>
      <c r="J191" s="221"/>
      <c r="K191" s="202"/>
      <c r="L191" s="222">
        <f t="shared" si="68"/>
        <v>0</v>
      </c>
      <c r="M191" s="226" t="e">
        <f t="shared" si="69"/>
        <v>#DIV/0!</v>
      </c>
      <c r="N191" s="226" t="e">
        <f t="shared" si="70"/>
        <v>#DIV/0!</v>
      </c>
      <c r="O191" s="226" t="e">
        <f t="shared" si="55"/>
        <v>#DIV/0!</v>
      </c>
      <c r="P191" s="204">
        <f t="shared" si="71"/>
        <v>0</v>
      </c>
      <c r="Q191" s="226" t="e">
        <f t="shared" si="72"/>
        <v>#DIV/0!</v>
      </c>
    </row>
    <row r="192" spans="1:17" ht="13.2">
      <c r="A192" s="212"/>
      <c r="B192" s="217" t="str">
        <f>[17]VALORIZACION!B114</f>
        <v>PRUEBA DE CALIDAD DEL CONCRETO (PRUEBA A LA COMPRESION)</v>
      </c>
      <c r="C192" s="223"/>
      <c r="D192" s="259">
        <f>+[17]RESUMEN!G134</f>
        <v>0</v>
      </c>
      <c r="E192" s="495"/>
      <c r="F192" s="495"/>
      <c r="G192" s="502"/>
      <c r="H192" s="501"/>
      <c r="I192" s="501"/>
      <c r="J192" s="205"/>
      <c r="K192" s="225" t="str">
        <f>IF(L192=D192,"ok","falso")</f>
        <v>ok</v>
      </c>
      <c r="L192" s="222">
        <f t="shared" si="68"/>
        <v>0</v>
      </c>
      <c r="M192" s="226" t="e">
        <f t="shared" si="69"/>
        <v>#DIV/0!</v>
      </c>
      <c r="N192" s="226" t="e">
        <f t="shared" si="70"/>
        <v>#DIV/0!</v>
      </c>
      <c r="O192" s="226" t="e">
        <f t="shared" si="55"/>
        <v>#DIV/0!</v>
      </c>
      <c r="P192" s="204">
        <f t="shared" si="71"/>
        <v>0</v>
      </c>
      <c r="Q192" s="226" t="e">
        <f t="shared" si="72"/>
        <v>#DIV/0!</v>
      </c>
    </row>
    <row r="193" spans="1:17" ht="5.25" customHeight="1">
      <c r="A193" s="216"/>
      <c r="B193" s="217"/>
      <c r="C193" s="223"/>
      <c r="D193" s="218"/>
      <c r="E193" s="258"/>
      <c r="F193" s="497"/>
      <c r="G193" s="503"/>
      <c r="H193" s="503"/>
      <c r="I193" s="503"/>
      <c r="J193" s="221"/>
      <c r="K193" s="202"/>
      <c r="L193" s="222">
        <f t="shared" si="68"/>
        <v>0</v>
      </c>
      <c r="M193" s="226" t="e">
        <f t="shared" si="69"/>
        <v>#DIV/0!</v>
      </c>
      <c r="N193" s="226" t="e">
        <f t="shared" si="70"/>
        <v>#DIV/0!</v>
      </c>
      <c r="O193" s="226" t="e">
        <f t="shared" si="55"/>
        <v>#DIV/0!</v>
      </c>
      <c r="P193" s="204">
        <f t="shared" si="71"/>
        <v>0</v>
      </c>
      <c r="Q193" s="226" t="e">
        <f t="shared" si="72"/>
        <v>#DIV/0!</v>
      </c>
    </row>
    <row r="194" spans="1:17" ht="13.2">
      <c r="A194" s="212"/>
      <c r="B194" s="217" t="str">
        <f>[17]VALORIZACION!B115</f>
        <v xml:space="preserve"> PROCTOR DE CAMPO (COMPACTACIÓN)</v>
      </c>
      <c r="C194" s="223"/>
      <c r="D194" s="259">
        <f>+[17]RESUMEN!G36</f>
        <v>847271.32</v>
      </c>
      <c r="E194" s="495"/>
      <c r="F194" s="495"/>
      <c r="G194" s="502"/>
      <c r="H194" s="501"/>
      <c r="I194" s="501"/>
      <c r="J194" s="205"/>
      <c r="K194" s="225" t="str">
        <f>IF(L194=D194,"ok","falso")</f>
        <v>falso</v>
      </c>
      <c r="L194" s="222">
        <f t="shared" si="68"/>
        <v>0</v>
      </c>
      <c r="M194" s="226">
        <f t="shared" si="69"/>
        <v>0</v>
      </c>
      <c r="N194" s="226">
        <f t="shared" si="70"/>
        <v>0</v>
      </c>
      <c r="O194" s="226">
        <f t="shared" si="55"/>
        <v>0</v>
      </c>
      <c r="P194" s="204">
        <f t="shared" si="71"/>
        <v>0</v>
      </c>
      <c r="Q194" s="227">
        <f t="shared" si="72"/>
        <v>0</v>
      </c>
    </row>
    <row r="195" spans="1:17" ht="5.25" customHeight="1">
      <c r="A195" s="216"/>
      <c r="B195" s="217"/>
      <c r="C195" s="223"/>
      <c r="D195" s="218"/>
      <c r="E195" s="258"/>
      <c r="F195" s="497"/>
      <c r="G195" s="503"/>
      <c r="H195" s="503"/>
      <c r="I195" s="503"/>
      <c r="J195" s="221"/>
      <c r="K195" s="202"/>
      <c r="L195" s="222">
        <f t="shared" si="68"/>
        <v>0</v>
      </c>
      <c r="M195" s="226" t="e">
        <f t="shared" si="69"/>
        <v>#DIV/0!</v>
      </c>
      <c r="N195" s="226" t="e">
        <f t="shared" si="70"/>
        <v>#DIV/0!</v>
      </c>
      <c r="O195" s="226" t="e">
        <f t="shared" si="55"/>
        <v>#DIV/0!</v>
      </c>
      <c r="P195" s="204">
        <f t="shared" si="71"/>
        <v>0</v>
      </c>
      <c r="Q195" s="226" t="e">
        <f t="shared" si="72"/>
        <v>#DIV/0!</v>
      </c>
    </row>
    <row r="196" spans="1:17" ht="13.2">
      <c r="A196" s="212"/>
      <c r="B196" s="217" t="str">
        <f>[17]VALORIZACION!B116</f>
        <v>DENSIDAD DE CAMPO</v>
      </c>
      <c r="C196" s="223"/>
      <c r="D196" s="259">
        <f>+[17]RESUMEN!G38</f>
        <v>16738.03</v>
      </c>
      <c r="E196" s="495"/>
      <c r="F196" s="495"/>
      <c r="G196" s="502"/>
      <c r="H196" s="501"/>
      <c r="I196" s="501"/>
      <c r="J196" s="205"/>
      <c r="K196" s="225" t="str">
        <f>IF(L196=D196,"ok","falso")</f>
        <v>falso</v>
      </c>
      <c r="L196" s="222">
        <f t="shared" si="68"/>
        <v>0</v>
      </c>
      <c r="M196" s="226">
        <f t="shared" si="69"/>
        <v>0</v>
      </c>
      <c r="N196" s="226">
        <f t="shared" si="70"/>
        <v>0</v>
      </c>
      <c r="O196" s="226">
        <f t="shared" si="55"/>
        <v>0</v>
      </c>
      <c r="P196" s="204">
        <f t="shared" si="71"/>
        <v>0</v>
      </c>
      <c r="Q196" s="226">
        <f t="shared" si="72"/>
        <v>0</v>
      </c>
    </row>
    <row r="197" spans="1:17" ht="5.25" customHeight="1">
      <c r="A197" s="216"/>
      <c r="B197" s="217"/>
      <c r="C197" s="223"/>
      <c r="D197" s="218"/>
      <c r="E197" s="258"/>
      <c r="F197" s="219"/>
      <c r="G197" s="220"/>
      <c r="H197" s="503"/>
      <c r="I197" s="503"/>
      <c r="J197" s="221"/>
      <c r="K197" s="202"/>
      <c r="L197" s="222">
        <f t="shared" si="68"/>
        <v>0</v>
      </c>
      <c r="M197" s="226" t="e">
        <f t="shared" si="69"/>
        <v>#DIV/0!</v>
      </c>
      <c r="N197" s="226" t="e">
        <f t="shared" si="70"/>
        <v>#DIV/0!</v>
      </c>
      <c r="O197" s="226" t="e">
        <f t="shared" si="55"/>
        <v>#DIV/0!</v>
      </c>
      <c r="P197" s="204">
        <f t="shared" si="71"/>
        <v>0</v>
      </c>
      <c r="Q197" s="226" t="e">
        <f t="shared" si="72"/>
        <v>#DIV/0!</v>
      </c>
    </row>
    <row r="198" spans="1:17" ht="13.2">
      <c r="A198" s="212"/>
      <c r="B198" s="217" t="str">
        <f>[17]VALORIZACION!B117</f>
        <v xml:space="preserve"> PRUEBA DE CARGA DE SUPERESTRUCTURA (PUENTE)</v>
      </c>
      <c r="C198" s="223"/>
      <c r="D198" s="259">
        <f>+[17]RESUMEN!G40</f>
        <v>139366.72</v>
      </c>
      <c r="E198" s="223"/>
      <c r="F198" s="223"/>
      <c r="G198" s="224"/>
      <c r="H198" s="554"/>
      <c r="I198" s="554"/>
      <c r="J198" s="205"/>
      <c r="K198" s="225" t="str">
        <f>IF(L198=D198,"ok","falso")</f>
        <v>falso</v>
      </c>
      <c r="L198" s="222">
        <f t="shared" si="68"/>
        <v>0</v>
      </c>
      <c r="M198" s="226">
        <f t="shared" si="69"/>
        <v>0</v>
      </c>
      <c r="N198" s="226">
        <f t="shared" si="70"/>
        <v>0</v>
      </c>
      <c r="O198" s="226">
        <f t="shared" si="55"/>
        <v>0</v>
      </c>
      <c r="P198" s="204">
        <f t="shared" si="71"/>
        <v>0</v>
      </c>
      <c r="Q198" s="226">
        <f t="shared" si="72"/>
        <v>0</v>
      </c>
    </row>
    <row r="199" spans="1:17" ht="5.25" customHeight="1">
      <c r="A199" s="216"/>
      <c r="B199" s="217"/>
      <c r="C199" s="223"/>
      <c r="D199" s="218"/>
      <c r="E199" s="258"/>
      <c r="F199" s="219"/>
      <c r="G199" s="220"/>
      <c r="H199" s="503"/>
      <c r="I199" s="503"/>
      <c r="J199" s="221"/>
      <c r="K199" s="202"/>
      <c r="L199" s="222">
        <f t="shared" si="68"/>
        <v>0</v>
      </c>
      <c r="M199" s="226" t="e">
        <f t="shared" si="69"/>
        <v>#DIV/0!</v>
      </c>
      <c r="N199" s="226" t="e">
        <f t="shared" si="70"/>
        <v>#DIV/0!</v>
      </c>
      <c r="O199" s="226" t="e">
        <f t="shared" si="55"/>
        <v>#DIV/0!</v>
      </c>
      <c r="P199" s="204">
        <f t="shared" si="71"/>
        <v>0</v>
      </c>
      <c r="Q199" s="226" t="e">
        <f t="shared" si="72"/>
        <v>#DIV/0!</v>
      </c>
    </row>
    <row r="200" spans="1:17" ht="13.2">
      <c r="A200" s="212"/>
      <c r="B200" s="217" t="str">
        <f>[17]VALORIZACION!B118</f>
        <v>PLACA RECORDATORIA DE BRONCE</v>
      </c>
      <c r="C200" s="223"/>
      <c r="D200" s="259">
        <f>+[17]RESUMEN!G42</f>
        <v>0</v>
      </c>
      <c r="E200" s="223"/>
      <c r="F200" s="223"/>
      <c r="G200" s="502"/>
      <c r="H200" s="501"/>
      <c r="I200" s="501"/>
      <c r="J200" s="205"/>
      <c r="K200" s="225" t="str">
        <f>IF(L200=D200,"ok","falso")</f>
        <v>ok</v>
      </c>
      <c r="L200" s="222">
        <f t="shared" si="68"/>
        <v>0</v>
      </c>
      <c r="M200" s="226" t="e">
        <f t="shared" si="69"/>
        <v>#DIV/0!</v>
      </c>
      <c r="N200" s="226" t="e">
        <f t="shared" si="70"/>
        <v>#DIV/0!</v>
      </c>
      <c r="O200" s="226" t="e">
        <f t="shared" si="55"/>
        <v>#DIV/0!</v>
      </c>
      <c r="P200" s="204">
        <f t="shared" si="71"/>
        <v>0</v>
      </c>
      <c r="Q200" s="226" t="e">
        <f t="shared" si="72"/>
        <v>#DIV/0!</v>
      </c>
    </row>
    <row r="201" spans="1:17" ht="5.25" customHeight="1">
      <c r="A201" s="216"/>
      <c r="B201" s="217"/>
      <c r="C201" s="223"/>
      <c r="D201" s="218"/>
      <c r="E201" s="258"/>
      <c r="F201" s="219"/>
      <c r="G201" s="220"/>
      <c r="H201" s="220"/>
      <c r="I201" s="220"/>
      <c r="J201" s="221"/>
      <c r="K201" s="202"/>
      <c r="L201" s="222"/>
      <c r="M201" s="226"/>
      <c r="N201" s="226"/>
      <c r="O201" s="226"/>
      <c r="Q201" s="226"/>
    </row>
    <row r="202" spans="1:17" ht="13.2">
      <c r="A202" s="215"/>
      <c r="B202" s="228" t="str">
        <f>[17]VALORIZACION!B119</f>
        <v xml:space="preserve">            SEÑALIZACION Y SEGURIDAD VIAL</v>
      </c>
      <c r="C202" s="223"/>
      <c r="D202" s="259"/>
      <c r="E202" s="223"/>
      <c r="F202" s="223"/>
      <c r="G202" s="224"/>
      <c r="H202" s="224"/>
      <c r="I202" s="224"/>
      <c r="J202" s="205"/>
      <c r="K202" s="225"/>
      <c r="L202" s="222"/>
      <c r="M202" s="226"/>
      <c r="N202" s="226"/>
      <c r="O202" s="226"/>
      <c r="Q202" s="226"/>
    </row>
    <row r="203" spans="1:17" ht="5.25" customHeight="1">
      <c r="A203" s="216"/>
      <c r="B203" s="217"/>
      <c r="C203" s="223"/>
      <c r="D203" s="218"/>
      <c r="E203" s="258"/>
      <c r="F203" s="219"/>
      <c r="G203" s="220"/>
      <c r="H203" s="220"/>
      <c r="I203" s="220"/>
      <c r="J203" s="221"/>
      <c r="K203" s="202"/>
      <c r="L203" s="222">
        <f t="shared" ref="L203:L210" si="73">SUM(E203:G203)</f>
        <v>0</v>
      </c>
      <c r="M203" s="226" t="e">
        <f t="shared" ref="M203:M210" si="74">E203/D203</f>
        <v>#DIV/0!</v>
      </c>
      <c r="N203" s="226" t="e">
        <f t="shared" ref="N203:N210" si="75">F203/D203</f>
        <v>#DIV/0!</v>
      </c>
      <c r="O203" s="226" t="e">
        <f t="shared" ref="O203:O210" si="76">M203+N203</f>
        <v>#DIV/0!</v>
      </c>
      <c r="P203" s="204">
        <f t="shared" ref="P203:P210" si="77">E203+F203+G203</f>
        <v>0</v>
      </c>
      <c r="Q203" s="226" t="e">
        <f t="shared" ref="Q203:Q210" si="78">P203/D203</f>
        <v>#DIV/0!</v>
      </c>
    </row>
    <row r="204" spans="1:17" ht="13.2">
      <c r="A204" s="212"/>
      <c r="B204" s="217" t="str">
        <f>[17]VALORIZACION!B120</f>
        <v xml:space="preserve">                SEÑAL PREVENTIVA (0.60x0.60 m)</v>
      </c>
      <c r="C204" s="223"/>
      <c r="D204" s="259">
        <f>+[17]RESUMEN!G44</f>
        <v>160131.9</v>
      </c>
      <c r="E204" s="223"/>
      <c r="F204" s="223"/>
      <c r="G204" s="502"/>
      <c r="H204" s="502"/>
      <c r="I204" s="502"/>
      <c r="J204" s="205"/>
      <c r="K204" s="225" t="str">
        <f>IF(L204=D204,"ok","falso")</f>
        <v>falso</v>
      </c>
      <c r="L204" s="222">
        <f t="shared" si="73"/>
        <v>0</v>
      </c>
      <c r="M204" s="226">
        <f t="shared" si="74"/>
        <v>0</v>
      </c>
      <c r="N204" s="226">
        <f t="shared" si="75"/>
        <v>0</v>
      </c>
      <c r="O204" s="226">
        <f t="shared" si="76"/>
        <v>0</v>
      </c>
      <c r="P204" s="204">
        <f t="shared" si="77"/>
        <v>0</v>
      </c>
      <c r="Q204" s="226">
        <f t="shared" si="78"/>
        <v>0</v>
      </c>
    </row>
    <row r="205" spans="1:17" ht="5.25" customHeight="1">
      <c r="A205" s="216"/>
      <c r="B205" s="217"/>
      <c r="C205" s="223"/>
      <c r="D205" s="218"/>
      <c r="E205" s="258"/>
      <c r="F205" s="219"/>
      <c r="G205" s="220"/>
      <c r="H205" s="220"/>
      <c r="I205" s="220"/>
      <c r="J205" s="221"/>
      <c r="K205" s="202"/>
      <c r="L205" s="222">
        <f t="shared" si="73"/>
        <v>0</v>
      </c>
      <c r="M205" s="226" t="e">
        <f t="shared" si="74"/>
        <v>#DIV/0!</v>
      </c>
      <c r="N205" s="226" t="e">
        <f t="shared" si="75"/>
        <v>#DIV/0!</v>
      </c>
      <c r="O205" s="226" t="e">
        <f t="shared" si="76"/>
        <v>#DIV/0!</v>
      </c>
      <c r="P205" s="204">
        <f t="shared" si="77"/>
        <v>0</v>
      </c>
      <c r="Q205" s="226" t="e">
        <f t="shared" si="78"/>
        <v>#DIV/0!</v>
      </c>
    </row>
    <row r="206" spans="1:17" ht="13.2">
      <c r="A206" s="212"/>
      <c r="B206" s="217" t="str">
        <f>[17]VALORIZACION!B121</f>
        <v xml:space="preserve">                SEÑALES INFORMATIVAS</v>
      </c>
      <c r="C206" s="223"/>
      <c r="D206" s="259">
        <f>+[17]RESUMEN!G46</f>
        <v>3426822.5999999996</v>
      </c>
      <c r="E206" s="223"/>
      <c r="F206" s="223"/>
      <c r="G206" s="502"/>
      <c r="H206" s="502"/>
      <c r="I206" s="502"/>
      <c r="J206" s="205"/>
      <c r="K206" s="225" t="str">
        <f>IF(L206=D206,"ok","falso")</f>
        <v>falso</v>
      </c>
      <c r="L206" s="222">
        <f t="shared" si="73"/>
        <v>0</v>
      </c>
      <c r="M206" s="226">
        <f t="shared" si="74"/>
        <v>0</v>
      </c>
      <c r="N206" s="226">
        <f t="shared" si="75"/>
        <v>0</v>
      </c>
      <c r="O206" s="226">
        <f t="shared" si="76"/>
        <v>0</v>
      </c>
      <c r="P206" s="204">
        <f t="shared" si="77"/>
        <v>0</v>
      </c>
      <c r="Q206" s="226">
        <f t="shared" si="78"/>
        <v>0</v>
      </c>
    </row>
    <row r="207" spans="1:17" ht="5.25" customHeight="1">
      <c r="A207" s="216"/>
      <c r="B207" s="217"/>
      <c r="C207" s="223"/>
      <c r="D207" s="218"/>
      <c r="E207" s="258"/>
      <c r="F207" s="219"/>
      <c r="G207" s="220"/>
      <c r="H207" s="220"/>
      <c r="I207" s="220"/>
      <c r="J207" s="221"/>
      <c r="K207" s="202"/>
      <c r="L207" s="222">
        <f t="shared" si="73"/>
        <v>0</v>
      </c>
      <c r="M207" s="226" t="e">
        <f t="shared" si="74"/>
        <v>#DIV/0!</v>
      </c>
      <c r="N207" s="226" t="e">
        <f t="shared" si="75"/>
        <v>#DIV/0!</v>
      </c>
      <c r="O207" s="226" t="e">
        <f t="shared" si="76"/>
        <v>#DIV/0!</v>
      </c>
      <c r="P207" s="204">
        <f t="shared" si="77"/>
        <v>0</v>
      </c>
      <c r="Q207" s="226" t="e">
        <f t="shared" si="78"/>
        <v>#DIV/0!</v>
      </c>
    </row>
    <row r="208" spans="1:17" ht="13.2">
      <c r="A208" s="212"/>
      <c r="B208" s="217" t="str">
        <f>[17]VALORIZACION!B122</f>
        <v xml:space="preserve">                POSTES DE SOPORTE DE SEÑALES</v>
      </c>
      <c r="C208" s="223"/>
      <c r="D208" s="259">
        <f>+[17]RESUMEN!G48</f>
        <v>4043650.6699999995</v>
      </c>
      <c r="E208" s="223"/>
      <c r="F208" s="223"/>
      <c r="G208" s="502"/>
      <c r="H208" s="502"/>
      <c r="I208" s="502"/>
      <c r="J208" s="205"/>
      <c r="K208" s="225" t="str">
        <f>IF(L208=D208,"ok","falso")</f>
        <v>falso</v>
      </c>
      <c r="L208" s="222">
        <f t="shared" si="73"/>
        <v>0</v>
      </c>
      <c r="M208" s="226">
        <f t="shared" si="74"/>
        <v>0</v>
      </c>
      <c r="N208" s="226">
        <f t="shared" si="75"/>
        <v>0</v>
      </c>
      <c r="O208" s="226">
        <f t="shared" si="76"/>
        <v>0</v>
      </c>
      <c r="P208" s="204">
        <f t="shared" si="77"/>
        <v>0</v>
      </c>
      <c r="Q208" s="226">
        <f t="shared" si="78"/>
        <v>0</v>
      </c>
    </row>
    <row r="209" spans="1:17" ht="5.25" customHeight="1">
      <c r="A209" s="216"/>
      <c r="B209" s="217"/>
      <c r="C209" s="223"/>
      <c r="D209" s="218"/>
      <c r="E209" s="258"/>
      <c r="F209" s="219"/>
      <c r="G209" s="220"/>
      <c r="H209" s="220"/>
      <c r="I209" s="220"/>
      <c r="J209" s="221"/>
      <c r="K209" s="202"/>
      <c r="L209" s="222">
        <f t="shared" si="73"/>
        <v>0</v>
      </c>
      <c r="M209" s="226" t="e">
        <f t="shared" si="74"/>
        <v>#DIV/0!</v>
      </c>
      <c r="N209" s="226" t="e">
        <f t="shared" si="75"/>
        <v>#DIV/0!</v>
      </c>
      <c r="O209" s="226" t="e">
        <f t="shared" si="76"/>
        <v>#DIV/0!</v>
      </c>
      <c r="P209" s="204">
        <f t="shared" si="77"/>
        <v>0</v>
      </c>
      <c r="Q209" s="226" t="e">
        <f t="shared" si="78"/>
        <v>#DIV/0!</v>
      </c>
    </row>
    <row r="210" spans="1:17" ht="13.2">
      <c r="A210" s="212"/>
      <c r="B210" s="217" t="str">
        <f>[17]VALORIZACION!B123</f>
        <v xml:space="preserve">                POSTES DE KILOMETRAJE</v>
      </c>
      <c r="C210" s="223"/>
      <c r="D210" s="259">
        <f>+[17]RESUMEN!G50</f>
        <v>0</v>
      </c>
      <c r="E210" s="223"/>
      <c r="F210" s="223"/>
      <c r="G210" s="502"/>
      <c r="H210" s="502"/>
      <c r="I210" s="502"/>
      <c r="J210" s="205"/>
      <c r="K210" s="225" t="str">
        <f>IF(L210=D210,"ok","falso")</f>
        <v>ok</v>
      </c>
      <c r="L210" s="222">
        <f t="shared" si="73"/>
        <v>0</v>
      </c>
      <c r="M210" s="226" t="e">
        <f t="shared" si="74"/>
        <v>#DIV/0!</v>
      </c>
      <c r="N210" s="226" t="e">
        <f t="shared" si="75"/>
        <v>#DIV/0!</v>
      </c>
      <c r="O210" s="226" t="e">
        <f t="shared" si="76"/>
        <v>#DIV/0!</v>
      </c>
      <c r="P210" s="204">
        <f t="shared" si="77"/>
        <v>0</v>
      </c>
      <c r="Q210" s="226" t="e">
        <f t="shared" si="78"/>
        <v>#DIV/0!</v>
      </c>
    </row>
    <row r="211" spans="1:17" ht="5.25" customHeight="1">
      <c r="A211" s="216"/>
      <c r="B211" s="217"/>
      <c r="C211" s="223"/>
      <c r="D211" s="218"/>
      <c r="E211" s="258"/>
      <c r="F211" s="219"/>
      <c r="G211" s="220"/>
      <c r="H211" s="220"/>
      <c r="I211" s="220"/>
      <c r="J211" s="221"/>
      <c r="K211" s="202"/>
      <c r="L211" s="222"/>
      <c r="M211" s="226"/>
      <c r="N211" s="226"/>
      <c r="O211" s="226"/>
      <c r="Q211" s="226"/>
    </row>
    <row r="212" spans="1:17" ht="13.2">
      <c r="A212" s="215"/>
      <c r="B212" s="228" t="str">
        <f>[17]VALORIZACION!B124</f>
        <v xml:space="preserve">            FLETE TERRESTRE</v>
      </c>
      <c r="C212" s="223"/>
      <c r="D212" s="259"/>
      <c r="E212" s="223"/>
      <c r="F212" s="223"/>
      <c r="G212" s="224"/>
      <c r="H212" s="224"/>
      <c r="I212" s="224"/>
      <c r="J212" s="205"/>
      <c r="K212" s="225"/>
      <c r="L212" s="222"/>
      <c r="M212" s="226"/>
      <c r="N212" s="226"/>
      <c r="O212" s="226"/>
      <c r="Q212" s="226"/>
    </row>
    <row r="213" spans="1:17" ht="5.25" customHeight="1">
      <c r="A213" s="216"/>
      <c r="B213" s="217"/>
      <c r="C213" s="223"/>
      <c r="D213" s="218"/>
      <c r="E213" s="258"/>
      <c r="F213" s="219"/>
      <c r="G213" s="220"/>
      <c r="H213" s="220"/>
      <c r="I213" s="220"/>
      <c r="J213" s="221"/>
      <c r="K213" s="202"/>
      <c r="L213" s="222">
        <f>SUM(E213:G213)</f>
        <v>0</v>
      </c>
      <c r="M213" s="226" t="e">
        <f>E213/D213</f>
        <v>#DIV/0!</v>
      </c>
      <c r="N213" s="226" t="e">
        <f>F213/D213</f>
        <v>#DIV/0!</v>
      </c>
      <c r="O213" s="226" t="e">
        <f>M213+N213</f>
        <v>#DIV/0!</v>
      </c>
      <c r="P213" s="204">
        <f>E213+F213+G213</f>
        <v>0</v>
      </c>
      <c r="Q213" s="226" t="e">
        <f>P213/D213</f>
        <v>#DIV/0!</v>
      </c>
    </row>
    <row r="214" spans="1:17" ht="13.2">
      <c r="A214" s="212"/>
      <c r="B214" s="217" t="str">
        <f>[17]VALORIZACION!B125</f>
        <v xml:space="preserve">                FLETE TERRESTRE</v>
      </c>
      <c r="C214" s="223"/>
      <c r="D214" s="259">
        <f>+[17]RESUMEN!G52</f>
        <v>0</v>
      </c>
      <c r="E214" s="223"/>
      <c r="F214" s="223"/>
      <c r="G214" s="224"/>
      <c r="H214" s="224"/>
      <c r="I214" s="224"/>
      <c r="J214" s="205"/>
      <c r="K214" s="225" t="str">
        <f>IF(L214=D214,"ok","falso")</f>
        <v>ok</v>
      </c>
      <c r="L214" s="222">
        <f>SUM(E214:G214)</f>
        <v>0</v>
      </c>
      <c r="M214" s="226" t="e">
        <f>E214/D214</f>
        <v>#DIV/0!</v>
      </c>
      <c r="N214" s="226" t="e">
        <f>F214/D214</f>
        <v>#DIV/0!</v>
      </c>
      <c r="O214" s="226" t="e">
        <f>M214+N214</f>
        <v>#DIV/0!</v>
      </c>
      <c r="P214" s="204">
        <f>E214+F214+G214</f>
        <v>0</v>
      </c>
      <c r="Q214" s="226" t="e">
        <f>P214/D214</f>
        <v>#DIV/0!</v>
      </c>
    </row>
    <row r="215" spans="1:17" ht="5.25" customHeight="1">
      <c r="A215" s="216"/>
      <c r="B215" s="217"/>
      <c r="C215" s="223"/>
      <c r="D215" s="218"/>
      <c r="E215" s="258"/>
      <c r="F215" s="219"/>
      <c r="G215" s="220"/>
      <c r="H215" s="220"/>
      <c r="I215" s="220"/>
      <c r="J215" s="221"/>
      <c r="K215" s="202"/>
      <c r="L215" s="222"/>
      <c r="M215" s="226"/>
      <c r="N215" s="226"/>
      <c r="O215" s="226"/>
      <c r="Q215" s="226"/>
    </row>
    <row r="216" spans="1:17" ht="13.2">
      <c r="A216" s="215"/>
      <c r="B216" s="228" t="str">
        <f>[17]VALORIZACION!B126</f>
        <v xml:space="preserve">            MITIGACIÓN DE IMPACTO AMBIENTAL</v>
      </c>
      <c r="C216" s="223"/>
      <c r="D216" s="259"/>
      <c r="E216" s="223"/>
      <c r="F216" s="223"/>
      <c r="G216" s="224"/>
      <c r="H216" s="224"/>
      <c r="I216" s="224"/>
      <c r="J216" s="205"/>
      <c r="K216" s="225"/>
      <c r="L216" s="222"/>
      <c r="M216" s="226"/>
      <c r="N216" s="226"/>
      <c r="O216" s="226"/>
      <c r="Q216" s="226"/>
    </row>
    <row r="217" spans="1:17" ht="13.2">
      <c r="A217" s="215"/>
      <c r="B217" s="229" t="str">
        <f>[17]VALORIZACION!B127</f>
        <v xml:space="preserve">        PROGRAMA DE CIERRE DE OBRA, PROTECCION AMBIENTAL.</v>
      </c>
      <c r="C217" s="223"/>
      <c r="D217" s="259"/>
      <c r="E217" s="223"/>
      <c r="F217" s="223"/>
      <c r="G217" s="224"/>
      <c r="H217" s="224"/>
      <c r="I217" s="224"/>
      <c r="J217" s="205"/>
      <c r="K217" s="225"/>
      <c r="L217" s="222"/>
      <c r="M217" s="226"/>
      <c r="N217" s="226"/>
      <c r="O217" s="226"/>
      <c r="Q217" s="226"/>
    </row>
    <row r="218" spans="1:17" ht="5.25" customHeight="1">
      <c r="A218" s="216"/>
      <c r="B218" s="217"/>
      <c r="C218" s="223"/>
      <c r="D218" s="218"/>
      <c r="E218" s="258"/>
      <c r="F218" s="219"/>
      <c r="G218" s="220"/>
      <c r="H218" s="220"/>
      <c r="I218" s="220"/>
      <c r="J218" s="221"/>
      <c r="K218" s="202"/>
      <c r="L218" s="222">
        <f t="shared" ref="L218:L229" si="79">SUM(E218:G218)</f>
        <v>0</v>
      </c>
      <c r="M218" s="226" t="e">
        <f t="shared" ref="M218:M229" si="80">E218/D218</f>
        <v>#DIV/0!</v>
      </c>
      <c r="N218" s="226" t="e">
        <f t="shared" ref="N218:N229" si="81">F218/D218</f>
        <v>#DIV/0!</v>
      </c>
      <c r="O218" s="226" t="e">
        <f t="shared" ref="O218:O229" si="82">M218+N218</f>
        <v>#DIV/0!</v>
      </c>
      <c r="P218" s="204">
        <f t="shared" ref="P218:P229" si="83">E218+F218+G218</f>
        <v>0</v>
      </c>
      <c r="Q218" s="226" t="e">
        <f t="shared" ref="Q218:Q229" si="84">P218/D218</f>
        <v>#DIV/0!</v>
      </c>
    </row>
    <row r="219" spans="1:17" ht="13.2">
      <c r="A219" s="212"/>
      <c r="B219" s="217" t="str">
        <f>[17]VALORIZACION!B128</f>
        <v xml:space="preserve"> RETIRO Y ALMACENAMIENTO DE TOP SOIL</v>
      </c>
      <c r="C219" s="223"/>
      <c r="D219" s="259">
        <f>+[17]RESUMEN!G54</f>
        <v>0</v>
      </c>
      <c r="E219" s="223"/>
      <c r="F219" s="223"/>
      <c r="G219" s="502"/>
      <c r="H219" s="502"/>
      <c r="I219" s="502"/>
      <c r="J219" s="205"/>
      <c r="K219" s="225" t="str">
        <f>IF(L219=D219,"ok","falso")</f>
        <v>ok</v>
      </c>
      <c r="L219" s="222">
        <f t="shared" si="79"/>
        <v>0</v>
      </c>
      <c r="M219" s="226" t="e">
        <f t="shared" si="80"/>
        <v>#DIV/0!</v>
      </c>
      <c r="N219" s="226" t="e">
        <f t="shared" si="81"/>
        <v>#DIV/0!</v>
      </c>
      <c r="O219" s="226" t="e">
        <f t="shared" si="82"/>
        <v>#DIV/0!</v>
      </c>
      <c r="P219" s="204">
        <f t="shared" si="83"/>
        <v>0</v>
      </c>
      <c r="Q219" s="226" t="e">
        <f t="shared" si="84"/>
        <v>#DIV/0!</v>
      </c>
    </row>
    <row r="220" spans="1:17" ht="5.25" customHeight="1">
      <c r="A220" s="216"/>
      <c r="B220" s="217"/>
      <c r="C220" s="223"/>
      <c r="D220" s="218"/>
      <c r="E220" s="258"/>
      <c r="F220" s="219"/>
      <c r="G220" s="220"/>
      <c r="H220" s="220"/>
      <c r="I220" s="220"/>
      <c r="J220" s="221"/>
      <c r="K220" s="202"/>
      <c r="L220" s="222">
        <f t="shared" si="79"/>
        <v>0</v>
      </c>
      <c r="M220" s="226" t="e">
        <f t="shared" si="80"/>
        <v>#DIV/0!</v>
      </c>
      <c r="N220" s="226" t="e">
        <f t="shared" si="81"/>
        <v>#DIV/0!</v>
      </c>
      <c r="O220" s="226" t="e">
        <f t="shared" si="82"/>
        <v>#DIV/0!</v>
      </c>
      <c r="P220" s="204">
        <f t="shared" si="83"/>
        <v>0</v>
      </c>
      <c r="Q220" s="226" t="e">
        <f t="shared" si="84"/>
        <v>#DIV/0!</v>
      </c>
    </row>
    <row r="221" spans="1:17" ht="13.2">
      <c r="A221" s="212"/>
      <c r="B221" s="217" t="str">
        <f>[17]VALORIZACION!B129</f>
        <v xml:space="preserve"> REPOSICIÓN DE TOP SOIL</v>
      </c>
      <c r="C221" s="223"/>
      <c r="D221" s="259">
        <f>+[17]RESUMEN!G56</f>
        <v>0</v>
      </c>
      <c r="E221" s="223"/>
      <c r="F221" s="223"/>
      <c r="G221" s="502"/>
      <c r="H221" s="502"/>
      <c r="I221" s="502"/>
      <c r="J221" s="205"/>
      <c r="K221" s="225" t="str">
        <f>IF(L221=D221,"ok","falso")</f>
        <v>ok</v>
      </c>
      <c r="L221" s="222">
        <f t="shared" si="79"/>
        <v>0</v>
      </c>
      <c r="M221" s="226" t="e">
        <f t="shared" si="80"/>
        <v>#DIV/0!</v>
      </c>
      <c r="N221" s="226" t="e">
        <f t="shared" si="81"/>
        <v>#DIV/0!</v>
      </c>
      <c r="O221" s="226" t="e">
        <f t="shared" si="82"/>
        <v>#DIV/0!</v>
      </c>
      <c r="P221" s="204">
        <f t="shared" si="83"/>
        <v>0</v>
      </c>
      <c r="Q221" s="226" t="e">
        <f t="shared" si="84"/>
        <v>#DIV/0!</v>
      </c>
    </row>
    <row r="222" spans="1:17" ht="5.25" customHeight="1">
      <c r="A222" s="216"/>
      <c r="B222" s="217"/>
      <c r="C222" s="223"/>
      <c r="D222" s="218"/>
      <c r="E222" s="258"/>
      <c r="F222" s="219"/>
      <c r="G222" s="220"/>
      <c r="H222" s="220"/>
      <c r="I222" s="220"/>
      <c r="J222" s="221"/>
      <c r="K222" s="202"/>
      <c r="L222" s="222">
        <f t="shared" si="79"/>
        <v>0</v>
      </c>
      <c r="M222" s="226" t="e">
        <f t="shared" si="80"/>
        <v>#DIV/0!</v>
      </c>
      <c r="N222" s="226" t="e">
        <f t="shared" si="81"/>
        <v>#DIV/0!</v>
      </c>
      <c r="O222" s="226" t="e">
        <f t="shared" si="82"/>
        <v>#DIV/0!</v>
      </c>
      <c r="P222" s="204">
        <f t="shared" si="83"/>
        <v>0</v>
      </c>
      <c r="Q222" s="226" t="e">
        <f t="shared" si="84"/>
        <v>#DIV/0!</v>
      </c>
    </row>
    <row r="223" spans="1:17" ht="13.2">
      <c r="A223" s="212"/>
      <c r="B223" s="217" t="str">
        <f>[17]VALORIZACION!B130</f>
        <v>REVEGETACIÓN</v>
      </c>
      <c r="C223" s="223"/>
      <c r="D223" s="259">
        <f>+[17]RESUMEN!G58</f>
        <v>0</v>
      </c>
      <c r="E223" s="223"/>
      <c r="F223" s="223"/>
      <c r="G223" s="502"/>
      <c r="H223" s="502"/>
      <c r="I223" s="502"/>
      <c r="J223" s="205"/>
      <c r="K223" s="225" t="str">
        <f>IF(L223=D223,"ok","falso")</f>
        <v>ok</v>
      </c>
      <c r="L223" s="222">
        <f t="shared" si="79"/>
        <v>0</v>
      </c>
      <c r="M223" s="226" t="e">
        <f t="shared" si="80"/>
        <v>#DIV/0!</v>
      </c>
      <c r="N223" s="226" t="e">
        <f t="shared" si="81"/>
        <v>#DIV/0!</v>
      </c>
      <c r="O223" s="226" t="e">
        <f t="shared" si="82"/>
        <v>#DIV/0!</v>
      </c>
      <c r="P223" s="204">
        <f t="shared" si="83"/>
        <v>0</v>
      </c>
      <c r="Q223" s="226" t="e">
        <f t="shared" si="84"/>
        <v>#DIV/0!</v>
      </c>
    </row>
    <row r="224" spans="1:17" ht="5.25" customHeight="1">
      <c r="A224" s="216"/>
      <c r="B224" s="217"/>
      <c r="C224" s="223"/>
      <c r="D224" s="218"/>
      <c r="E224" s="258"/>
      <c r="F224" s="219"/>
      <c r="G224" s="220"/>
      <c r="H224" s="220"/>
      <c r="I224" s="220"/>
      <c r="J224" s="221"/>
      <c r="K224" s="202"/>
      <c r="L224" s="222">
        <f t="shared" si="79"/>
        <v>0</v>
      </c>
      <c r="M224" s="226" t="e">
        <f t="shared" si="80"/>
        <v>#DIV/0!</v>
      </c>
      <c r="N224" s="226" t="e">
        <f t="shared" si="81"/>
        <v>#DIV/0!</v>
      </c>
      <c r="O224" s="226" t="e">
        <f t="shared" si="82"/>
        <v>#DIV/0!</v>
      </c>
      <c r="P224" s="204">
        <f t="shared" si="83"/>
        <v>0</v>
      </c>
      <c r="Q224" s="226" t="e">
        <f t="shared" si="84"/>
        <v>#DIV/0!</v>
      </c>
    </row>
    <row r="225" spans="1:17" ht="13.2">
      <c r="A225" s="212"/>
      <c r="B225" s="217" t="str">
        <f>[17]VALORIZACION!B131</f>
        <v>READECUACIÓN DE DÉPOSITO DE MATERIALES EXCEDENTES</v>
      </c>
      <c r="C225" s="223"/>
      <c r="D225" s="259">
        <f>+[17]RESUMEN!G60</f>
        <v>0</v>
      </c>
      <c r="E225" s="223"/>
      <c r="F225" s="223"/>
      <c r="G225" s="502"/>
      <c r="H225" s="502"/>
      <c r="I225" s="502"/>
      <c r="J225" s="205"/>
      <c r="K225" s="225" t="str">
        <f>IF(L225=D225,"ok","falso")</f>
        <v>ok</v>
      </c>
      <c r="L225" s="222">
        <f t="shared" si="79"/>
        <v>0</v>
      </c>
      <c r="M225" s="226" t="e">
        <f t="shared" si="80"/>
        <v>#DIV/0!</v>
      </c>
      <c r="N225" s="226" t="e">
        <f t="shared" si="81"/>
        <v>#DIV/0!</v>
      </c>
      <c r="O225" s="226" t="e">
        <f t="shared" si="82"/>
        <v>#DIV/0!</v>
      </c>
      <c r="P225" s="204">
        <f t="shared" si="83"/>
        <v>0</v>
      </c>
      <c r="Q225" s="226" t="e">
        <f t="shared" si="84"/>
        <v>#DIV/0!</v>
      </c>
    </row>
    <row r="226" spans="1:17" ht="5.25" customHeight="1">
      <c r="A226" s="216"/>
      <c r="B226" s="217"/>
      <c r="C226" s="223"/>
      <c r="D226" s="218"/>
      <c r="E226" s="258"/>
      <c r="F226" s="219"/>
      <c r="G226" s="220"/>
      <c r="H226" s="220"/>
      <c r="I226" s="220"/>
      <c r="J226" s="221"/>
      <c r="K226" s="202"/>
      <c r="L226" s="222">
        <f t="shared" si="79"/>
        <v>0</v>
      </c>
      <c r="M226" s="226" t="e">
        <f t="shared" si="80"/>
        <v>#DIV/0!</v>
      </c>
      <c r="N226" s="226" t="e">
        <f t="shared" si="81"/>
        <v>#DIV/0!</v>
      </c>
      <c r="O226" s="226" t="e">
        <f t="shared" si="82"/>
        <v>#DIV/0!</v>
      </c>
      <c r="P226" s="204">
        <f t="shared" si="83"/>
        <v>0</v>
      </c>
      <c r="Q226" s="226" t="e">
        <f t="shared" si="84"/>
        <v>#DIV/0!</v>
      </c>
    </row>
    <row r="227" spans="1:17" ht="13.2">
      <c r="A227" s="212"/>
      <c r="B227" s="217" t="str">
        <f>[17]VALORIZACION!B132</f>
        <v>READECUACIÓN AMBIENTAL DE CAMPAMENTOS</v>
      </c>
      <c r="C227" s="223"/>
      <c r="D227" s="259">
        <f>+[17]RESUMEN!G62</f>
        <v>0</v>
      </c>
      <c r="E227" s="223"/>
      <c r="F227" s="223"/>
      <c r="G227" s="502"/>
      <c r="H227" s="502"/>
      <c r="I227" s="502"/>
      <c r="J227" s="205"/>
      <c r="K227" s="225" t="str">
        <f>IF(L227=D227,"ok","falso")</f>
        <v>ok</v>
      </c>
      <c r="L227" s="222">
        <f t="shared" si="79"/>
        <v>0</v>
      </c>
      <c r="M227" s="226" t="e">
        <f t="shared" si="80"/>
        <v>#DIV/0!</v>
      </c>
      <c r="N227" s="226" t="e">
        <f t="shared" si="81"/>
        <v>#DIV/0!</v>
      </c>
      <c r="O227" s="226" t="e">
        <f t="shared" si="82"/>
        <v>#DIV/0!</v>
      </c>
      <c r="P227" s="204">
        <f t="shared" si="83"/>
        <v>0</v>
      </c>
      <c r="Q227" s="226" t="e">
        <f t="shared" si="84"/>
        <v>#DIV/0!</v>
      </c>
    </row>
    <row r="228" spans="1:17" ht="5.25" customHeight="1">
      <c r="A228" s="216"/>
      <c r="B228" s="217"/>
      <c r="C228" s="223"/>
      <c r="D228" s="218"/>
      <c r="E228" s="258"/>
      <c r="F228" s="219"/>
      <c r="G228" s="220"/>
      <c r="H228" s="220"/>
      <c r="I228" s="220"/>
      <c r="J228" s="221"/>
      <c r="K228" s="202"/>
      <c r="L228" s="222">
        <f t="shared" si="79"/>
        <v>0</v>
      </c>
      <c r="M228" s="226" t="e">
        <f t="shared" si="80"/>
        <v>#DIV/0!</v>
      </c>
      <c r="N228" s="226" t="e">
        <f t="shared" si="81"/>
        <v>#DIV/0!</v>
      </c>
      <c r="O228" s="226" t="e">
        <f t="shared" si="82"/>
        <v>#DIV/0!</v>
      </c>
      <c r="P228" s="204">
        <f t="shared" si="83"/>
        <v>0</v>
      </c>
      <c r="Q228" s="226" t="e">
        <f t="shared" si="84"/>
        <v>#DIV/0!</v>
      </c>
    </row>
    <row r="229" spans="1:17" ht="13.2">
      <c r="A229" s="212"/>
      <c r="B229" s="217" t="str">
        <f>[17]VALORIZACION!B133</f>
        <v>READECUACIÓN AMBIENTAL DE ALMACENES Y PATIO DE MÁQUINAS</v>
      </c>
      <c r="C229" s="223"/>
      <c r="D229" s="259">
        <f>+[17]RESUMEN!G64</f>
        <v>0</v>
      </c>
      <c r="E229" s="223"/>
      <c r="F229" s="223"/>
      <c r="G229" s="502"/>
      <c r="H229" s="502"/>
      <c r="I229" s="502"/>
      <c r="J229" s="205"/>
      <c r="K229" s="225" t="str">
        <f>IF(L229=D229,"ok","falso")</f>
        <v>ok</v>
      </c>
      <c r="L229" s="222">
        <f t="shared" si="79"/>
        <v>0</v>
      </c>
      <c r="M229" s="226" t="e">
        <f t="shared" si="80"/>
        <v>#DIV/0!</v>
      </c>
      <c r="N229" s="226" t="e">
        <f t="shared" si="81"/>
        <v>#DIV/0!</v>
      </c>
      <c r="O229" s="226" t="e">
        <f t="shared" si="82"/>
        <v>#DIV/0!</v>
      </c>
      <c r="P229" s="204">
        <f t="shared" si="83"/>
        <v>0</v>
      </c>
      <c r="Q229" s="226" t="e">
        <f t="shared" si="84"/>
        <v>#DIV/0!</v>
      </c>
    </row>
    <row r="230" spans="1:17" ht="13.2">
      <c r="A230" s="215"/>
      <c r="B230" s="229" t="str">
        <f>[17]VALORIZACION!B134</f>
        <v xml:space="preserve">                PROGRAMA DE MONITOREO AMBIENTAL.</v>
      </c>
      <c r="C230" s="223"/>
      <c r="D230" s="259"/>
      <c r="E230" s="223"/>
      <c r="F230" s="223"/>
      <c r="G230" s="224"/>
      <c r="H230" s="224"/>
      <c r="I230" s="224"/>
      <c r="J230" s="205"/>
      <c r="K230" s="225"/>
      <c r="L230" s="222"/>
      <c r="M230" s="226"/>
      <c r="N230" s="226"/>
      <c r="O230" s="226"/>
      <c r="Q230" s="226"/>
    </row>
    <row r="231" spans="1:17" ht="5.25" customHeight="1">
      <c r="A231" s="216"/>
      <c r="B231" s="217"/>
      <c r="C231" s="223"/>
      <c r="D231" s="218"/>
      <c r="E231" s="258"/>
      <c r="F231" s="219"/>
      <c r="G231" s="220"/>
      <c r="H231" s="220"/>
      <c r="I231" s="220"/>
      <c r="J231" s="221"/>
      <c r="K231" s="202"/>
      <c r="L231" s="222">
        <f t="shared" ref="L231:L238" si="85">SUM(E231:G231)</f>
        <v>0</v>
      </c>
      <c r="M231" s="226" t="e">
        <f t="shared" ref="M231:M238" si="86">E231/D231</f>
        <v>#DIV/0!</v>
      </c>
      <c r="N231" s="226" t="e">
        <f t="shared" ref="N231:N238" si="87">F231/D231</f>
        <v>#DIV/0!</v>
      </c>
      <c r="O231" s="226" t="e">
        <f t="shared" ref="O231:O238" si="88">M231+N231</f>
        <v>#DIV/0!</v>
      </c>
      <c r="P231" s="204">
        <f t="shared" ref="P231:P238" si="89">E231+F231+G231</f>
        <v>0</v>
      </c>
      <c r="Q231" s="226" t="e">
        <f t="shared" ref="Q231:Q238" si="90">P231/D231</f>
        <v>#DIV/0!</v>
      </c>
    </row>
    <row r="232" spans="1:17" ht="13.2">
      <c r="A232" s="212"/>
      <c r="B232" s="217" t="str">
        <f>[17]VALORIZACION!B139</f>
        <v xml:space="preserve"> PROGRAMA DE MEDIDAS PREVENTIVAS, MITIGADORAS Y COR.</v>
      </c>
      <c r="C232" s="223"/>
      <c r="D232" s="259">
        <f>+[17]RESUMEN!G66</f>
        <v>0</v>
      </c>
      <c r="E232" s="223"/>
      <c r="F232" s="260"/>
      <c r="G232" s="502"/>
      <c r="H232" s="502"/>
      <c r="I232" s="502"/>
      <c r="J232" s="205"/>
      <c r="K232" s="225" t="str">
        <f>IF(L232=D232,"ok","falso")</f>
        <v>ok</v>
      </c>
      <c r="L232" s="222">
        <f t="shared" si="85"/>
        <v>0</v>
      </c>
      <c r="M232" s="226" t="e">
        <f t="shared" si="86"/>
        <v>#DIV/0!</v>
      </c>
      <c r="N232" s="226" t="e">
        <f t="shared" si="87"/>
        <v>#DIV/0!</v>
      </c>
      <c r="O232" s="226" t="e">
        <f t="shared" si="88"/>
        <v>#DIV/0!</v>
      </c>
      <c r="P232" s="204">
        <f t="shared" si="89"/>
        <v>0</v>
      </c>
      <c r="Q232" s="226" t="e">
        <f t="shared" si="90"/>
        <v>#DIV/0!</v>
      </c>
    </row>
    <row r="233" spans="1:17" ht="5.25" customHeight="1">
      <c r="A233" s="216"/>
      <c r="B233" s="217"/>
      <c r="C233" s="223"/>
      <c r="D233" s="218"/>
      <c r="E233" s="258"/>
      <c r="F233" s="219"/>
      <c r="G233" s="220"/>
      <c r="H233" s="220"/>
      <c r="I233" s="220"/>
      <c r="J233" s="221"/>
      <c r="K233" s="202"/>
      <c r="L233" s="222">
        <f t="shared" si="85"/>
        <v>0</v>
      </c>
      <c r="M233" s="226" t="e">
        <f t="shared" si="86"/>
        <v>#DIV/0!</v>
      </c>
      <c r="N233" s="226" t="e">
        <f t="shared" si="87"/>
        <v>#DIV/0!</v>
      </c>
      <c r="O233" s="226" t="e">
        <f t="shared" si="88"/>
        <v>#DIV/0!</v>
      </c>
      <c r="P233" s="204">
        <f t="shared" si="89"/>
        <v>0</v>
      </c>
      <c r="Q233" s="226" t="e">
        <f t="shared" si="90"/>
        <v>#DIV/0!</v>
      </c>
    </row>
    <row r="234" spans="1:17" ht="13.2">
      <c r="A234" s="212"/>
      <c r="B234" s="217" t="str">
        <f>[17]VALORIZACION!B140</f>
        <v xml:space="preserve"> PROGRAMA DE CAPACITACIÓN AMBIENTAL Y SEGURIDAD</v>
      </c>
      <c r="C234" s="223"/>
      <c r="D234" s="259">
        <f>+[17]RESUMEN!G68</f>
        <v>0</v>
      </c>
      <c r="E234" s="223"/>
      <c r="F234" s="260"/>
      <c r="G234" s="502"/>
      <c r="H234" s="502"/>
      <c r="I234" s="502"/>
      <c r="J234" s="205"/>
      <c r="K234" s="225" t="str">
        <f>IF(L234=D234,"ok","falso")</f>
        <v>ok</v>
      </c>
      <c r="L234" s="222">
        <f t="shared" si="85"/>
        <v>0</v>
      </c>
      <c r="M234" s="226" t="e">
        <f t="shared" si="86"/>
        <v>#DIV/0!</v>
      </c>
      <c r="N234" s="226" t="e">
        <f t="shared" si="87"/>
        <v>#DIV/0!</v>
      </c>
      <c r="O234" s="226" t="e">
        <f t="shared" si="88"/>
        <v>#DIV/0!</v>
      </c>
      <c r="P234" s="204">
        <f t="shared" si="89"/>
        <v>0</v>
      </c>
      <c r="Q234" s="226" t="e">
        <f t="shared" si="90"/>
        <v>#DIV/0!</v>
      </c>
    </row>
    <row r="235" spans="1:17" ht="5.25" customHeight="1">
      <c r="A235" s="216"/>
      <c r="B235" s="217"/>
      <c r="C235" s="223"/>
      <c r="D235" s="218"/>
      <c r="E235" s="258"/>
      <c r="F235" s="219"/>
      <c r="G235" s="220"/>
      <c r="H235" s="220"/>
      <c r="I235" s="220"/>
      <c r="J235" s="221"/>
      <c r="K235" s="202"/>
      <c r="L235" s="222">
        <f t="shared" si="85"/>
        <v>0</v>
      </c>
      <c r="M235" s="226" t="e">
        <f t="shared" si="86"/>
        <v>#DIV/0!</v>
      </c>
      <c r="N235" s="226" t="e">
        <f t="shared" si="87"/>
        <v>#DIV/0!</v>
      </c>
      <c r="O235" s="226" t="e">
        <f t="shared" si="88"/>
        <v>#DIV/0!</v>
      </c>
      <c r="P235" s="204">
        <f t="shared" si="89"/>
        <v>0</v>
      </c>
      <c r="Q235" s="226" t="e">
        <f t="shared" si="90"/>
        <v>#DIV/0!</v>
      </c>
    </row>
    <row r="236" spans="1:17" ht="13.2">
      <c r="A236" s="212"/>
      <c r="B236" s="217" t="str">
        <f>[17]VALORIZACION!B141</f>
        <v>PROGRAMA DE EDUCACIÓN AMBIENTAL Y SEGURIDAD VIAL</v>
      </c>
      <c r="C236" s="223"/>
      <c r="D236" s="259">
        <f>+[17]RESUMEN!G70</f>
        <v>0</v>
      </c>
      <c r="E236" s="223"/>
      <c r="F236" s="260"/>
      <c r="G236" s="502"/>
      <c r="H236" s="502"/>
      <c r="I236" s="502"/>
      <c r="J236" s="205"/>
      <c r="K236" s="225" t="str">
        <f>IF(L236=D236,"ok","falso")</f>
        <v>ok</v>
      </c>
      <c r="L236" s="222">
        <f t="shared" si="85"/>
        <v>0</v>
      </c>
      <c r="M236" s="226" t="e">
        <f t="shared" si="86"/>
        <v>#DIV/0!</v>
      </c>
      <c r="N236" s="226" t="e">
        <f t="shared" si="87"/>
        <v>#DIV/0!</v>
      </c>
      <c r="O236" s="226" t="e">
        <f t="shared" si="88"/>
        <v>#DIV/0!</v>
      </c>
      <c r="P236" s="204">
        <f t="shared" si="89"/>
        <v>0</v>
      </c>
      <c r="Q236" s="226" t="e">
        <f t="shared" si="90"/>
        <v>#DIV/0!</v>
      </c>
    </row>
    <row r="237" spans="1:17" ht="5.25" customHeight="1">
      <c r="A237" s="216"/>
      <c r="B237" s="217"/>
      <c r="C237" s="223"/>
      <c r="D237" s="218"/>
      <c r="E237" s="258"/>
      <c r="F237" s="219"/>
      <c r="G237" s="220"/>
      <c r="H237" s="220"/>
      <c r="I237" s="220"/>
      <c r="J237" s="221"/>
      <c r="K237" s="202"/>
      <c r="L237" s="222">
        <f t="shared" si="85"/>
        <v>0</v>
      </c>
      <c r="M237" s="226" t="e">
        <f t="shared" si="86"/>
        <v>#DIV/0!</v>
      </c>
      <c r="N237" s="226" t="e">
        <f t="shared" si="87"/>
        <v>#DIV/0!</v>
      </c>
      <c r="O237" s="226" t="e">
        <f t="shared" si="88"/>
        <v>#DIV/0!</v>
      </c>
      <c r="P237" s="204">
        <f t="shared" si="89"/>
        <v>0</v>
      </c>
      <c r="Q237" s="226" t="e">
        <f t="shared" si="90"/>
        <v>#DIV/0!</v>
      </c>
    </row>
    <row r="238" spans="1:17" ht="13.2">
      <c r="A238" s="212"/>
      <c r="B238" s="217" t="str">
        <f>[17]VALORIZACION!B142</f>
        <v>PROGRAMA DE PREVENCIÓN Y CONTINGENCIAS</v>
      </c>
      <c r="C238" s="223"/>
      <c r="D238" s="259">
        <f>+[17]RESUMEN!G72</f>
        <v>0</v>
      </c>
      <c r="E238" s="223"/>
      <c r="F238" s="260"/>
      <c r="G238" s="502"/>
      <c r="H238" s="502"/>
      <c r="I238" s="502"/>
      <c r="J238" s="205"/>
      <c r="K238" s="225" t="str">
        <f>IF(L238=D238,"ok","falso")</f>
        <v>ok</v>
      </c>
      <c r="L238" s="222">
        <f t="shared" si="85"/>
        <v>0</v>
      </c>
      <c r="M238" s="226" t="e">
        <f t="shared" si="86"/>
        <v>#DIV/0!</v>
      </c>
      <c r="N238" s="226" t="e">
        <f t="shared" si="87"/>
        <v>#DIV/0!</v>
      </c>
      <c r="O238" s="226" t="e">
        <f t="shared" si="88"/>
        <v>#DIV/0!</v>
      </c>
      <c r="P238" s="204">
        <f t="shared" si="89"/>
        <v>0</v>
      </c>
      <c r="Q238" s="226" t="e">
        <f t="shared" si="90"/>
        <v>#DIV/0!</v>
      </c>
    </row>
    <row r="239" spans="1:17" ht="13.2">
      <c r="A239" s="215"/>
      <c r="B239" s="228" t="str">
        <f>[17]VALORIZACION!B143</f>
        <v xml:space="preserve">            SEGURIDAD Y SALUD.</v>
      </c>
      <c r="C239" s="223"/>
      <c r="D239" s="259"/>
      <c r="E239" s="223"/>
      <c r="F239" s="223"/>
      <c r="G239" s="224"/>
      <c r="H239" s="224"/>
      <c r="I239" s="224"/>
      <c r="J239" s="205"/>
      <c r="K239" s="225"/>
      <c r="L239" s="222"/>
      <c r="M239" s="226"/>
      <c r="N239" s="226"/>
      <c r="O239" s="226"/>
      <c r="Q239" s="226"/>
    </row>
    <row r="240" spans="1:17" ht="5.25" customHeight="1">
      <c r="A240" s="216"/>
      <c r="B240" s="217"/>
      <c r="C240" s="223"/>
      <c r="D240" s="218"/>
      <c r="E240" s="258"/>
      <c r="F240" s="219"/>
      <c r="G240" s="220"/>
      <c r="H240" s="220"/>
      <c r="I240" s="220"/>
      <c r="J240" s="221"/>
      <c r="K240" s="202"/>
      <c r="L240" s="222">
        <f t="shared" ref="L240:L245" si="91">SUM(E240:G240)</f>
        <v>0</v>
      </c>
      <c r="M240" s="226" t="e">
        <f t="shared" ref="M240:M245" si="92">E240/D240</f>
        <v>#DIV/0!</v>
      </c>
      <c r="N240" s="226" t="e">
        <f t="shared" ref="N240:N245" si="93">F240/D240</f>
        <v>#DIV/0!</v>
      </c>
      <c r="O240" s="226" t="e">
        <f t="shared" ref="O240:O245" si="94">M240+N240</f>
        <v>#DIV/0!</v>
      </c>
      <c r="P240" s="204">
        <f t="shared" ref="P240:P245" si="95">E240+F240+G240</f>
        <v>0</v>
      </c>
      <c r="Q240" s="226" t="e">
        <f t="shared" ref="Q240:Q245" si="96">P240/D240</f>
        <v>#DIV/0!</v>
      </c>
    </row>
    <row r="241" spans="1:17" ht="13.2">
      <c r="A241" s="212"/>
      <c r="B241" s="217" t="str">
        <f>[17]VALORIZACION!B144</f>
        <v xml:space="preserve">                EQUIPOS DE PROTECCIÓN INDIVIDUAL</v>
      </c>
      <c r="C241" s="223"/>
      <c r="D241" s="259">
        <f>+[17]RESUMEN!G74</f>
        <v>0</v>
      </c>
      <c r="E241" s="495"/>
      <c r="F241" s="495"/>
      <c r="G241" s="501"/>
      <c r="H241" s="501"/>
      <c r="I241" s="501"/>
      <c r="J241" s="205"/>
      <c r="K241" s="225" t="str">
        <f>IF(L241=D241,"ok","falso")</f>
        <v>ok</v>
      </c>
      <c r="L241" s="222">
        <f t="shared" si="91"/>
        <v>0</v>
      </c>
      <c r="M241" s="226" t="e">
        <f t="shared" si="92"/>
        <v>#DIV/0!</v>
      </c>
      <c r="N241" s="226" t="e">
        <f t="shared" si="93"/>
        <v>#DIV/0!</v>
      </c>
      <c r="O241" s="226" t="e">
        <f t="shared" si="94"/>
        <v>#DIV/0!</v>
      </c>
      <c r="P241" s="204">
        <f t="shared" si="95"/>
        <v>0</v>
      </c>
      <c r="Q241" s="226" t="e">
        <f t="shared" si="96"/>
        <v>#DIV/0!</v>
      </c>
    </row>
    <row r="242" spans="1:17" ht="5.25" customHeight="1">
      <c r="A242" s="216"/>
      <c r="B242" s="217"/>
      <c r="C242" s="223"/>
      <c r="D242" s="218"/>
      <c r="E242" s="258"/>
      <c r="F242" s="497"/>
      <c r="G242" s="503"/>
      <c r="H242" s="503"/>
      <c r="I242" s="503"/>
      <c r="J242" s="221"/>
      <c r="K242" s="202"/>
      <c r="L242" s="222">
        <f t="shared" si="91"/>
        <v>0</v>
      </c>
      <c r="M242" s="226" t="e">
        <f t="shared" si="92"/>
        <v>#DIV/0!</v>
      </c>
      <c r="N242" s="226" t="e">
        <f t="shared" si="93"/>
        <v>#DIV/0!</v>
      </c>
      <c r="O242" s="226" t="e">
        <f t="shared" si="94"/>
        <v>#DIV/0!</v>
      </c>
      <c r="P242" s="204">
        <f t="shared" si="95"/>
        <v>0</v>
      </c>
      <c r="Q242" s="226" t="e">
        <f t="shared" si="96"/>
        <v>#DIV/0!</v>
      </c>
    </row>
    <row r="243" spans="1:17" ht="13.2">
      <c r="A243" s="212"/>
      <c r="B243" s="217" t="str">
        <f>[17]VALORIZACION!B145</f>
        <v xml:space="preserve">                EQUIPOS DE PROTECCIÓN COLECTIVA</v>
      </c>
      <c r="C243" s="223"/>
      <c r="D243" s="259">
        <f>+[17]RESUMEN!G76</f>
        <v>0</v>
      </c>
      <c r="E243" s="495"/>
      <c r="F243" s="495"/>
      <c r="G243" s="501"/>
      <c r="H243" s="501"/>
      <c r="I243" s="501"/>
      <c r="J243" s="205"/>
      <c r="K243" s="225" t="str">
        <f>IF(L243=D243,"ok","falso")</f>
        <v>ok</v>
      </c>
      <c r="L243" s="222">
        <f t="shared" si="91"/>
        <v>0</v>
      </c>
      <c r="M243" s="226" t="e">
        <f t="shared" si="92"/>
        <v>#DIV/0!</v>
      </c>
      <c r="N243" s="226" t="e">
        <f t="shared" si="93"/>
        <v>#DIV/0!</v>
      </c>
      <c r="O243" s="226" t="e">
        <f t="shared" si="94"/>
        <v>#DIV/0!</v>
      </c>
      <c r="P243" s="204">
        <f t="shared" si="95"/>
        <v>0</v>
      </c>
      <c r="Q243" s="226" t="e">
        <f t="shared" si="96"/>
        <v>#DIV/0!</v>
      </c>
    </row>
    <row r="244" spans="1:17" ht="5.25" customHeight="1">
      <c r="A244" s="216"/>
      <c r="B244" s="217"/>
      <c r="C244" s="223"/>
      <c r="D244" s="218"/>
      <c r="E244" s="258"/>
      <c r="F244" s="497"/>
      <c r="G244" s="503"/>
      <c r="H244" s="503"/>
      <c r="I244" s="503"/>
      <c r="J244" s="221"/>
      <c r="K244" s="202"/>
      <c r="L244" s="222">
        <f t="shared" si="91"/>
        <v>0</v>
      </c>
      <c r="M244" s="226" t="e">
        <f t="shared" si="92"/>
        <v>#DIV/0!</v>
      </c>
      <c r="N244" s="226" t="e">
        <f t="shared" si="93"/>
        <v>#DIV/0!</v>
      </c>
      <c r="O244" s="226" t="e">
        <f t="shared" si="94"/>
        <v>#DIV/0!</v>
      </c>
      <c r="P244" s="204">
        <f t="shared" si="95"/>
        <v>0</v>
      </c>
      <c r="Q244" s="226" t="e">
        <f t="shared" si="96"/>
        <v>#DIV/0!</v>
      </c>
    </row>
    <row r="245" spans="1:17" ht="13.2">
      <c r="A245" s="212"/>
      <c r="B245" s="217" t="str">
        <f>[17]VALORIZACION!B146</f>
        <v xml:space="preserve">                SEÑALIZACIÓN TEMPORAL DE SEGURIDAD Y AMBIENTAL</v>
      </c>
      <c r="C245" s="223"/>
      <c r="D245" s="259">
        <f>+[17]RESUMEN!G78</f>
        <v>0</v>
      </c>
      <c r="E245" s="495"/>
      <c r="F245" s="495"/>
      <c r="G245" s="501"/>
      <c r="H245" s="501"/>
      <c r="I245" s="501"/>
      <c r="J245" s="205"/>
      <c r="K245" s="225" t="str">
        <f>IF(L245=D245,"ok","falso")</f>
        <v>ok</v>
      </c>
      <c r="L245" s="222">
        <f t="shared" si="91"/>
        <v>0</v>
      </c>
      <c r="M245" s="226" t="e">
        <f t="shared" si="92"/>
        <v>#DIV/0!</v>
      </c>
      <c r="N245" s="226" t="e">
        <f t="shared" si="93"/>
        <v>#DIV/0!</v>
      </c>
      <c r="O245" s="226" t="e">
        <f t="shared" si="94"/>
        <v>#DIV/0!</v>
      </c>
      <c r="P245" s="204">
        <f t="shared" si="95"/>
        <v>0</v>
      </c>
      <c r="Q245" s="226" t="e">
        <f t="shared" si="96"/>
        <v>#DIV/0!</v>
      </c>
    </row>
    <row r="246" spans="1:17" ht="13.2">
      <c r="A246" s="215"/>
      <c r="B246" s="228" t="str">
        <f>[17]VALORIZACION!B147</f>
        <v xml:space="preserve">            PLAN DE MONITOREO ARQUEOLÓGICO.</v>
      </c>
      <c r="C246" s="223"/>
      <c r="D246" s="259"/>
      <c r="E246" s="223"/>
      <c r="F246" s="223"/>
      <c r="G246" s="224"/>
      <c r="H246" s="224"/>
      <c r="I246" s="224"/>
      <c r="J246" s="205"/>
      <c r="K246" s="225"/>
      <c r="L246" s="222"/>
      <c r="M246" s="226"/>
      <c r="N246" s="226"/>
      <c r="O246" s="226"/>
      <c r="Q246" s="226"/>
    </row>
    <row r="247" spans="1:17" ht="5.25" customHeight="1">
      <c r="A247" s="216"/>
      <c r="B247" s="217"/>
      <c r="C247" s="223"/>
      <c r="D247" s="218"/>
      <c r="E247" s="258"/>
      <c r="F247" s="219"/>
      <c r="G247" s="220"/>
      <c r="H247" s="220"/>
      <c r="I247" s="220"/>
      <c r="J247" s="221"/>
      <c r="K247" s="202"/>
      <c r="L247" s="222">
        <f t="shared" ref="L247:L255" si="97">SUM(E247:G247)</f>
        <v>0</v>
      </c>
      <c r="M247" s="226" t="e">
        <f>E247/D247</f>
        <v>#DIV/0!</v>
      </c>
      <c r="N247" s="226" t="e">
        <f>F247/D247</f>
        <v>#DIV/0!</v>
      </c>
      <c r="O247" s="226" t="e">
        <f>M247+N247</f>
        <v>#DIV/0!</v>
      </c>
      <c r="P247" s="204">
        <f t="shared" ref="P247:P256" si="98">E247+F247+G247</f>
        <v>0</v>
      </c>
      <c r="Q247" s="226" t="e">
        <f>P247/D247</f>
        <v>#DIV/0!</v>
      </c>
    </row>
    <row r="248" spans="1:17" ht="13.8" thickBot="1">
      <c r="A248" s="212"/>
      <c r="B248" s="263" t="str">
        <f>[17]VALORIZACION!B148</f>
        <v xml:space="preserve">                PLAN DE MONITOREO ARQUEÓLOGICO</v>
      </c>
      <c r="C248" s="264"/>
      <c r="D248" s="504">
        <f>+[17]RESUMEN!G80</f>
        <v>0</v>
      </c>
      <c r="E248" s="264"/>
      <c r="F248" s="264"/>
      <c r="G248" s="505"/>
      <c r="H248" s="224"/>
      <c r="I248" s="224"/>
      <c r="J248" s="205"/>
      <c r="K248" s="225" t="str">
        <f>IF(L248=D248,"ok","falso")</f>
        <v>ok</v>
      </c>
      <c r="L248" s="222">
        <f t="shared" si="97"/>
        <v>0</v>
      </c>
      <c r="M248" s="226" t="e">
        <f>E248/D248</f>
        <v>#DIV/0!</v>
      </c>
      <c r="N248" s="226" t="e">
        <f>F248/D248</f>
        <v>#DIV/0!</v>
      </c>
      <c r="O248" s="226" t="e">
        <f>M248+N248</f>
        <v>#DIV/0!</v>
      </c>
      <c r="P248" s="204">
        <f t="shared" si="98"/>
        <v>0</v>
      </c>
      <c r="Q248" s="226" t="e">
        <f>P248/D248</f>
        <v>#DIV/0!</v>
      </c>
    </row>
    <row r="249" spans="1:17" ht="13.8" thickBot="1">
      <c r="A249" s="235"/>
      <c r="B249" s="498"/>
      <c r="C249" s="499"/>
      <c r="D249" s="499"/>
      <c r="E249" s="500"/>
      <c r="F249" s="500"/>
      <c r="G249" s="500"/>
      <c r="H249" s="500"/>
      <c r="I249" s="500"/>
      <c r="J249" s="265"/>
      <c r="K249" s="225"/>
      <c r="L249" s="222">
        <f t="shared" si="97"/>
        <v>0</v>
      </c>
      <c r="N249" s="226" t="e">
        <f>F249/D249</f>
        <v>#DIV/0!</v>
      </c>
      <c r="O249" s="226" t="e">
        <f>M249+N249</f>
        <v>#DIV/0!</v>
      </c>
      <c r="P249" s="204">
        <f t="shared" si="98"/>
        <v>0</v>
      </c>
      <c r="Q249" s="226" t="e">
        <f>P249/D249</f>
        <v>#DIV/0!</v>
      </c>
    </row>
    <row r="250" spans="1:17" ht="13.2">
      <c r="A250" s="236"/>
      <c r="B250" s="266" t="s">
        <v>263</v>
      </c>
      <c r="C250" s="266"/>
      <c r="D250" s="237">
        <f>SUM(D11:D248)</f>
        <v>16949258.760779932</v>
      </c>
      <c r="E250" s="237"/>
      <c r="F250" s="237"/>
      <c r="G250" s="237"/>
      <c r="H250" s="237"/>
      <c r="I250" s="237"/>
      <c r="J250" s="233"/>
      <c r="K250" s="225" t="str">
        <f>IF(L250=D250,"ok","falso")</f>
        <v>falso</v>
      </c>
      <c r="L250" s="222">
        <f t="shared" si="97"/>
        <v>0</v>
      </c>
      <c r="M250" s="204">
        <f>E250+F250</f>
        <v>0</v>
      </c>
      <c r="N250" s="226">
        <f>M250/D250</f>
        <v>0</v>
      </c>
      <c r="O250" s="226">
        <f>M250+N250</f>
        <v>0</v>
      </c>
      <c r="P250" s="204">
        <f t="shared" si="98"/>
        <v>0</v>
      </c>
      <c r="Q250" s="227">
        <f>P250/D250</f>
        <v>0</v>
      </c>
    </row>
    <row r="251" spans="1:17">
      <c r="A251" s="234"/>
      <c r="B251" s="209"/>
      <c r="C251" s="209"/>
      <c r="D251" s="234"/>
      <c r="E251" s="235"/>
      <c r="F251" s="234"/>
      <c r="G251" s="235"/>
      <c r="H251" s="235"/>
      <c r="I251" s="235"/>
      <c r="J251" s="205"/>
      <c r="K251" s="225"/>
      <c r="L251" s="222">
        <f t="shared" si="97"/>
        <v>0</v>
      </c>
      <c r="P251" s="204">
        <f t="shared" si="98"/>
        <v>0</v>
      </c>
    </row>
    <row r="252" spans="1:17">
      <c r="A252" s="236"/>
      <c r="B252" s="266" t="s">
        <v>264</v>
      </c>
      <c r="C252" s="266"/>
      <c r="D252" s="237">
        <f>D250*0.07</f>
        <v>1186448.1132545953</v>
      </c>
      <c r="E252" s="237">
        <f>E250*0.07</f>
        <v>0</v>
      </c>
      <c r="F252" s="237">
        <f>F250*0.07</f>
        <v>0</v>
      </c>
      <c r="G252" s="237">
        <f>G250*0.07</f>
        <v>0</v>
      </c>
      <c r="H252" s="237"/>
      <c r="I252" s="237"/>
      <c r="J252" s="233"/>
      <c r="K252" s="225" t="str">
        <f>IF(L252=D252,"ok","falso")</f>
        <v>falso</v>
      </c>
      <c r="L252" s="222">
        <f t="shared" si="97"/>
        <v>0</v>
      </c>
      <c r="P252" s="204">
        <f t="shared" si="98"/>
        <v>0</v>
      </c>
    </row>
    <row r="253" spans="1:17">
      <c r="A253" s="234"/>
      <c r="B253" s="205"/>
      <c r="C253" s="205"/>
      <c r="D253" s="234"/>
      <c r="E253" s="238"/>
      <c r="F253" s="239"/>
      <c r="G253" s="238"/>
      <c r="H253" s="238"/>
      <c r="I253" s="238"/>
      <c r="J253" s="202"/>
      <c r="K253" s="225"/>
      <c r="L253" s="222">
        <f t="shared" si="97"/>
        <v>0</v>
      </c>
      <c r="P253" s="204">
        <f t="shared" si="98"/>
        <v>0</v>
      </c>
    </row>
    <row r="254" spans="1:17">
      <c r="A254" s="236"/>
      <c r="B254" s="267" t="s">
        <v>265</v>
      </c>
      <c r="C254" s="267"/>
      <c r="D254" s="240">
        <f>SUM(D250+D252)</f>
        <v>18135706.874034528</v>
      </c>
      <c r="E254" s="240">
        <f>SUM(E250+E252)</f>
        <v>0</v>
      </c>
      <c r="F254" s="240">
        <f>SUM(F250+F252)</f>
        <v>0</v>
      </c>
      <c r="G254" s="240">
        <f>SUM(G250+G252)</f>
        <v>0</v>
      </c>
      <c r="H254" s="240"/>
      <c r="I254" s="240"/>
      <c r="J254" s="233"/>
      <c r="K254" s="225" t="str">
        <f>IF(L254=D254,"ok","falso")</f>
        <v>falso</v>
      </c>
      <c r="L254" s="222">
        <f t="shared" si="97"/>
        <v>0</v>
      </c>
      <c r="P254" s="204">
        <f t="shared" si="98"/>
        <v>0</v>
      </c>
    </row>
    <row r="255" spans="1:17">
      <c r="A255" s="210"/>
      <c r="B255" s="268" t="s">
        <v>266</v>
      </c>
      <c r="C255" s="268"/>
      <c r="D255" s="241" t="s">
        <v>0</v>
      </c>
      <c r="E255" s="223">
        <f>SUM(E254/$D$254*100)</f>
        <v>0</v>
      </c>
      <c r="F255" s="223">
        <f>SUM(F254/$D$254*100)</f>
        <v>0</v>
      </c>
      <c r="G255" s="223">
        <f>SUM(G254/$D$254*100)</f>
        <v>0</v>
      </c>
      <c r="H255" s="223"/>
      <c r="I255" s="223"/>
      <c r="J255" s="205"/>
      <c r="K255" s="214"/>
      <c r="L255" s="222">
        <f t="shared" si="97"/>
        <v>0</v>
      </c>
      <c r="P255" s="204">
        <f t="shared" si="98"/>
        <v>0</v>
      </c>
    </row>
    <row r="256" spans="1:17">
      <c r="A256" s="236"/>
      <c r="B256" s="267" t="s">
        <v>267</v>
      </c>
      <c r="C256" s="267"/>
      <c r="D256" s="241" t="s">
        <v>0</v>
      </c>
      <c r="E256" s="236">
        <f>E255</f>
        <v>0</v>
      </c>
      <c r="F256" s="236">
        <f>+ROUND(E256+F255,2)</f>
        <v>0</v>
      </c>
      <c r="G256" s="236">
        <f>+ROUND(F256+G255,2)</f>
        <v>0</v>
      </c>
      <c r="H256" s="236"/>
      <c r="I256" s="236"/>
      <c r="J256" s="205"/>
      <c r="K256" s="225"/>
      <c r="L256" s="222"/>
      <c r="P256" s="204">
        <f t="shared" si="98"/>
        <v>0</v>
      </c>
    </row>
    <row r="257" spans="1:12">
      <c r="A257" s="202"/>
      <c r="B257" s="202"/>
      <c r="C257" s="202"/>
      <c r="D257" s="202"/>
      <c r="E257" s="202"/>
      <c r="F257" s="202"/>
      <c r="G257" s="202"/>
      <c r="H257" s="202"/>
      <c r="I257" s="202"/>
      <c r="J257" s="202"/>
      <c r="K257" s="202"/>
      <c r="L257" s="222"/>
    </row>
    <row r="258" spans="1:12">
      <c r="A258" s="202"/>
      <c r="B258" s="202"/>
      <c r="C258" s="202"/>
      <c r="D258" s="202"/>
      <c r="E258" s="202"/>
      <c r="F258" s="202"/>
      <c r="G258" s="202"/>
      <c r="H258" s="202"/>
      <c r="I258" s="202"/>
      <c r="J258" s="202"/>
      <c r="K258" s="202"/>
      <c r="L258" s="203"/>
    </row>
    <row r="259" spans="1:12">
      <c r="A259" s="202"/>
      <c r="B259" s="202"/>
      <c r="C259" s="202"/>
      <c r="D259" s="202"/>
      <c r="E259" s="202"/>
      <c r="F259" s="202"/>
      <c r="G259" s="202"/>
      <c r="H259" s="202"/>
      <c r="I259" s="202"/>
      <c r="J259" s="202"/>
      <c r="K259" s="202"/>
      <c r="L259" s="203"/>
    </row>
    <row r="260" spans="1:12">
      <c r="A260" s="202"/>
      <c r="B260" s="202"/>
      <c r="C260" s="202"/>
      <c r="D260" s="202"/>
      <c r="E260" s="202"/>
      <c r="F260" s="202"/>
      <c r="G260" s="202"/>
      <c r="H260" s="202"/>
      <c r="I260" s="202"/>
      <c r="J260" s="202"/>
      <c r="K260" s="202"/>
      <c r="L260" s="203"/>
    </row>
    <row r="261" spans="1:12">
      <c r="A261" s="202"/>
      <c r="B261" s="202"/>
      <c r="C261" s="202"/>
      <c r="D261" s="202"/>
      <c r="E261" s="202"/>
      <c r="F261" s="202"/>
      <c r="G261" s="202"/>
      <c r="H261" s="202"/>
      <c r="I261" s="202"/>
      <c r="J261" s="202"/>
      <c r="K261" s="202"/>
      <c r="L261" s="203"/>
    </row>
  </sheetData>
  <mergeCells count="9">
    <mergeCell ref="I7:I8"/>
    <mergeCell ref="A1:G1"/>
    <mergeCell ref="B7:B8"/>
    <mergeCell ref="D7:D8"/>
    <mergeCell ref="E7:E8"/>
    <mergeCell ref="F7:F8"/>
    <mergeCell ref="G7:G8"/>
    <mergeCell ref="C3:H3"/>
    <mergeCell ref="H7:H8"/>
  </mergeCells>
  <pageMargins left="0.6692913385826772" right="0.59055118110236227" top="0.86614173228346458" bottom="0.74803149606299213" header="0.31496062992125984" footer="0.31496062992125984"/>
  <pageSetup paperSize="9" scale="72" orientation="landscape" horizontalDpi="4294967293" r:id="rId1"/>
  <rowBreaks count="4" manualBreakCount="4">
    <brk id="36" max="8" man="1"/>
    <brk id="91" max="8" man="1"/>
    <brk id="185" max="8" man="1"/>
    <brk id="215" max="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27</vt:i4>
      </vt:variant>
      <vt:variant>
        <vt:lpstr>Rangos con nombre</vt:lpstr>
      </vt:variant>
      <vt:variant>
        <vt:i4>22</vt:i4>
      </vt:variant>
    </vt:vector>
  </HeadingPairs>
  <TitlesOfParts>
    <vt:vector size="49" baseType="lpstr">
      <vt:lpstr>Hoja2</vt:lpstr>
      <vt:lpstr>CRONGRAMA JULIO</vt:lpstr>
      <vt:lpstr>MPN FIERO</vt:lpstr>
      <vt:lpstr>SUSTENTO DE PARTIDAS NUEVAS</vt:lpstr>
      <vt:lpstr>RESUMEN</vt:lpstr>
      <vt:lpstr>Hoja5</vt:lpstr>
      <vt:lpstr>Hoja6</vt:lpstr>
      <vt:lpstr>Hoja7</vt:lpstr>
      <vt:lpstr>METRADOS PN</vt:lpstr>
      <vt:lpstr>MET AGOSTO</vt:lpstr>
      <vt:lpstr>Hoja4</vt:lpstr>
      <vt:lpstr>Hoja11</vt:lpstr>
      <vt:lpstr>Hoja10</vt:lpstr>
      <vt:lpstr>Hoja9</vt:lpstr>
      <vt:lpstr>Hoja3</vt:lpstr>
      <vt:lpstr>Hoja12</vt:lpstr>
      <vt:lpstr>Hoja8</vt:lpstr>
      <vt:lpstr>Hoja1</vt:lpstr>
      <vt:lpstr>P.NUEVAS PROYECTADAS</vt:lpstr>
      <vt:lpstr>MET.MM</vt:lpstr>
      <vt:lpstr>MET.PN</vt:lpstr>
      <vt:lpstr>ABRIL </vt:lpstr>
      <vt:lpstr>Hoja14</vt:lpstr>
      <vt:lpstr>MET.ADIC</vt:lpstr>
      <vt:lpstr>MET.EXP</vt:lpstr>
      <vt:lpstr>CRON</vt:lpstr>
      <vt:lpstr>gantt (2)</vt:lpstr>
      <vt:lpstr>CRON!Área_de_impresión</vt:lpstr>
      <vt:lpstr>'gantt (2)'!Área_de_impresión</vt:lpstr>
      <vt:lpstr>Hoja10!Área_de_impresión</vt:lpstr>
      <vt:lpstr>Hoja11!Área_de_impresión</vt:lpstr>
      <vt:lpstr>Hoja12!Área_de_impresión</vt:lpstr>
      <vt:lpstr>Hoja2!Área_de_impresión</vt:lpstr>
      <vt:lpstr>Hoja3!Área_de_impresión</vt:lpstr>
      <vt:lpstr>Hoja5!Área_de_impresión</vt:lpstr>
      <vt:lpstr>Hoja6!Área_de_impresión</vt:lpstr>
      <vt:lpstr>Hoja7!Área_de_impresión</vt:lpstr>
      <vt:lpstr>Hoja9!Área_de_impresión</vt:lpstr>
      <vt:lpstr>MET.ADIC!Área_de_impresión</vt:lpstr>
      <vt:lpstr>MET.EXP!Área_de_impresión</vt:lpstr>
      <vt:lpstr>MET.MM!Área_de_impresión</vt:lpstr>
      <vt:lpstr>MET.PN!Área_de_impresión</vt:lpstr>
      <vt:lpstr>'P.NUEVAS PROYECTADAS'!Área_de_impresión</vt:lpstr>
      <vt:lpstr>RESUMEN!Área_de_impresión</vt:lpstr>
      <vt:lpstr>'SUSTENTO DE PARTIDAS NUEVAS'!Área_de_impresión</vt:lpstr>
      <vt:lpstr>CRON!Títulos_a_imprimir</vt:lpstr>
      <vt:lpstr>MET.ADIC!Títulos_a_imprimir</vt:lpstr>
      <vt:lpstr>MET.EXP!Títulos_a_imprimir</vt:lpstr>
      <vt:lpstr>'SUSTENTO DE PARTIDAS NUEVAS'!Títulos_a_imprimir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RENNE</dc:creator>
  <cp:lastModifiedBy>Ana P. T. G.</cp:lastModifiedBy>
  <cp:lastPrinted>2022-03-24T13:47:38Z</cp:lastPrinted>
  <dcterms:created xsi:type="dcterms:W3CDTF">2012-11-12T19:56:17Z</dcterms:created>
  <dcterms:modified xsi:type="dcterms:W3CDTF">2022-04-29T19:46:44Z</dcterms:modified>
</cp:coreProperties>
</file>